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75" firstSheet="17" activeTab="17"/>
  </bookViews>
  <sheets>
    <sheet name="致函链接" sheetId="63" state="hidden" r:id="rId1"/>
    <sheet name="预评函-封皮" sheetId="50" state="hidden" r:id="rId2"/>
    <sheet name="预评函-1" sheetId="51" state="hidden" r:id="rId3"/>
    <sheet name="预评函-1 (储备)" sheetId="64" state="hidden" r:id="rId4"/>
    <sheet name="预评函-2" sheetId="54" state="hidden" r:id="rId5"/>
    <sheet name="预评函-3" sheetId="55" state="hidden" r:id="rId6"/>
    <sheet name="使用说明" sheetId="41" state="hidden" r:id="rId7"/>
    <sheet name="估价师及机构信息" sheetId="52" r:id="rId8"/>
    <sheet name="定义" sheetId="10" r:id="rId9"/>
    <sheet name="项目基本情况" sheetId="4" r:id="rId10"/>
    <sheet name="面积表" sheetId="68" r:id="rId11"/>
    <sheet name="数据-基础表" sheetId="3" r:id="rId12"/>
    <sheet name="抵押物清单（分楼）" sheetId="42" state="hidden" r:id="rId13"/>
    <sheet name="数据-汇总表" sheetId="6" r:id="rId14"/>
    <sheet name="数据-取费表" sheetId="1" r:id="rId15"/>
    <sheet name="估价对象房地状况" sheetId="20" r:id="rId16"/>
    <sheet name="招拍挂" sheetId="70" r:id="rId17"/>
    <sheet name="Sheet1" sheetId="71" r:id="rId18"/>
    <sheet name="结果汇总表" sheetId="69" r:id="rId19"/>
    <sheet name="基准地价出结果用" sheetId="74" r:id="rId20"/>
    <sheet name="基准地价级别低限" sheetId="75" r:id="rId21"/>
    <sheet name="系统读取表" sheetId="66" r:id="rId22"/>
    <sheet name="结果表" sheetId="9" r:id="rId23"/>
    <sheet name="剩余法-待开发" sheetId="12" r:id="rId24"/>
    <sheet name="剩余法-现房" sheetId="43" state="hidden" r:id="rId25"/>
    <sheet name="比较法-住宅、综合" sheetId="39" state="hidden" r:id="rId26"/>
    <sheet name="比较法-工业" sheetId="40" state="hidden" r:id="rId27"/>
    <sheet name="不动产收益法--办公" sheetId="15" r:id="rId28"/>
    <sheet name="不动产收益法--车库" sheetId="73" state="hidden" r:id="rId29"/>
    <sheet name="不动产比较法-办公" sheetId="34" r:id="rId30"/>
    <sheet name="Sheet2" sheetId="72" r:id="rId31"/>
    <sheet name="基准地价" sheetId="46" state="hidden" r:id="rId32"/>
    <sheet name="修正" sheetId="49" state="hidden" r:id="rId33"/>
    <sheet name="区片价" sheetId="48" state="hidden" r:id="rId34"/>
    <sheet name="容积率修正" sheetId="45" state="hidden" r:id="rId35"/>
    <sheet name="因素修正幅度" sheetId="56" state="hidden" r:id="rId36"/>
    <sheet name="地价" sheetId="59" r:id="rId37"/>
    <sheet name="基准地价（汇总）" sheetId="67" state="hidden" r:id="rId38"/>
    <sheet name="收益还原法" sheetId="44" state="hidden" r:id="rId39"/>
    <sheet name="酒店收入计算" sheetId="57" state="hidden" r:id="rId40"/>
    <sheet name="成本逼近法" sheetId="11" state="hidden" r:id="rId41"/>
    <sheet name="不动产比较法-住宅" sheetId="21" state="hidden" r:id="rId42"/>
    <sheet name="不动产比较法-商业" sheetId="33" state="hidden" r:id="rId43"/>
    <sheet name="不动产比较法-工业" sheetId="37" state="hidden" r:id="rId44"/>
    <sheet name="不动产比较法-车位" sheetId="35" state="hidden" r:id="rId45"/>
    <sheet name="不动产比较法-仓储" sheetId="36" state="hidden" r:id="rId46"/>
    <sheet name="典型户型修正" sheetId="31" state="hidden" r:id="rId47"/>
    <sheet name="存贷款利率" sheetId="65" state="hidden" r:id="rId48"/>
  </sheets>
  <externalReferences>
    <externalReference r:id="rId49"/>
    <externalReference r:id="rId50"/>
  </externalReferences>
  <definedNames>
    <definedName name="_xlnm._FilterDatabase" localSheetId="26" hidden="1">'比较法-工业'!$A$1:$L$45</definedName>
    <definedName name="_xlnm._FilterDatabase" localSheetId="25" hidden="1">'比较法-住宅、综合'!$A$1:$L$50</definedName>
    <definedName name="_xlnm._FilterDatabase" localSheetId="29" hidden="1">'不动产比较法-办公'!$A$1:$L$50</definedName>
    <definedName name="_xlnm._FilterDatabase" localSheetId="45" hidden="1">'不动产比较法-仓储'!$A$1:$L$37</definedName>
    <definedName name="_xlnm._FilterDatabase" localSheetId="44" hidden="1">'不动产比较法-车位'!$A$1:$L$39</definedName>
    <definedName name="_xlnm._FilterDatabase" localSheetId="43" hidden="1">'不动产比较法-工业'!$A$1:$L$43</definedName>
    <definedName name="_xlnm._FilterDatabase" localSheetId="42" hidden="1">'不动产比较法-商业'!$A$1:$L$49</definedName>
    <definedName name="_xlnm._FilterDatabase" localSheetId="41" hidden="1">'不动产比较法-住宅'!$A$1:$L$49</definedName>
    <definedName name="_xlnm._FilterDatabase" localSheetId="11" hidden="1">'数据-基础表'!$A$12:$AT$572</definedName>
    <definedName name="_xlnm._FilterDatabase" localSheetId="9" hidden="1">项目基本情况!$A$48:$N$48</definedName>
    <definedName name="_xlnm.Print_Area" localSheetId="26">'比较法-工业'!$A$1:$K$63,'比较法-工业'!$A$66:$N$123</definedName>
    <definedName name="_xlnm.Print_Area" localSheetId="25">'比较法-住宅、综合'!$A$1:$K$67,'比较法-住宅、综合'!$A$71:$N$134</definedName>
    <definedName name="_xlnm.Print_Area" localSheetId="29">'不动产比较法-办公'!$A$1:$K$55,'不动产比较法-办公'!$A$58:$M$132</definedName>
    <definedName name="_xlnm.Print_Area" localSheetId="45">'不动产比较法-仓储'!$A$1:$K$42,'不动产比较法-仓储'!$A$45:$M$96</definedName>
    <definedName name="_xlnm.Print_Area" localSheetId="44">'不动产比较法-车位'!$A$1:$K$44,'不动产比较法-车位'!$A$47:$M$102</definedName>
    <definedName name="_xlnm.Print_Area" localSheetId="43">'不动产比较法-工业'!$A$1:$K$48,'不动产比较法-工业'!$A$51:$M$113</definedName>
    <definedName name="_xlnm.Print_Area" localSheetId="42">'不动产比较法-商业'!$A$1:$K$54,'不动产比较法-商业'!$A$57:$M$131</definedName>
    <definedName name="_xlnm.Print_Area" localSheetId="41">'不动产比较法-住宅'!$A$1:$K$54,'不动产比较法-住宅'!$A$57:$M$131</definedName>
    <definedName name="_xlnm.Print_Area" localSheetId="27">'不动产收益法--办公'!$A$1:$F$43,'不动产收益法--办公'!$H$3:$M$29,'不动产收益法--办公'!$A$46:$F$70,'不动产收益法--办公'!$I$46:$M$60</definedName>
    <definedName name="_xlnm.Print_Area" localSheetId="28">'不动产收益法--车库'!$A$1:$F$43,'不动产收益法--车库'!$H$3:$M$29,'不动产收益法--车库'!$A$46:$F$70,'不动产收益法--车库'!$I$46:$M$60</definedName>
    <definedName name="_xlnm.Print_Area" localSheetId="40">成本逼近法!$A$1:$G$23</definedName>
    <definedName name="_xlnm.Print_Area" localSheetId="15">估价对象房地状况!$A$1:$G$24</definedName>
    <definedName name="_xlnm.Print_Area" localSheetId="7">估价师及机构信息!$A$1:$F$22</definedName>
    <definedName name="_xlnm.Print_Area" localSheetId="31">基准地价!$A$1:$J$41,基准地价!$A$44:$N$87,基准地价!$R$1:$V$16</definedName>
    <definedName name="_xlnm.Print_Area" localSheetId="37">'基准地价（汇总）'!$A$1:$F$14</definedName>
    <definedName name="_xlnm.Print_Area" localSheetId="19">基准地价出结果用!$A$1:$J$41,基准地价出结果用!$A$44:$N$87,基准地价出结果用!$R$1:$V$16</definedName>
    <definedName name="_xlnm.Print_Area" localSheetId="20">基准地价级别低限!$A$1:$J$41,基准地价级别低限!$A$44:$N$87,基准地价级别低限!$R$1:$V$16</definedName>
    <definedName name="_xlnm.Print_Area" localSheetId="22">结果表!$A$1:$I$46,结果表!$K$25:$O$44,结果表!$A$62:$I$115,结果表!$K$64:$P$81</definedName>
    <definedName name="_xlnm.Print_Area" localSheetId="23">'剩余法-待开发'!$A$1:$K$36</definedName>
    <definedName name="_xlnm.Print_Area" localSheetId="24">'剩余法-现房'!$A$1:$K$27</definedName>
    <definedName name="_xlnm.Print_Area" localSheetId="38">收益还原法!$A$1:$F$46,收益还原法!$H$3:$M$31,收益还原法!$I$47:$M$61</definedName>
    <definedName name="_xlnm.Print_Area" localSheetId="13">'数据-汇总表'!$A$1:$P$32</definedName>
    <definedName name="_xlnm.Print_Area" localSheetId="21">系统读取表!$A$1:$J$26</definedName>
    <definedName name="_xlnm.Print_Area" localSheetId="9">项目基本情况!$A$1:$J$44</definedName>
    <definedName name="八级" localSheetId="17">[1]区片价!$P$1:$P$40</definedName>
    <definedName name="八级" localSheetId="18">[1]区片价!$P$1:$P$40</definedName>
    <definedName name="八级" localSheetId="10">[2]区片价!$P$1:$P$40</definedName>
    <definedName name="八级" localSheetId="16">[1]区片价!$P$1:$P$40</definedName>
    <definedName name="八级">区片价!$P$1:$P$40</definedName>
    <definedName name="办公层高" localSheetId="17">'[1]不动产比较法-办公'!$B$119:$M$119</definedName>
    <definedName name="办公层高" localSheetId="18">'[1]不动产比较法-办公'!$B$119:$M$119</definedName>
    <definedName name="办公层高" localSheetId="10">'[2]不动产比较法-办公'!$B$119:$M$119</definedName>
    <definedName name="办公层高" localSheetId="16">'[1]不动产比较法-办公'!$B$119:$M$119</definedName>
    <definedName name="办公层高">'不动产比较法-办公'!$B$119:$M$119</definedName>
    <definedName name="办公朝向" localSheetId="17">'[1]不动产比较法-办公'!$B$91:$M$91</definedName>
    <definedName name="办公朝向" localSheetId="18">'[1]不动产比较法-办公'!$B$91:$M$91</definedName>
    <definedName name="办公朝向" localSheetId="10">'[2]不动产比较法-办公'!$B$91:$M$91</definedName>
    <definedName name="办公朝向" localSheetId="16">'[1]不动产比较法-办公'!$B$91:$M$91</definedName>
    <definedName name="办公朝向">'不动产比较法-办公'!$B$91:$M$91</definedName>
    <definedName name="办公道路级别" localSheetId="17">'[1]不动产比较法-办公'!$B$87:$M$87</definedName>
    <definedName name="办公道路级别" localSheetId="18">'[1]不动产比较法-办公'!$B$87:$M$87</definedName>
    <definedName name="办公道路级别" localSheetId="10">'[2]不动产比较法-办公'!$B$87:$M$87</definedName>
    <definedName name="办公道路级别" localSheetId="16">'[1]不动产比较法-办公'!$B$87:$M$87</definedName>
    <definedName name="办公道路级别">'不动产比较法-办公'!$B$87:$M$87</definedName>
    <definedName name="办公公共部分装修" localSheetId="17">'[1]不动产比较法-办公'!$B$108:$M$108</definedName>
    <definedName name="办公公共部分装修" localSheetId="18">'[1]不动产比较法-办公'!$B$108:$M$108</definedName>
    <definedName name="办公公共部分装修" localSheetId="10">'[2]不动产比较法-办公'!$B$108:$M$108</definedName>
    <definedName name="办公公共部分装修" localSheetId="16">'[1]不动产比较法-办公'!$B$108:$M$108</definedName>
    <definedName name="办公公共部分装修">'不动产比较法-办公'!$B$108:$M$108</definedName>
    <definedName name="办公基础设施水平" localSheetId="17">'[1]不动产比较法-办公'!$B$117:$M$117</definedName>
    <definedName name="办公基础设施水平" localSheetId="18">'[1]不动产比较法-办公'!$B$117:$M$117</definedName>
    <definedName name="办公基础设施水平" localSheetId="10">'[2]不动产比较法-办公'!$B$117:$M$117</definedName>
    <definedName name="办公基础设施水平" localSheetId="16">'[1]不动产比较法-办公'!$B$117:$M$117</definedName>
    <definedName name="办公基础设施水平">'不动产比较法-办公'!$B$117:$M$117</definedName>
    <definedName name="办公集聚程度" localSheetId="17">[1]定义!$M$1:$M$6</definedName>
    <definedName name="办公集聚程度" localSheetId="18">[1]定义!$M$1:$M$6</definedName>
    <definedName name="办公集聚程度" localSheetId="10">[2]定义!$M$1:$M$6</definedName>
    <definedName name="办公集聚程度" localSheetId="16">[1]定义!$M$1:$M$6</definedName>
    <definedName name="办公集聚程度">定义!$M$1:$M$6</definedName>
    <definedName name="办公建筑结构" localSheetId="17">'[1]不动产比较法-办公'!$B$106:$M$106</definedName>
    <definedName name="办公建筑结构" localSheetId="18">'[1]不动产比较法-办公'!$B$106:$M$106</definedName>
    <definedName name="办公建筑结构" localSheetId="10">'[2]不动产比较法-办公'!$B$106:$M$106</definedName>
    <definedName name="办公建筑结构" localSheetId="16">'[1]不动产比较法-办公'!$B$106:$M$106</definedName>
    <definedName name="办公建筑结构">'不动产比较法-办公'!$B$106:$M$106</definedName>
    <definedName name="办公建筑类型" localSheetId="17">'[1]不动产比较法-办公'!$B$101:$M$101</definedName>
    <definedName name="办公建筑类型" localSheetId="18">'[1]不动产比较法-办公'!$B$101:$M$101</definedName>
    <definedName name="办公建筑类型" localSheetId="10">'[2]不动产比较法-办公'!$B$101:$M$101</definedName>
    <definedName name="办公建筑类型" localSheetId="16">'[1]不动产比较法-办公'!$B$101:$M$101</definedName>
    <definedName name="办公建筑类型">'不动产比较法-办公'!$B$101:$M$101</definedName>
    <definedName name="办公交易情况" localSheetId="17">'[1]不动产比较法-办公'!$A$62:$M$62</definedName>
    <definedName name="办公交易情况" localSheetId="18">'[1]不动产比较法-办公'!$A$62:$M$62</definedName>
    <definedName name="办公交易情况" localSheetId="10">'[2]不动产比较法-办公'!$A$62:$M$62</definedName>
    <definedName name="办公交易情况" localSheetId="16">'[1]不动产比较法-办公'!$A$62:$M$62</definedName>
    <definedName name="办公交易情况">'不动产比较法-办公'!$A$62:$M$62</definedName>
    <definedName name="办公楼层" localSheetId="17">'[1]不动产比较法-办公'!$B$89:$M$89</definedName>
    <definedName name="办公楼层" localSheetId="18">'[1]不动产比较法-办公'!$B$89:$M$89</definedName>
    <definedName name="办公楼层" localSheetId="10">'[2]不动产比较法-办公'!$B$89:$M$89</definedName>
    <definedName name="办公楼层" localSheetId="16">'[1]不动产比较法-办公'!$B$89:$M$89</definedName>
    <definedName name="办公楼层">'不动产比较法-办公'!$B$89:$M$89</definedName>
    <definedName name="办公内部装修" localSheetId="17">'[1]不动产比较法-办公'!$B$123:$M$123</definedName>
    <definedName name="办公内部装修" localSheetId="18">'[1]不动产比较法-办公'!$B$123:$M$123</definedName>
    <definedName name="办公内部装修" localSheetId="10">'[2]不动产比较法-办公'!$B$123:$M$123</definedName>
    <definedName name="办公内部装修" localSheetId="16">'[1]不动产比较法-办公'!$B$123:$M$123</definedName>
    <definedName name="办公内部装修">'不动产比较法-办公'!$B$123:$M$123</definedName>
    <definedName name="办公物业管理" localSheetId="17">'[1]不动产比较法-办公'!$B$115:$M$115</definedName>
    <definedName name="办公物业管理" localSheetId="18">'[1]不动产比较法-办公'!$B$115:$M$115</definedName>
    <definedName name="办公物业管理" localSheetId="10">'[2]不动产比较法-办公'!$B$115:$M$115</definedName>
    <definedName name="办公物业管理" localSheetId="16">'[1]不动产比较法-办公'!$B$115:$M$115</definedName>
    <definedName name="办公物业管理">'不动产比较法-办公'!$B$115:$M$115</definedName>
    <definedName name="办公用途" localSheetId="17">'[1]不动产比较法-办公'!$B$64:$M$64</definedName>
    <definedName name="办公用途" localSheetId="18">'[1]不动产比较法-办公'!$B$64:$M$64</definedName>
    <definedName name="办公用途" localSheetId="10">'[2]不动产比较法-办公'!$B$64:$M$64</definedName>
    <definedName name="办公用途" localSheetId="16">'[1]不动产比较法-办公'!$B$64:$M$64</definedName>
    <definedName name="办公用途">'不动产比较法-办公'!$B$64:$M$64</definedName>
    <definedName name="仓储公共部分装修" localSheetId="17">'[1]不动产比较法-仓储'!$B$77:$M$77</definedName>
    <definedName name="仓储公共部分装修" localSheetId="18">'[1]不动产比较法-仓储'!$B$77:$M$77</definedName>
    <definedName name="仓储公共部分装修" localSheetId="10">'[2]不动产比较法-仓储'!$B$77:$M$77</definedName>
    <definedName name="仓储公共部分装修" localSheetId="16">'[1]不动产比较法-仓储'!$B$77:$M$77</definedName>
    <definedName name="仓储公共部分装修">'不动产比较法-仓储'!$B$77:$M$77</definedName>
    <definedName name="仓储交易情况" localSheetId="17">'[1]不动产比较法-仓储'!$A$49:$M$49</definedName>
    <definedName name="仓储交易情况" localSheetId="18">'[1]不动产比较法-仓储'!$A$49:$M$49</definedName>
    <definedName name="仓储交易情况" localSheetId="10">'[2]不动产比较法-仓储'!$A$49:$M$49</definedName>
    <definedName name="仓储交易情况" localSheetId="16">'[1]不动产比较法-仓储'!$A$49:$M$49</definedName>
    <definedName name="仓储交易情况">'不动产比较法-仓储'!$A$49:$M$49</definedName>
    <definedName name="仓储楼层" localSheetId="17">'[1]不动产比较法-仓储'!$B$69:$M$69</definedName>
    <definedName name="仓储楼层" localSheetId="18">'[1]不动产比较法-仓储'!$B$69:$M$69</definedName>
    <definedName name="仓储楼层" localSheetId="10">'[2]不动产比较法-仓储'!$B$69:$M$69</definedName>
    <definedName name="仓储楼层" localSheetId="16">'[1]不动产比较法-仓储'!$B$69:$M$69</definedName>
    <definedName name="仓储楼层">'不动产比较法-仓储'!$B$69:$M$69</definedName>
    <definedName name="仓储物业等级" localSheetId="17">'[1]不动产比较法-仓储'!$B$82:$M$82</definedName>
    <definedName name="仓储物业等级" localSheetId="18">'[1]不动产比较法-仓储'!$B$82:$M$82</definedName>
    <definedName name="仓储物业等级" localSheetId="10">'[2]不动产比较法-仓储'!$B$82:$M$82</definedName>
    <definedName name="仓储物业等级" localSheetId="16">'[1]不动产比较法-仓储'!$B$82:$M$82</definedName>
    <definedName name="仓储物业等级">'不动产比较法-仓储'!$B$82:$M$82</definedName>
    <definedName name="仓储用途" localSheetId="17">'[1]不动产比较法-仓储'!$B$51:$M$51</definedName>
    <definedName name="仓储用途" localSheetId="18">'[1]不动产比较法-仓储'!$B$51:$M$51</definedName>
    <definedName name="仓储用途" localSheetId="10">'[2]不动产比较法-仓储'!$B$51:$M$51</definedName>
    <definedName name="仓储用途" localSheetId="16">'[1]不动产比较法-仓储'!$B$51:$M$51</definedName>
    <definedName name="仓储用途">'不动产比较法-仓储'!$B$51:$M$51</definedName>
    <definedName name="产业集聚程度" localSheetId="17">[1]定义!$N$1:$N$6</definedName>
    <definedName name="产业集聚程度" localSheetId="18">[1]定义!$N$1:$N$6</definedName>
    <definedName name="产业集聚程度" localSheetId="10">[2]定义!$N$1:$N$6</definedName>
    <definedName name="产业集聚程度" localSheetId="16">[1]定义!$N$1:$N$6</definedName>
    <definedName name="产业集聚程度">定义!$N$1:$N$6</definedName>
    <definedName name="车位公共部分装修" localSheetId="17">'[1]不动产比较法-车位'!$B$83:$M$83</definedName>
    <definedName name="车位公共部分装修" localSheetId="18">'[1]不动产比较法-车位'!$B$83:$M$83</definedName>
    <definedName name="车位公共部分装修" localSheetId="10">'[2]不动产比较法-车位'!$B$83:$M$83</definedName>
    <definedName name="车位公共部分装修" localSheetId="16">'[1]不动产比较法-车位'!$B$83:$M$83</definedName>
    <definedName name="车位公共部分装修">'不动产比较法-车位'!$B$83:$M$83</definedName>
    <definedName name="车位交易情况" localSheetId="17">'[1]不动产比较法-车位'!$A$51:$M$51</definedName>
    <definedName name="车位交易情况" localSheetId="18">'[1]不动产比较法-车位'!$A$51:$M$51</definedName>
    <definedName name="车位交易情况" localSheetId="10">'[2]不动产比较法-车位'!$A$51:$M$51</definedName>
    <definedName name="车位交易情况" localSheetId="16">'[1]不动产比较法-车位'!$A$51:$M$51</definedName>
    <definedName name="车位交易情况">'不动产比较法-车位'!$A$51:$M$51</definedName>
    <definedName name="车位类型" localSheetId="17">'[1]不动产比较法-车位'!$B$93:$M$93</definedName>
    <definedName name="车位类型" localSheetId="18">'[1]不动产比较法-车位'!$B$93:$M$93</definedName>
    <definedName name="车位类型" localSheetId="10">'[2]不动产比较法-车位'!$B$93:$M$93</definedName>
    <definedName name="车位类型" localSheetId="16">'[1]不动产比较法-车位'!$B$93:$M$93</definedName>
    <definedName name="车位类型">'不动产比较法-车位'!$B$93:$M$93</definedName>
    <definedName name="车位楼层" localSheetId="17">'[1]不动产比较法-车位'!$B$71:$M$71</definedName>
    <definedName name="车位楼层" localSheetId="18">'[1]不动产比较法-车位'!$B$71:$M$71</definedName>
    <definedName name="车位楼层" localSheetId="10">'[2]不动产比较法-车位'!$B$71:$M$71</definedName>
    <definedName name="车位楼层" localSheetId="16">'[1]不动产比较法-车位'!$B$71:$M$71</definedName>
    <definedName name="车位楼层">'不动产比较法-车位'!$B$71:$M$71</definedName>
    <definedName name="车位配套类型" localSheetId="17">'[1]不动产比较法-车位'!$B$79:$M$79</definedName>
    <definedName name="车位配套类型" localSheetId="18">'[1]不动产比较法-车位'!$B$79:$M$79</definedName>
    <definedName name="车位配套类型" localSheetId="10">'[2]不动产比较法-车位'!$B$79:$M$79</definedName>
    <definedName name="车位配套类型" localSheetId="16">'[1]不动产比较法-车位'!$B$79:$M$79</definedName>
    <definedName name="车位配套类型">'不动产比较法-车位'!$B$79:$M$79</definedName>
    <definedName name="车位物业等级" localSheetId="17">'[1]不动产比较法-车位'!$B$88:$M$88</definedName>
    <definedName name="车位物业等级" localSheetId="18">'[1]不动产比较法-车位'!$B$88:$M$88</definedName>
    <definedName name="车位物业等级" localSheetId="10">'[2]不动产比较法-车位'!$B$88:$M$88</definedName>
    <definedName name="车位物业等级" localSheetId="16">'[1]不动产比较法-车位'!$B$88:$M$88</definedName>
    <definedName name="车位物业等级">'不动产比较法-车位'!$B$88:$M$88</definedName>
    <definedName name="车位用途" localSheetId="17">'[1]不动产比较法-车位'!$B$53:$M$53</definedName>
    <definedName name="车位用途" localSheetId="18">'[1]不动产比较法-车位'!$B$53:$M$53</definedName>
    <definedName name="车位用途" localSheetId="10">'[2]不动产比较法-车位'!$B$53:$M$53</definedName>
    <definedName name="车位用途" localSheetId="16">'[1]不动产比较法-车位'!$B$53:$M$53</definedName>
    <definedName name="车位用途">'不动产比较法-车位'!$B$53:$M$53</definedName>
    <definedName name="城镇土地纳税等级分级范围" localSheetId="17">'[1]数据-取费表'!$A$53:$A$63</definedName>
    <definedName name="城镇土地纳税等级分级范围" localSheetId="18">'[1]数据-取费表'!$A$53:$A$63</definedName>
    <definedName name="城镇土地纳税等级分级范围" localSheetId="10">'[2]数据-取费表'!$A$53:$A$63</definedName>
    <definedName name="城镇土地纳税等级分级范围" localSheetId="16">'[1]数据-取费表'!$A$53:$A$63</definedName>
    <definedName name="城镇土地纳税等级分级范围">'数据-取费表'!$A$53:$A$63</definedName>
    <definedName name="单价内涵" localSheetId="17">[1]定义!$V$1:$V$3</definedName>
    <definedName name="单价内涵" localSheetId="18">[1]定义!$V$1:$V$3</definedName>
    <definedName name="单价内涵" localSheetId="10">[2]定义!$V$1:$V$3</definedName>
    <definedName name="单价内涵" localSheetId="16">[1]定义!$V$1:$V$3</definedName>
    <definedName name="单价内涵">定义!$V$1:$V$3</definedName>
    <definedName name="地类判定" localSheetId="17">[1]定义!$H$1:$H$9</definedName>
    <definedName name="地类判定" localSheetId="18">[1]定义!$H$1:$H$9</definedName>
    <definedName name="地类判定" localSheetId="10">[2]定义!$H$1:$H$9</definedName>
    <definedName name="地类判定" localSheetId="16">[1]定义!$H$1:$H$9</definedName>
    <definedName name="地类判定">定义!$H$1:$H$9</definedName>
    <definedName name="二级" localSheetId="17">[1]区片价!$J$1:$J$20</definedName>
    <definedName name="二级" localSheetId="18">[1]区片价!$J$1:$J$20</definedName>
    <definedName name="二级" localSheetId="10">[2]区片价!$J$1:$J$20</definedName>
    <definedName name="二级" localSheetId="16">[1]区片价!$J$1:$J$20</definedName>
    <definedName name="二级">区片价!$J$1:$J$20</definedName>
    <definedName name="二级分类" localSheetId="17">[1]修正!$C$17:$C$39</definedName>
    <definedName name="二级分类" localSheetId="18">[1]修正!$C$17:$C$39</definedName>
    <definedName name="二级分类" localSheetId="10">[2]修正!$C$17:$C$39</definedName>
    <definedName name="二级分类" localSheetId="16">[1]修正!$C$17:$C$39</definedName>
    <definedName name="二级分类">修正!$C$17:$C$39</definedName>
    <definedName name="法定最高年限" localSheetId="17">[1]定义!$G$2:$G$4</definedName>
    <definedName name="法定最高年限" localSheetId="18">[1]定义!$G$2:$G$4</definedName>
    <definedName name="法定最高年限" localSheetId="10">[2]定义!$G$2:$G$4</definedName>
    <definedName name="法定最高年限" localSheetId="16">[1]定义!$G$2:$G$4</definedName>
    <definedName name="法定最高年限">定义!$G$2:$G$4</definedName>
    <definedName name="工业公共部分装修" localSheetId="17">'[1]不动产比较法-工业'!$B$95:$M$95</definedName>
    <definedName name="工业公共部分装修" localSheetId="18">'[1]不动产比较法-工业'!$B$95:$M$95</definedName>
    <definedName name="工业公共部分装修" localSheetId="10">'[2]不动产比较法-工业'!$B$95:$M$95</definedName>
    <definedName name="工业公共部分装修" localSheetId="16">'[1]不动产比较法-工业'!$B$95:$M$95</definedName>
    <definedName name="工业公共部分装修">'不动产比较法-工业'!$B$95:$M$95</definedName>
    <definedName name="工业基础设施水平" localSheetId="17">'[1]不动产比较法-工业'!$B$102:$M$102</definedName>
    <definedName name="工业基础设施水平" localSheetId="18">'[1]不动产比较法-工业'!$B$102:$M$102</definedName>
    <definedName name="工业基础设施水平" localSheetId="10">'[2]不动产比较法-工业'!$B$102:$M$102</definedName>
    <definedName name="工业基础设施水平" localSheetId="16">'[1]不动产比较法-工业'!$B$102:$M$102</definedName>
    <definedName name="工业基础设施水平">'不动产比较法-工业'!$B$102:$M$102</definedName>
    <definedName name="工业建筑结构" localSheetId="17">'[1]不动产比较法-工业'!$B$93:$M$93</definedName>
    <definedName name="工业建筑结构" localSheetId="18">'[1]不动产比较法-工业'!$B$93:$M$93</definedName>
    <definedName name="工业建筑结构" localSheetId="10">'[2]不动产比较法-工业'!$B$93:$M$93</definedName>
    <definedName name="工业建筑结构" localSheetId="16">'[1]不动产比较法-工业'!$B$93:$M$93</definedName>
    <definedName name="工业建筑结构">'不动产比较法-工业'!$B$93:$M$93</definedName>
    <definedName name="工业建筑类型" localSheetId="17">'[1]不动产比较法-工业'!$B$88:$M$88</definedName>
    <definedName name="工业建筑类型" localSheetId="18">'[1]不动产比较法-工业'!$B$88:$M$88</definedName>
    <definedName name="工业建筑类型" localSheetId="10">'[2]不动产比较法-工业'!$B$88:$M$88</definedName>
    <definedName name="工业建筑类型" localSheetId="16">'[1]不动产比较法-工业'!$B$88:$M$88</definedName>
    <definedName name="工业建筑类型">'不动产比较法-工业'!$B$88:$M$88</definedName>
    <definedName name="工业交易情况" localSheetId="17">'[1]不动产比较法-工业'!$A$55:$M$55</definedName>
    <definedName name="工业交易情况" localSheetId="18">'[1]不动产比较法-工业'!$A$55:$M$55</definedName>
    <definedName name="工业交易情况" localSheetId="10">'[2]不动产比较法-工业'!$A$55:$M$55</definedName>
    <definedName name="工业交易情况" localSheetId="16">'[1]不动产比较法-工业'!$A$55:$M$55</definedName>
    <definedName name="工业交易情况">'不动产比较法-工业'!$A$55:$M$55</definedName>
    <definedName name="工业内部装修" localSheetId="17">'[1]不动产比较法-工业'!$B$104:$M$104</definedName>
    <definedName name="工业内部装修" localSheetId="18">'[1]不动产比较法-工业'!$B$104:$M$104</definedName>
    <definedName name="工业内部装修" localSheetId="10">'[2]不动产比较法-工业'!$B$104:$M$104</definedName>
    <definedName name="工业内部装修" localSheetId="16">'[1]不动产比较法-工业'!$B$104:$M$104</definedName>
    <definedName name="工业内部装修">'不动产比较法-工业'!$B$104:$M$104</definedName>
    <definedName name="工业物业管理" localSheetId="17">'[1]不动产比较法-工业'!$B$100:$M$100</definedName>
    <definedName name="工业物业管理" localSheetId="18">'[1]不动产比较法-工业'!$B$100:$M$100</definedName>
    <definedName name="工业物业管理" localSheetId="10">'[2]不动产比较法-工业'!$B$100:$M$100</definedName>
    <definedName name="工业物业管理" localSheetId="16">'[1]不动产比较法-工业'!$B$100:$M$100</definedName>
    <definedName name="工业物业管理">'不动产比较法-工业'!$B$100:$M$100</definedName>
    <definedName name="工业用途" localSheetId="17">'[1]不动产比较法-工业'!$B$57:$M$57</definedName>
    <definedName name="工业用途" localSheetId="18">'[1]不动产比较法-工业'!$B$57:$M$57</definedName>
    <definedName name="工业用途" localSheetId="10">'[2]不动产比较法-工业'!$B$57:$M$57</definedName>
    <definedName name="工业用途" localSheetId="16">'[1]不动产比较法-工业'!$B$57:$M$57</definedName>
    <definedName name="工业用途">'不动产比较法-工业'!$B$57:$M$57</definedName>
    <definedName name="公共配套设施" localSheetId="17">[1]定义!$Q$1:$Q$6</definedName>
    <definedName name="公共配套设施" localSheetId="18">[1]定义!$Q$1:$Q$6</definedName>
    <definedName name="公共配套设施" localSheetId="10">[2]定义!$Q$1:$Q$6</definedName>
    <definedName name="公共配套设施" localSheetId="16">[1]定义!$Q$1:$Q$6</definedName>
    <definedName name="公共配套设施">定义!$Q$1:$Q$6</definedName>
    <definedName name="估价方法" localSheetId="17">[1]定义!$B$1:$B$50</definedName>
    <definedName name="估价方法" localSheetId="18">[1]定义!$B$1:$B$50</definedName>
    <definedName name="估价方法" localSheetId="10">[2]定义!$B$1:$B$50</definedName>
    <definedName name="估价方法" localSheetId="16">[1]定义!$B$1:$B$50</definedName>
    <definedName name="估价方法">定义!$B$1:$B$50</definedName>
    <definedName name="环境" localSheetId="17">[1]定义!$S$1:$S$6</definedName>
    <definedName name="环境" localSheetId="18">[1]定义!$S$1:$S$6</definedName>
    <definedName name="环境" localSheetId="10">[2]定义!$S$1:$S$6</definedName>
    <definedName name="环境" localSheetId="16">[1]定义!$S$1:$S$6</definedName>
    <definedName name="环境">定义!$S$1:$S$6</definedName>
    <definedName name="基础设施水平" localSheetId="17">[1]定义!$R$1:$R$6</definedName>
    <definedName name="基础设施水平" localSheetId="18">[1]定义!$R$1:$R$6</definedName>
    <definedName name="基础设施水平" localSheetId="10">[2]定义!$R$1:$R$6</definedName>
    <definedName name="基础设施水平" localSheetId="16">[1]定义!$R$1:$R$6</definedName>
    <definedName name="基础设施水平">定义!$R$1:$R$6</definedName>
    <definedName name="季度" localSheetId="17">'[1]基准地价（商业）-满年限'!$N$19:$AB$19</definedName>
    <definedName name="季度" localSheetId="19">基准地价出结果用!$N$19:$AB$19</definedName>
    <definedName name="季度" localSheetId="20">基准地价级别低限!$N$19:$AB$19</definedName>
    <definedName name="季度" localSheetId="18">'[1]基准地价（商业）-满年限'!$N$19:$AB$19</definedName>
    <definedName name="季度" localSheetId="10">[2]基准地价!$N$19:$AB$19</definedName>
    <definedName name="季度" localSheetId="16">'[1]基准地价（商业）-满年限'!$N$19:$AB$19</definedName>
    <definedName name="季度">基准地价!$N$19:$AB$19</definedName>
    <definedName name="季度2014" localSheetId="17">[1]地价!$A$2:$A$35</definedName>
    <definedName name="季度2014" localSheetId="18">[1]地价!$A$2:$A$35</definedName>
    <definedName name="季度2014" localSheetId="10">[2]地价!$A$2:$A$36</definedName>
    <definedName name="季度2014" localSheetId="16">[1]地价!$A$2:$A$35</definedName>
    <definedName name="季度2014">地价!$A$2:$A$36</definedName>
    <definedName name="价值类型2" localSheetId="17">[1]定义!$B$54:$B$56</definedName>
    <definedName name="价值类型2" localSheetId="18">[1]定义!$B$54:$B$56</definedName>
    <definedName name="价值类型2" localSheetId="10">[2]定义!$B$54:$B$56</definedName>
    <definedName name="价值类型2" localSheetId="16">[1]定义!$B$54:$B$56</definedName>
    <definedName name="价值类型2">定义!$B$54:$B$56</definedName>
    <definedName name="交通便捷度" localSheetId="17">[1]定义!$O$1:$O$6</definedName>
    <definedName name="交通便捷度" localSheetId="18">[1]定义!$O$1:$O$6</definedName>
    <definedName name="交通便捷度" localSheetId="10">[2]定义!$O$1:$O$6</definedName>
    <definedName name="交通便捷度" localSheetId="16">[1]定义!$O$1:$O$6</definedName>
    <definedName name="交通便捷度">定义!$O$1:$O$6</definedName>
    <definedName name="九级" localSheetId="17">[1]区片价!$Q$1:$Q$46</definedName>
    <definedName name="九级" localSheetId="18">[1]区片价!$Q$1:$Q$46</definedName>
    <definedName name="九级" localSheetId="10">[2]区片价!$Q$1:$Q$46</definedName>
    <definedName name="九级" localSheetId="16">[1]区片价!$Q$1:$Q$46</definedName>
    <definedName name="九级">区片价!$Q$1:$Q$46</definedName>
    <definedName name="居住社区成熟度" localSheetId="17">[1]定义!$K$1:$K$6</definedName>
    <definedName name="居住社区成熟度" localSheetId="18">[1]定义!$K$1:$K$6</definedName>
    <definedName name="居住社区成熟度" localSheetId="10">[2]定义!$K$1:$K$6</definedName>
    <definedName name="居住社区成熟度" localSheetId="16">[1]定义!$K$1:$K$6</definedName>
    <definedName name="居住社区成熟度">定义!$K$1:$K$6</definedName>
    <definedName name="类别" localSheetId="17">[1]定义!$J$1:$J$3</definedName>
    <definedName name="类别" localSheetId="18">[1]定义!$J$1:$J$3</definedName>
    <definedName name="类别" localSheetId="10">[2]定义!$J$1:$J$3</definedName>
    <definedName name="类别" localSheetId="16">[1]定义!$J$1:$J$3</definedName>
    <definedName name="类别">定义!$J$1:$J$3</definedName>
    <definedName name="临街状况" localSheetId="17">[1]定义!$T$1:$T$5</definedName>
    <definedName name="临街状况" localSheetId="18">[1]定义!$T$1:$T$5</definedName>
    <definedName name="临街状况" localSheetId="10">[2]定义!$T$1:$T$5</definedName>
    <definedName name="临街状况" localSheetId="16">[1]定义!$T$1:$T$5</definedName>
    <definedName name="临街状况">定义!$T$1:$T$5</definedName>
    <definedName name="六级" localSheetId="17">[1]区片价!$N$1:$N$49</definedName>
    <definedName name="六级" localSheetId="18">[1]区片价!$N$1:$N$49</definedName>
    <definedName name="六级" localSheetId="10">[2]区片价!$N$1:$N$49</definedName>
    <definedName name="六级" localSheetId="16">[1]区片价!$N$1:$N$49</definedName>
    <definedName name="六级">区片价!$N$1:$N$49</definedName>
    <definedName name="内部装修维护情况" localSheetId="17">[1]定义!$U$1:$U$6</definedName>
    <definedName name="内部装修维护情况" localSheetId="18">[1]定义!$U$1:$U$6</definedName>
    <definedName name="内部装修维护情况" localSheetId="10">[2]定义!$U$1:$U$6</definedName>
    <definedName name="内部装修维护情况" localSheetId="16">[1]定义!$U$1:$U$6</definedName>
    <definedName name="内部装修维护情况">定义!$U$1:$U$6</definedName>
    <definedName name="判定" localSheetId="17">[1]定义!$D$1:$D$4</definedName>
    <definedName name="判定" localSheetId="18">[1]定义!$D$1:$D$4</definedName>
    <definedName name="判定" localSheetId="10">[2]定义!$D$1:$D$4</definedName>
    <definedName name="判定" localSheetId="16">[1]定义!$D$1:$D$4</definedName>
    <definedName name="判定">定义!$D$1:$D$4</definedName>
    <definedName name="七级" localSheetId="17">[1]区片价!$O$1:$O$49</definedName>
    <definedName name="七级" localSheetId="18">[1]区片价!$O$1:$O$49</definedName>
    <definedName name="七级" localSheetId="10">[2]区片价!$O$1:$O$49</definedName>
    <definedName name="七级" localSheetId="16">[1]区片价!$O$1:$O$49</definedName>
    <definedName name="七级">区片价!$O$1:$O$49</definedName>
    <definedName name="七通一平" localSheetId="17">[1]修正!$A$6:$A$14</definedName>
    <definedName name="七通一平" localSheetId="18">[1]修正!$A$6:$A$14</definedName>
    <definedName name="七通一平" localSheetId="10">[2]修正!$A$6:$A$14</definedName>
    <definedName name="七通一平" localSheetId="16">[1]修正!$A$6:$A$14</definedName>
    <definedName name="七通一平">修正!$A$6:$A$14</definedName>
    <definedName name="区域土地利用方向" localSheetId="17">[1]定义!$P$1:$P$6</definedName>
    <definedName name="区域土地利用方向" localSheetId="18">[1]定义!$P$1:$P$6</definedName>
    <definedName name="区域土地利用方向" localSheetId="10">[2]定义!$P$1:$P$6</definedName>
    <definedName name="区域土地利用方向" localSheetId="16">[1]定义!$P$1:$P$6</definedName>
    <definedName name="区域土地利用方向">定义!$P$1:$P$6</definedName>
    <definedName name="三级" localSheetId="17">[1]区片价!$K$1:$K$21</definedName>
    <definedName name="三级" localSheetId="18">[1]区片价!$K$1:$K$21</definedName>
    <definedName name="三级" localSheetId="10">[2]区片价!$K$1:$K$21</definedName>
    <definedName name="三级" localSheetId="16">[1]区片价!$K$1:$K$21</definedName>
    <definedName name="三级">区片价!$K$1:$K$21</definedName>
    <definedName name="商业层高" localSheetId="17">'[1]不动产比较法-商业'!$B$116:$M$116</definedName>
    <definedName name="商业层高" localSheetId="18">'[1]不动产比较法-商业'!$B$116:$M$116</definedName>
    <definedName name="商业层高" localSheetId="10">'[2]不动产比较法-商业'!$B$116:$M$116</definedName>
    <definedName name="商业层高" localSheetId="16">'[1]不动产比较法-商业'!$B$116:$M$116</definedName>
    <definedName name="商业层高">'不动产比较法-商业'!$B$116:$M$116</definedName>
    <definedName name="商业成新度" localSheetId="17">'[1]不动产比较法-商业'!$B$109:$M$109</definedName>
    <definedName name="商业成新度" localSheetId="18">'[1]不动产比较法-商业'!$B$109:$M$109</definedName>
    <definedName name="商业成新度" localSheetId="10">'[2]不动产比较法-商业'!$B$109:$M$109</definedName>
    <definedName name="商业成新度" localSheetId="16">'[1]不动产比较法-商业'!$B$109:$M$109</definedName>
    <definedName name="商业成新度">'不动产比较法-商业'!$B$109:$M$109</definedName>
    <definedName name="商业繁华度" localSheetId="17">[1]定义!$L$1:$L$6</definedName>
    <definedName name="商业繁华度" localSheetId="18">[1]定义!$L$1:$L$6</definedName>
    <definedName name="商业繁华度" localSheetId="10">[2]定义!$L$1:$L$6</definedName>
    <definedName name="商业繁华度" localSheetId="16">[1]定义!$L$1:$L$6</definedName>
    <definedName name="商业繁华度">定义!$L$1:$L$6</definedName>
    <definedName name="商业公共部分装修" localSheetId="17">'[1]不动产比较法-商业'!$B$107:$M$107</definedName>
    <definedName name="商业公共部分装修" localSheetId="18">'[1]不动产比较法-商业'!$B$107:$M$107</definedName>
    <definedName name="商业公共部分装修" localSheetId="10">'[2]不动产比较法-商业'!$B$107:$M$107</definedName>
    <definedName name="商业公共部分装修" localSheetId="16">'[1]不动产比较法-商业'!$B$107:$M$107</definedName>
    <definedName name="商业公共部分装修">'不动产比较法-商业'!$B$107:$M$107</definedName>
    <definedName name="商业基础设施水平" localSheetId="17">'[1]不动产比较法-商业'!$B$112:$M$112</definedName>
    <definedName name="商业基础设施水平" localSheetId="18">'[1]不动产比较法-商业'!$B$112:$M$112</definedName>
    <definedName name="商业基础设施水平" localSheetId="10">'[2]不动产比较法-商业'!$B$112:$M$112</definedName>
    <definedName name="商业基础设施水平" localSheetId="16">'[1]不动产比较法-商业'!$B$112:$M$112</definedName>
    <definedName name="商业基础设施水平">'不动产比较法-商业'!$B$112:$M$112</definedName>
    <definedName name="商业建筑结构" localSheetId="17">'[1]不动产比较法-商业'!$B$105:$M$105</definedName>
    <definedName name="商业建筑结构" localSheetId="18">'[1]不动产比较法-商业'!$B$105:$M$105</definedName>
    <definedName name="商业建筑结构" localSheetId="10">'[2]不动产比较法-商业'!$B$105:$M$105</definedName>
    <definedName name="商业建筑结构" localSheetId="16">'[1]不动产比较法-商业'!$B$105:$M$105</definedName>
    <definedName name="商业建筑结构">'不动产比较法-商业'!$B$105:$M$105</definedName>
    <definedName name="商业交易情况" localSheetId="17">'[1]不动产比较法-商业'!$A$61:$M$61</definedName>
    <definedName name="商业交易情况" localSheetId="18">'[1]不动产比较法-商业'!$A$61:$M$61</definedName>
    <definedName name="商业交易情况" localSheetId="10">'[2]不动产比较法-商业'!$A$61:$M$61</definedName>
    <definedName name="商业交易情况" localSheetId="16">'[1]不动产比较法-商业'!$A$61:$M$61</definedName>
    <definedName name="商业交易情况">'不动产比较法-商业'!$A$61:$M$61</definedName>
    <definedName name="商业街名称" localSheetId="17">[1]修正!$C$59:$C$119</definedName>
    <definedName name="商业街名称" localSheetId="18">[1]修正!$C$59:$C$119</definedName>
    <definedName name="商业街名称" localSheetId="10">[2]修正!$C$59:$C$119</definedName>
    <definedName name="商业街名称" localSheetId="16">[1]修正!$C$59:$C$119</definedName>
    <definedName name="商业街名称">修正!$C$59:$C$119</definedName>
    <definedName name="商业进深比" localSheetId="17">'[1]不动产比较法-商业'!$B$120:$M$120</definedName>
    <definedName name="商业进深比" localSheetId="18">'[1]不动产比较法-商业'!$B$120:$M$120</definedName>
    <definedName name="商业进深比" localSheetId="10">'[2]不动产比较法-商业'!$B$120:$M$120</definedName>
    <definedName name="商业进深比" localSheetId="16">'[1]不动产比较法-商业'!$B$120:$M$120</definedName>
    <definedName name="商业进深比">'不动产比较法-商业'!$B$120:$M$120</definedName>
    <definedName name="商业类型" localSheetId="17">'[1]不动产比较法-商业'!$B$100:$M$100</definedName>
    <definedName name="商业类型" localSheetId="18">'[1]不动产比较法-商业'!$B$100:$M$100</definedName>
    <definedName name="商业类型" localSheetId="10">'[2]不动产比较法-商业'!$B$100:$M$100</definedName>
    <definedName name="商业类型" localSheetId="16">'[1]不动产比较法-商业'!$B$100:$M$100</definedName>
    <definedName name="商业类型">'不动产比较法-商业'!$B$100:$M$100</definedName>
    <definedName name="商业临街状况" localSheetId="17">'[1]不动产比较法-商业'!$B$86:$M$86</definedName>
    <definedName name="商业临街状况" localSheetId="18">'[1]不动产比较法-商业'!$B$86:$M$86</definedName>
    <definedName name="商业临街状况" localSheetId="10">'[2]不动产比较法-商业'!$B$86:$M$86</definedName>
    <definedName name="商业临街状况" localSheetId="16">'[1]不动产比较法-商业'!$B$86:$M$86</definedName>
    <definedName name="商业临街状况">'不动产比较法-商业'!$B$86:$M$86</definedName>
    <definedName name="商业楼层" localSheetId="17">'[1]不动产比较法-商业'!$B$92:$M$92</definedName>
    <definedName name="商业楼层" localSheetId="18">'[1]不动产比较法-商业'!$B$92:$M$92</definedName>
    <definedName name="商业楼层" localSheetId="10">'[2]不动产比较法-商业'!$B$92:$M$92</definedName>
    <definedName name="商业楼层" localSheetId="16">'[1]不动产比较法-商业'!$B$92:$M$92</definedName>
    <definedName name="商业楼层">'不动产比较法-商业'!$B$92:$M$92</definedName>
    <definedName name="商业内部装修" localSheetId="17">'[1]不动产比较法-商业'!$B$122:$M$122</definedName>
    <definedName name="商业内部装修" localSheetId="18">'[1]不动产比较法-商业'!$B$122:$M$122</definedName>
    <definedName name="商业内部装修" localSheetId="10">'[2]不动产比较法-商业'!$B$122:$M$122</definedName>
    <definedName name="商业内部装修" localSheetId="16">'[1]不动产比较法-商业'!$B$122:$M$122</definedName>
    <definedName name="商业内部装修">'不动产比较法-商业'!$B$122:$M$122</definedName>
    <definedName name="商业人流量" localSheetId="17">'[1]不动产比较法-商业'!$B$90:$M$90</definedName>
    <definedName name="商业人流量" localSheetId="18">'[1]不动产比较法-商业'!$B$90:$M$90</definedName>
    <definedName name="商业人流量" localSheetId="10">'[2]不动产比较法-商业'!$B$90:$M$90</definedName>
    <definedName name="商业人流量" localSheetId="16">'[1]不动产比较法-商业'!$B$90:$M$90</definedName>
    <definedName name="商业人流量">'不动产比较法-商业'!$B$90:$M$90</definedName>
    <definedName name="商业业态" localSheetId="17">'[1]不动产比较法-商业'!$B$114:$M$114</definedName>
    <definedName name="商业业态" localSheetId="18">'[1]不动产比较法-商业'!$B$114:$M$114</definedName>
    <definedName name="商业业态" localSheetId="10">'[2]不动产比较法-商业'!$B$114:$M$114</definedName>
    <definedName name="商业业态" localSheetId="16">'[1]不动产比较法-商业'!$B$114:$M$114</definedName>
    <definedName name="商业业态">'不动产比较法-商业'!$B$114:$M$114</definedName>
    <definedName name="商业用途" localSheetId="17">'[1]不动产比较法-商业'!$B$63:$M$63</definedName>
    <definedName name="商业用途" localSheetId="18">'[1]不动产比较法-商业'!$B$63:$M$63</definedName>
    <definedName name="商业用途" localSheetId="10">'[2]不动产比较法-商业'!$B$63:$M$63</definedName>
    <definedName name="商业用途" localSheetId="16">'[1]不动产比较法-商业'!$B$63:$M$63</definedName>
    <definedName name="商业用途">'不动产比较法-商业'!$B$63:$M$63</definedName>
    <definedName name="十二级" localSheetId="17">[1]区片价!$T$1:$T$8</definedName>
    <definedName name="十二级" localSheetId="18">[1]区片价!$T$1:$T$8</definedName>
    <definedName name="十二级" localSheetId="10">[2]区片价!$T$1:$T$8</definedName>
    <definedName name="十二级" localSheetId="16">[1]区片价!$T$1:$T$8</definedName>
    <definedName name="十二级">区片价!$T$1:$T$8</definedName>
    <definedName name="十级" localSheetId="17">[1]区片价!$R$1:$R$27</definedName>
    <definedName name="十级" localSheetId="18">[1]区片价!$R$1:$R$27</definedName>
    <definedName name="十级" localSheetId="10">[2]区片价!$R$1:$R$27</definedName>
    <definedName name="十级" localSheetId="16">[1]区片价!$R$1:$R$27</definedName>
    <definedName name="十级">区片价!$R$1:$R$27</definedName>
    <definedName name="十一级" localSheetId="17">[1]区片价!$S$1:$S$22</definedName>
    <definedName name="十一级" localSheetId="18">[1]区片价!$S$1:$S$22</definedName>
    <definedName name="十一级" localSheetId="10">[2]区片价!$S$1:$S$22</definedName>
    <definedName name="十一级" localSheetId="16">[1]区片价!$S$1:$S$22</definedName>
    <definedName name="十一级">区片价!$S$1:$S$22</definedName>
    <definedName name="是否封闭" localSheetId="17">'[1]不动产比较法-仓储'!$B$89:$M$89</definedName>
    <definedName name="是否封闭" localSheetId="18">'[1]不动产比较法-仓储'!$B$89:$M$89</definedName>
    <definedName name="是否封闭" localSheetId="10">'[2]不动产比较法-仓储'!$B$89:$M$89</definedName>
    <definedName name="是否封闭" localSheetId="16">'[1]不动产比较法-仓储'!$B$89:$M$89</definedName>
    <definedName name="是否封闭">'不动产比较法-仓储'!$B$89:$M$89</definedName>
    <definedName name="是否直接入户" localSheetId="17">'[1]不动产比较法-车位'!$B$95:$M$95</definedName>
    <definedName name="是否直接入户" localSheetId="18">'[1]不动产比较法-车位'!$B$95:$M$95</definedName>
    <definedName name="是否直接入户" localSheetId="10">'[2]不动产比较法-车位'!$B$95:$M$95</definedName>
    <definedName name="是否直接入户" localSheetId="16">'[1]不动产比较法-车位'!$B$95:$M$95</definedName>
    <definedName name="是否直接入户">'不动产比较法-车位'!$B$95:$M$95</definedName>
    <definedName name="四级" localSheetId="17">[1]区片价!$L$1:$L$28</definedName>
    <definedName name="四级" localSheetId="18">[1]区片价!$L$1:$L$28</definedName>
    <definedName name="四级" localSheetId="10">[2]区片价!$L$1:$L$28</definedName>
    <definedName name="四级" localSheetId="16">[1]区片价!$L$1:$L$28</definedName>
    <definedName name="四级">区片价!$L$1:$L$28</definedName>
    <definedName name="套工工程地质条件" localSheetId="17">'[1]比较法-工业'!$B$116:$M$116</definedName>
    <definedName name="套工工程地质条件" localSheetId="18">'[1]比较法-工业'!$B$116:$M$116</definedName>
    <definedName name="套工工程地质条件" localSheetId="10">'[2]比较法-工业'!$B$116:$M$116</definedName>
    <definedName name="套工工程地质条件" localSheetId="16">'[1]比较法-工业'!$B$116:$M$116</definedName>
    <definedName name="套工工程地质条件">'比较法-工业'!$B$116:$M$116</definedName>
    <definedName name="套工交易情况" localSheetId="17">'[1]比较法-商业土地'!$A$75:$M$75</definedName>
    <definedName name="套工交易情况" localSheetId="18">'[1]比较法-商业土地'!$A$75:$M$75</definedName>
    <definedName name="套工交易情况" localSheetId="10">'[2]比较法-住宅、综合'!$A$75:$M$75</definedName>
    <definedName name="套工交易情况" localSheetId="16">'[1]比较法-商业土地'!$A$75:$M$75</definedName>
    <definedName name="套工交易情况">'比较法-住宅、综合'!$A$75:$M$75</definedName>
    <definedName name="套工开发程度" localSheetId="17">'[1]比较法-工业'!$B$114:$M$114</definedName>
    <definedName name="套工开发程度" localSheetId="18">'[1]比较法-工业'!$B$114:$M$114</definedName>
    <definedName name="套工开发程度" localSheetId="10">'[2]比较法-工业'!$B$114:$M$114</definedName>
    <definedName name="套工开发程度" localSheetId="16">'[1]比较法-工业'!$B$114:$M$114</definedName>
    <definedName name="套工开发程度">'比较法-工业'!$B$114:$M$114</definedName>
    <definedName name="套工临街等级" localSheetId="17">'[1]比较法-工业'!$B$99:$M$99</definedName>
    <definedName name="套工临街等级" localSheetId="18">'[1]比较法-工业'!$B$99:$M$99</definedName>
    <definedName name="套工临街等级" localSheetId="10">'[2]比较法-工业'!$B$99:$M$99</definedName>
    <definedName name="套工临街等级" localSheetId="16">'[1]比较法-工业'!$B$99:$M$99</definedName>
    <definedName name="套工临街等级">'比较法-工业'!$B$99:$M$99</definedName>
    <definedName name="套工土地级别" localSheetId="17">'[1]比较法-工业'!$B$101:$M$101</definedName>
    <definedName name="套工土地级别" localSheetId="18">'[1]比较法-工业'!$B$101:$M$101</definedName>
    <definedName name="套工土地级别" localSheetId="10">'[2]比较法-工业'!$B$101:$M$101</definedName>
    <definedName name="套工土地级别" localSheetId="16">'[1]比较法-工业'!$B$101:$M$101</definedName>
    <definedName name="套工土地级别">'比较法-工业'!$B$101:$M$101</definedName>
    <definedName name="套工用途" localSheetId="17">'[1]比较法-工业'!$B$72:$M$72</definedName>
    <definedName name="套工用途" localSheetId="18">'[1]比较法-工业'!$B$72:$M$72</definedName>
    <definedName name="套工用途" localSheetId="10">'[2]比较法-工业'!$B$72:$M$72</definedName>
    <definedName name="套工用途" localSheetId="16">'[1]比较法-工业'!$B$72:$M$72</definedName>
    <definedName name="套工用途">'比较法-工业'!$B$72:$M$72</definedName>
    <definedName name="套工宗地形状" localSheetId="17">'[1]比较法-工业'!$B$112:$M$112</definedName>
    <definedName name="套工宗地形状" localSheetId="18">'[1]比较法-工业'!$B$112:$M$112</definedName>
    <definedName name="套工宗地形状" localSheetId="10">'[2]比较法-工业'!$B$112:$M$112</definedName>
    <definedName name="套工宗地形状" localSheetId="16">'[1]比较法-工业'!$B$112:$M$112</definedName>
    <definedName name="套工宗地形状">'比较法-工业'!$B$112:$M$112</definedName>
    <definedName name="套综道路等级" localSheetId="17">'[1]比较法-商业土地'!$B$108:$M$108</definedName>
    <definedName name="套综道路等级" localSheetId="18">'[1]比较法-商业土地'!$B$108:$M$108</definedName>
    <definedName name="套综道路等级" localSheetId="10">'[2]比较法-住宅、综合'!$B$108:$M$108</definedName>
    <definedName name="套综道路等级" localSheetId="16">'[1]比较法-商业土地'!$B$108:$M$108</definedName>
    <definedName name="套综道路等级">'比较法-住宅、综合'!$B$108:$M$108</definedName>
    <definedName name="套综工程地质条件" localSheetId="17">'[1]比较法-商业土地'!$B$127:$M$127</definedName>
    <definedName name="套综工程地质条件" localSheetId="18">'[1]比较法-商业土地'!$B$127:$M$127</definedName>
    <definedName name="套综工程地质条件" localSheetId="10">'[2]比较法-住宅、综合'!$B$127:$M$127</definedName>
    <definedName name="套综工程地质条件" localSheetId="16">'[1]比较法-商业土地'!$B$127:$M$127</definedName>
    <definedName name="套综工程地质条件">'比较法-住宅、综合'!$B$127:$M$127</definedName>
    <definedName name="套综交易情况" localSheetId="17">'[1]比较法-商业土地'!$A$75:$M$75</definedName>
    <definedName name="套综交易情况" localSheetId="18">'[1]比较法-商业土地'!$A$75:$M$75</definedName>
    <definedName name="套综交易情况" localSheetId="10">'[2]比较法-住宅、综合'!$A$75:$M$75</definedName>
    <definedName name="套综交易情况" localSheetId="16">'[1]比较法-商业土地'!$A$75:$M$75</definedName>
    <definedName name="套综交易情况">'比较法-住宅、综合'!$A$75:$M$75</definedName>
    <definedName name="套综临街宽度及深度" localSheetId="17">'[1]比较法-商业土地'!$B$123:$M$123</definedName>
    <definedName name="套综临街宽度及深度" localSheetId="18">'[1]比较法-商业土地'!$B$123:$M$123</definedName>
    <definedName name="套综临街宽度及深度" localSheetId="10">'[2]比较法-住宅、综合'!$B$123:$M$123</definedName>
    <definedName name="套综临街宽度及深度" localSheetId="16">'[1]比较法-商业土地'!$B$123:$M$123</definedName>
    <definedName name="套综临街宽度及深度">'比较法-住宅、综合'!$B$123:$M$123</definedName>
    <definedName name="套综土地级别" localSheetId="17">'[1]比较法-商业土地'!$B$110:$M$110</definedName>
    <definedName name="套综土地级别" localSheetId="18">'[1]比较法-商业土地'!$B$110:$M$110</definedName>
    <definedName name="套综土地级别" localSheetId="10">'[2]比较法-住宅、综合'!$B$110:$M$110</definedName>
    <definedName name="套综土地级别" localSheetId="16">'[1]比较法-商业土地'!$B$110:$M$110</definedName>
    <definedName name="套综土地级别">'比较法-住宅、综合'!$B$110:$M$110</definedName>
    <definedName name="套综用途" localSheetId="17">'[1]比较法-商业土地'!$B$77:$M$77</definedName>
    <definedName name="套综用途" localSheetId="18">'[1]比较法-商业土地'!$B$77:$M$77</definedName>
    <definedName name="套综用途" localSheetId="10">'[2]比较法-住宅、综合'!$B$77:$M$77</definedName>
    <definedName name="套综用途" localSheetId="16">'[1]比较法-商业土地'!$B$77:$M$77</definedName>
    <definedName name="套综用途">'比较法-住宅、综合'!$B$77:$M$77</definedName>
    <definedName name="套综宗地内开发程度" localSheetId="17">'[1]比较法-商业土地'!$B$125:$M$125</definedName>
    <definedName name="套综宗地内开发程度" localSheetId="18">'[1]比较法-商业土地'!$B$125:$M$125</definedName>
    <definedName name="套综宗地内开发程度" localSheetId="10">'[2]比较法-住宅、综合'!$B$125:$M$125</definedName>
    <definedName name="套综宗地内开发程度" localSheetId="16">'[1]比较法-商业土地'!$B$125:$M$125</definedName>
    <definedName name="套综宗地内开发程度">'比较法-住宅、综合'!$B$125:$M$125</definedName>
    <definedName name="套综宗地形状" localSheetId="17">'[1]比较法-商业土地'!$B$121:$M$121</definedName>
    <definedName name="套综宗地形状" localSheetId="18">'[1]比较法-商业土地'!$B$121:$M$121</definedName>
    <definedName name="套综宗地形状" localSheetId="10">'[2]比较法-住宅、综合'!$B$121:$M$121</definedName>
    <definedName name="套综宗地形状" localSheetId="16">'[1]比较法-商业土地'!$B$121:$M$121</definedName>
    <definedName name="套综宗地形状">'比较法-住宅、综合'!$B$121:$M$121</definedName>
    <definedName name="土地估价师" localSheetId="17">[1]估价师及机构信息!$D$3:$D$16</definedName>
    <definedName name="土地估价师" localSheetId="18">[1]估价师及机构信息!$D$3:$D$16</definedName>
    <definedName name="土地估价师" localSheetId="10">[2]估价师及机构信息!$D$3:$D$16</definedName>
    <definedName name="土地估价师" localSheetId="16">[1]估价师及机构信息!$D$3:$D$16</definedName>
    <definedName name="土地估价师">估价师及机构信息!$D$3:$D$16</definedName>
    <definedName name="土地级别" localSheetId="17">[1]定义!$C$1:$C$14</definedName>
    <definedName name="土地级别" localSheetId="18">[1]定义!$C$1:$C$14</definedName>
    <definedName name="土地级别" localSheetId="10">[2]定义!$C$1:$C$14</definedName>
    <definedName name="土地级别" localSheetId="16">[1]定义!$C$1:$C$14</definedName>
    <definedName name="土地级别">定义!$C$1:$C$14</definedName>
    <definedName name="土地利用方向" localSheetId="17">[1]定义!$P$1:$P$6</definedName>
    <definedName name="土地利用方向" localSheetId="18">[1]定义!$P$1:$P$6</definedName>
    <definedName name="土地利用方向" localSheetId="10">[2]定义!$P$1:$P$6</definedName>
    <definedName name="土地利用方向" localSheetId="16">[1]定义!$P$1:$P$6</definedName>
    <definedName name="土地利用方向">定义!$P$1:$P$6</definedName>
    <definedName name="土地年限区间" localSheetId="17">[1]定义!$I$1:$I$8</definedName>
    <definedName name="土地年限区间" localSheetId="18">[1]定义!$I$1:$I$8</definedName>
    <definedName name="土地年限区间" localSheetId="10">[2]定义!$I$1:$I$8</definedName>
    <definedName name="土地年限区间" localSheetId="16">[1]定义!$I$1:$I$8</definedName>
    <definedName name="土地年限区间">定义!$I$1:$I$8</definedName>
    <definedName name="位置" localSheetId="17">[1]定义!$E$2:$E$4</definedName>
    <definedName name="位置" localSheetId="18">[1]定义!$E$2:$E$4</definedName>
    <definedName name="位置" localSheetId="10">[2]定义!$E$2:$E$4</definedName>
    <definedName name="位置" localSheetId="16">[1]定义!$E$2:$E$4</definedName>
    <definedName name="位置">定义!$E$2:$E$4</definedName>
    <definedName name="五等判定" localSheetId="17">[1]定义!$W$1:$W$6</definedName>
    <definedName name="五等判定" localSheetId="18">[1]定义!$W$1:$W$6</definedName>
    <definedName name="五等判定" localSheetId="10">[2]定义!$W$1:$W$6</definedName>
    <definedName name="五等判定" localSheetId="16">[1]定义!$W$1:$W$6</definedName>
    <definedName name="五等判定">定义!$W$1:$W$6</definedName>
    <definedName name="五级" localSheetId="17">[1]区片价!$M$1:$M$35</definedName>
    <definedName name="五级" localSheetId="18">[1]区片价!$M$1:$M$35</definedName>
    <definedName name="五级" localSheetId="10">[2]区片价!$M$1:$M$35</definedName>
    <definedName name="五级" localSheetId="16">[1]区片价!$M$1:$M$35</definedName>
    <definedName name="五级">区片价!$M$1:$M$35</definedName>
    <definedName name="项目类型" localSheetId="17">'[1]数据-汇总表'!$C$17:$C$26</definedName>
    <definedName name="项目类型" localSheetId="18">'[1]数据-汇总表'!$C$17:$C$26</definedName>
    <definedName name="项目类型" localSheetId="10">'[2]数据-汇总表'!$C$17:$C$26</definedName>
    <definedName name="项目类型" localSheetId="16">'[1]数据-汇总表'!$C$17:$C$26</definedName>
    <definedName name="项目类型">'数据-汇总表'!$C$17:$C$26</definedName>
    <definedName name="写字楼等级" localSheetId="17">'[1]不动产比较法-办公'!$B$113:$M$113</definedName>
    <definedName name="写字楼等级" localSheetId="18">'[1]不动产比较法-办公'!$B$113:$M$113</definedName>
    <definedName name="写字楼等级" localSheetId="10">'[2]不动产比较法-办公'!$B$113:$M$113</definedName>
    <definedName name="写字楼等级" localSheetId="16">'[1]不动产比较法-办公'!$B$113:$M$113</definedName>
    <definedName name="写字楼等级">'不动产比较法-办公'!$B$113:$M$113</definedName>
    <definedName name="一级" localSheetId="17">[1]区片价!$I$1:$I$6</definedName>
    <definedName name="一级" localSheetId="18">[1]区片价!$I$1:$I$6</definedName>
    <definedName name="一级" localSheetId="10">[2]区片价!$I$1:$I$6</definedName>
    <definedName name="一级" localSheetId="16">[1]区片价!$I$1:$I$6</definedName>
    <definedName name="一级">区片价!$I$1:$I$6</definedName>
    <definedName name="一修多修正项2" localSheetId="17">[1]典型户型修正!$5:$5</definedName>
    <definedName name="一修多修正项2" localSheetId="18">[1]典型户型修正!$5:$5</definedName>
    <definedName name="一修多修正项2" localSheetId="10">[2]典型户型修正!$5:$5</definedName>
    <definedName name="一修多修正项2" localSheetId="16">[1]典型户型修正!$5:$5</definedName>
    <definedName name="一修多修正项2">典型户型修正!$5:$5</definedName>
    <definedName name="一修多修正项3" localSheetId="17">[1]典型户型修正!$7:$7</definedName>
    <definedName name="一修多修正项3" localSheetId="18">[1]典型户型修正!$7:$7</definedName>
    <definedName name="一修多修正项3" localSheetId="10">[2]典型户型修正!$7:$7</definedName>
    <definedName name="一修多修正项3" localSheetId="16">[1]典型户型修正!$7:$7</definedName>
    <definedName name="一修多修正项3">典型户型修正!$7:$7</definedName>
    <definedName name="一修多修正项4" localSheetId="17">[1]典型户型修正!$9:$9</definedName>
    <definedName name="一修多修正项4" localSheetId="18">[1]典型户型修正!$9:$9</definedName>
    <definedName name="一修多修正项4" localSheetId="10">[2]典型户型修正!$9:$9</definedName>
    <definedName name="一修多修正项4" localSheetId="16">[1]典型户型修正!$9:$9</definedName>
    <definedName name="一修多修正项4">典型户型修正!$9:$9</definedName>
    <definedName name="一修多修正项5" localSheetId="17">[1]典型户型修正!$11:$11</definedName>
    <definedName name="一修多修正项5" localSheetId="18">[1]典型户型修正!$11:$11</definedName>
    <definedName name="一修多修正项5" localSheetId="10">[2]典型户型修正!$11:$11</definedName>
    <definedName name="一修多修正项5" localSheetId="16">[1]典型户型修正!$11:$11</definedName>
    <definedName name="一修多修正项5">典型户型修正!$11:$11</definedName>
    <definedName name="一修多修正项6" localSheetId="17">[1]典型户型修正!$13:$13</definedName>
    <definedName name="一修多修正项6" localSheetId="18">[1]典型户型修正!$13:$13</definedName>
    <definedName name="一修多修正项6" localSheetId="10">[2]典型户型修正!$13:$13</definedName>
    <definedName name="一修多修正项6" localSheetId="16">[1]典型户型修正!$13:$13</definedName>
    <definedName name="一修多修正项6">典型户型修正!$13:$13</definedName>
    <definedName name="一修多修正项7" localSheetId="17">[1]典型户型修正!$15:$15</definedName>
    <definedName name="一修多修正项7" localSheetId="18">[1]典型户型修正!$15:$15</definedName>
    <definedName name="一修多修正项7" localSheetId="10">[2]典型户型修正!$15:$15</definedName>
    <definedName name="一修多修正项7" localSheetId="16">[1]典型户型修正!$15:$15</definedName>
    <definedName name="一修多修正项7">典型户型修正!$15:$15</definedName>
    <definedName name="一修多修正项8" localSheetId="17">[1]典型户型修正!$17:$17</definedName>
    <definedName name="一修多修正项8" localSheetId="18">[1]典型户型修正!$17:$17</definedName>
    <definedName name="一修多修正项8" localSheetId="10">[2]典型户型修正!$17:$17</definedName>
    <definedName name="一修多修正项8" localSheetId="16">[1]典型户型修正!$17:$17</definedName>
    <definedName name="一修多修正项8">典型户型修正!$17:$17</definedName>
    <definedName name="用途类型" localSheetId="17">[1]定义!$A$1:$A$50</definedName>
    <definedName name="用途类型" localSheetId="18">[1]定义!$A$1:$A$50</definedName>
    <definedName name="用途类型" localSheetId="10">[2]定义!$A$1:$A$50</definedName>
    <definedName name="用途类型" localSheetId="16">[1]定义!$A$1:$A$50</definedName>
    <definedName name="用途类型">定义!$A$1:$A$50</definedName>
    <definedName name="有无电梯" localSheetId="17">'[1]不动产比较法-仓储'!$B$84:$M$84</definedName>
    <definedName name="有无电梯" localSheetId="18">'[1]不动产比较法-仓储'!$B$84:$M$84</definedName>
    <definedName name="有无电梯" localSheetId="10">'[2]不动产比较法-仓储'!$B$84:$M$84</definedName>
    <definedName name="有无电梯" localSheetId="16">'[1]不动产比较法-仓储'!$B$84:$M$84</definedName>
    <definedName name="有无电梯">'不动产比较法-仓储'!$B$84:$M$84</definedName>
    <definedName name="主用途" localSheetId="17">[1]定义!$F$1:$F$10</definedName>
    <definedName name="主用途" localSheetId="18">[1]定义!$F$1:$F$10</definedName>
    <definedName name="主用途" localSheetId="10">[2]定义!$F$1:$F$10</definedName>
    <definedName name="主用途" localSheetId="16">[1]定义!$F$1:$F$10</definedName>
    <definedName name="主用途">定义!$F$1:$F$10</definedName>
    <definedName name="住宅朝向" localSheetId="17">'[1]不动产比较法-住宅'!$B$88:$M$88</definedName>
    <definedName name="住宅朝向" localSheetId="18">'[1]不动产比较法-住宅'!$B$88:$M$88</definedName>
    <definedName name="住宅朝向" localSheetId="10">'[2]不动产比较法-住宅'!$B$88:$M$88</definedName>
    <definedName name="住宅朝向" localSheetId="16">'[1]不动产比较法-住宅'!$B$88:$M$88</definedName>
    <definedName name="住宅朝向">'不动产比较法-住宅'!$B$88:$M$88</definedName>
    <definedName name="住宅房型" localSheetId="17">'[1]不动产比较法-住宅'!$B$118:$M$118</definedName>
    <definedName name="住宅房型" localSheetId="18">'[1]不动产比较法-住宅'!$B$118:$M$118</definedName>
    <definedName name="住宅房型" localSheetId="10">'[2]不动产比较法-住宅'!$B$118:$M$118</definedName>
    <definedName name="住宅房型" localSheetId="16">'[1]不动产比较法-住宅'!$B$118:$M$118</definedName>
    <definedName name="住宅房型">'不动产比较法-住宅'!$B$118:$M$118</definedName>
    <definedName name="住宅公共部分装修" localSheetId="17">'[1]不动产比较法-住宅'!$B$109:$M$109</definedName>
    <definedName name="住宅公共部分装修" localSheetId="18">'[1]不动产比较法-住宅'!$B$109:$M$109</definedName>
    <definedName name="住宅公共部分装修" localSheetId="10">'[2]不动产比较法-住宅'!$B$109:$M$109</definedName>
    <definedName name="住宅公共部分装修" localSheetId="16">'[1]不动产比较法-住宅'!$B$109:$M$109</definedName>
    <definedName name="住宅公共部分装修">'不动产比较法-住宅'!$B$109:$M$109</definedName>
    <definedName name="住宅基础设施水平" localSheetId="17">'[1]不动产比较法-住宅'!$B$116:$M$116</definedName>
    <definedName name="住宅基础设施水平" localSheetId="18">'[1]不动产比较法-住宅'!$B$116:$M$116</definedName>
    <definedName name="住宅基础设施水平" localSheetId="10">'[2]不动产比较法-住宅'!$B$116:$M$116</definedName>
    <definedName name="住宅基础设施水平" localSheetId="16">'[1]不动产比较法-住宅'!$B$116:$M$116</definedName>
    <definedName name="住宅基础设施水平">'不动产比较法-住宅'!$B$116:$M$116</definedName>
    <definedName name="住宅建筑结构" localSheetId="17">'[1]不动产比较法-住宅'!$B$105:$M$105</definedName>
    <definedName name="住宅建筑结构" localSheetId="18">'[1]不动产比较法-住宅'!$B$105:$M$105</definedName>
    <definedName name="住宅建筑结构" localSheetId="10">'[2]不动产比较法-住宅'!$B$105:$M$105</definedName>
    <definedName name="住宅建筑结构" localSheetId="16">'[1]不动产比较法-住宅'!$B$105:$M$105</definedName>
    <definedName name="住宅建筑结构">'不动产比较法-住宅'!$B$105:$M$105</definedName>
    <definedName name="住宅建筑类型" localSheetId="17">'[1]不动产比较法-住宅'!$B$100:$M$100</definedName>
    <definedName name="住宅建筑类型" localSheetId="18">'[1]不动产比较法-住宅'!$B$100:$M$100</definedName>
    <definedName name="住宅建筑类型" localSheetId="10">'[2]不动产比较法-住宅'!$B$100:$M$100</definedName>
    <definedName name="住宅建筑类型" localSheetId="16">'[1]不动产比较法-住宅'!$B$100:$M$100</definedName>
    <definedName name="住宅建筑类型">'不动产比较法-住宅'!$B$100:$M$100</definedName>
    <definedName name="住宅建筑品质" localSheetId="17">'[1]不动产比较法-住宅'!$B$107:$M$107</definedName>
    <definedName name="住宅建筑品质" localSheetId="18">'[1]不动产比较法-住宅'!$B$107:$M$107</definedName>
    <definedName name="住宅建筑品质" localSheetId="10">'[2]不动产比较法-住宅'!$B$107:$M$107</definedName>
    <definedName name="住宅建筑品质" localSheetId="16">'[1]不动产比较法-住宅'!$B$107:$M$107</definedName>
    <definedName name="住宅建筑品质">'不动产比较法-住宅'!$B$107:$M$107</definedName>
    <definedName name="住宅交易情况" localSheetId="17">'[1]不动产比较法-住宅'!$A$61:$M$61</definedName>
    <definedName name="住宅交易情况" localSheetId="18">'[1]不动产比较法-住宅'!$A$61:$M$61</definedName>
    <definedName name="住宅交易情况" localSheetId="10">'[2]不动产比较法-住宅'!$A$61:$M$61</definedName>
    <definedName name="住宅交易情况" localSheetId="16">'[1]不动产比较法-住宅'!$A$61:$M$61</definedName>
    <definedName name="住宅交易情况">'不动产比较法-住宅'!$A$61:$M$61</definedName>
    <definedName name="住宅楼层" localSheetId="17">'[1]不动产比较法-住宅'!$B$86:$M$86</definedName>
    <definedName name="住宅楼层" localSheetId="18">'[1]不动产比较法-住宅'!$B$86:$M$86</definedName>
    <definedName name="住宅楼层" localSheetId="10">'[2]不动产比较法-住宅'!$B$86:$M$86</definedName>
    <definedName name="住宅楼层" localSheetId="16">'[1]不动产比较法-住宅'!$B$86:$M$86</definedName>
    <definedName name="住宅楼层">'不动产比较法-住宅'!$B$86:$M$86</definedName>
    <definedName name="住宅内部装修" localSheetId="17">'[1]不动产比较法-住宅'!$B$122:$M$122</definedName>
    <definedName name="住宅内部装修" localSheetId="18">'[1]不动产比较法-住宅'!$B$122:$M$122</definedName>
    <definedName name="住宅内部装修" localSheetId="10">'[2]不动产比较法-住宅'!$B$122:$M$122</definedName>
    <definedName name="住宅内部装修" localSheetId="16">'[1]不动产比较法-住宅'!$B$122:$M$122</definedName>
    <definedName name="住宅内部装修">'不动产比较法-住宅'!$B$122:$M$122</definedName>
    <definedName name="住宅物业管理" localSheetId="17">'[1]不动产比较法-住宅'!$B$114:$M$114</definedName>
    <definedName name="住宅物业管理" localSheetId="18">'[1]不动产比较法-住宅'!$B$114:$M$114</definedName>
    <definedName name="住宅物业管理" localSheetId="10">'[2]不动产比较法-住宅'!$B$114:$M$114</definedName>
    <definedName name="住宅物业管理" localSheetId="16">'[1]不动产比较法-住宅'!$B$114:$M$114</definedName>
    <definedName name="住宅物业管理">'不动产比较法-住宅'!$B$114:$M$114</definedName>
    <definedName name="住宅用途" localSheetId="17">'[1]不动产比较法-住宅'!$B$63:$M$63</definedName>
    <definedName name="住宅用途" localSheetId="18">'[1]不动产比较法-住宅'!$B$63:$M$63</definedName>
    <definedName name="住宅用途" localSheetId="10">'[2]不动产比较法-住宅'!$B$63:$M$63</definedName>
    <definedName name="住宅用途" localSheetId="16">'[1]不动产比较法-住宅'!$B$63:$M$63</definedName>
    <definedName name="住宅用途">'不动产比较法-住宅'!$B$63:$M$63</definedName>
    <definedName name="住宅主力户型面积" localSheetId="17">'[1]不动产比较法-住宅'!$B$120:$M$120</definedName>
    <definedName name="住宅主力户型面积" localSheetId="18">'[1]不动产比较法-住宅'!$B$120:$M$120</definedName>
    <definedName name="住宅主力户型面积" localSheetId="10">'[2]不动产比较法-住宅'!$B$120:$M$120</definedName>
    <definedName name="住宅主力户型面积" localSheetId="16">'[1]不动产比较法-住宅'!$B$120:$M$120</definedName>
    <definedName name="住宅主力户型面积">'不动产比较法-住宅'!$B$120:$M$120</definedName>
    <definedName name="注册房地产估价师" localSheetId="17">[1]估价师及机构信息!$A$3:$A$16</definedName>
    <definedName name="注册房地产估价师" localSheetId="18">[1]估价师及机构信息!$A$3:$A$16</definedName>
    <definedName name="注册房地产估价师" localSheetId="10">[2]估价师及机构信息!$A$3:$A$16</definedName>
    <definedName name="注册房地产估价师" localSheetId="16">[1]估价师及机构信息!$A$3:$A$16</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72" authorId="1">
      <text>
        <r>
          <rPr>
            <b/>
            <sz val="12"/>
            <rFont val="宋体"/>
            <charset val="134"/>
          </rPr>
          <t>价值时点所在季度</t>
        </r>
        <r>
          <rPr>
            <sz val="12"/>
            <rFont val="宋体"/>
            <charset val="134"/>
          </rPr>
          <t xml:space="preserve">
</t>
        </r>
      </text>
    </comment>
    <comment ref="B73" authorId="0">
      <text>
        <r>
          <rPr>
            <sz val="12"/>
            <rFont val="宋体"/>
            <charset val="134"/>
          </rPr>
          <t>北京市公示数据计算的平均季度涨幅</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4" authorId="0">
      <text>
        <r>
          <rPr>
            <b/>
            <sz val="9"/>
            <rFont val="宋体"/>
            <charset val="134"/>
          </rPr>
          <t>权重验证</t>
        </r>
        <r>
          <rPr>
            <sz val="9"/>
            <rFont val="宋体"/>
            <charset val="134"/>
          </rPr>
          <t xml:space="preserve">
</t>
        </r>
      </text>
    </comment>
    <comment ref="C67" authorId="1">
      <text>
        <r>
          <rPr>
            <b/>
            <sz val="12"/>
            <rFont val="宋体"/>
            <charset val="134"/>
          </rPr>
          <t>价值时点所在季度</t>
        </r>
        <r>
          <rPr>
            <sz val="12"/>
            <rFont val="宋体"/>
            <charset val="134"/>
          </rPr>
          <t xml:space="preserve">
</t>
        </r>
      </text>
    </comment>
    <comment ref="B68" authorId="0">
      <text>
        <r>
          <rPr>
            <sz val="12"/>
            <rFont val="宋体"/>
            <charset val="134"/>
          </rPr>
          <t xml:space="preserve">北京市公示数据计算的平均涨幅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1"/>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未建项目选择“是”</t>
        </r>
        <r>
          <rPr>
            <sz val="9"/>
            <rFont val="宋体"/>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1"/>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未建项目选择“是”</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Z9" authorId="0">
      <text>
        <r>
          <rPr>
            <b/>
            <sz val="9"/>
            <rFont val="宋体"/>
            <charset val="134"/>
          </rPr>
          <t xml:space="preserve">所在楼层
</t>
        </r>
        <r>
          <rPr>
            <sz val="9"/>
            <rFont val="宋体"/>
            <charset val="134"/>
          </rPr>
          <t xml:space="preserve">
</t>
        </r>
      </text>
    </comment>
    <comment ref="AA9" authorId="0">
      <text>
        <r>
          <rPr>
            <b/>
            <sz val="9"/>
            <rFont val="宋体"/>
            <charset val="134"/>
          </rPr>
          <t xml:space="preserve">所在楼层
</t>
        </r>
        <r>
          <rPr>
            <sz val="9"/>
            <rFont val="宋体"/>
            <charset val="134"/>
          </rPr>
          <t xml:space="preserve">
</t>
        </r>
      </text>
    </comment>
    <comment ref="AB9" authorId="0">
      <text>
        <r>
          <rPr>
            <b/>
            <sz val="9"/>
            <rFont val="宋体"/>
            <charset val="134"/>
          </rPr>
          <t xml:space="preserve">所在楼层
</t>
        </r>
        <r>
          <rPr>
            <sz val="9"/>
            <rFont val="宋体"/>
            <charset val="134"/>
          </rPr>
          <t xml:space="preserve">
</t>
        </r>
      </text>
    </comment>
    <comment ref="AC9" authorId="0">
      <text>
        <r>
          <rPr>
            <b/>
            <sz val="9"/>
            <rFont val="宋体"/>
            <charset val="134"/>
          </rPr>
          <t xml:space="preserve">所在楼层
</t>
        </r>
        <r>
          <rPr>
            <sz val="9"/>
            <rFont val="宋体"/>
            <charset val="134"/>
          </rPr>
          <t xml:space="preserve">
</t>
        </r>
      </text>
    </comment>
    <comment ref="AD9" authorId="0">
      <text>
        <r>
          <rPr>
            <b/>
            <sz val="9"/>
            <rFont val="宋体"/>
            <charset val="134"/>
          </rPr>
          <t xml:space="preserve">所在楼层
</t>
        </r>
        <r>
          <rPr>
            <sz val="9"/>
            <rFont val="宋体"/>
            <charset val="134"/>
          </rPr>
          <t xml:space="preserve">
</t>
        </r>
      </text>
    </comment>
    <comment ref="AE9" authorId="0">
      <text>
        <r>
          <rPr>
            <b/>
            <sz val="9"/>
            <rFont val="宋体"/>
            <charset val="134"/>
          </rPr>
          <t xml:space="preserve">所在楼层
</t>
        </r>
        <r>
          <rPr>
            <sz val="9"/>
            <rFont val="宋体"/>
            <charset val="134"/>
          </rPr>
          <t xml:space="preserve">
</t>
        </r>
      </text>
    </comment>
    <comment ref="AF9" authorId="0">
      <text>
        <r>
          <rPr>
            <b/>
            <sz val="9"/>
            <rFont val="宋体"/>
            <charset val="134"/>
          </rPr>
          <t xml:space="preserve">所在楼层
</t>
        </r>
        <r>
          <rPr>
            <sz val="9"/>
            <rFont val="宋体"/>
            <charset val="134"/>
          </rPr>
          <t xml:space="preserve">
</t>
        </r>
      </text>
    </comment>
    <comment ref="AG9" authorId="0">
      <text>
        <r>
          <rPr>
            <b/>
            <sz val="9"/>
            <rFont val="宋体"/>
            <charset val="134"/>
          </rPr>
          <t xml:space="preserve">所在楼层
</t>
        </r>
        <r>
          <rPr>
            <sz val="9"/>
            <rFont val="宋体"/>
            <charset val="134"/>
          </rPr>
          <t xml:space="preserve">
</t>
        </r>
      </text>
    </comment>
    <comment ref="AH9" authorId="0">
      <text>
        <r>
          <rPr>
            <b/>
            <sz val="9"/>
            <rFont val="宋体"/>
            <charset val="134"/>
          </rPr>
          <t xml:space="preserve">所在楼层
</t>
        </r>
        <r>
          <rPr>
            <sz val="9"/>
            <rFont val="宋体"/>
            <charset val="134"/>
          </rPr>
          <t xml:space="preserve">
</t>
        </r>
      </text>
    </comment>
    <comment ref="AI9" authorId="0">
      <text>
        <r>
          <rPr>
            <b/>
            <sz val="9"/>
            <rFont val="宋体"/>
            <charset val="134"/>
          </rPr>
          <t xml:space="preserve">所在楼层
</t>
        </r>
        <r>
          <rPr>
            <sz val="9"/>
            <rFont val="宋体"/>
            <charset val="134"/>
          </rPr>
          <t xml:space="preserve">
</t>
        </r>
      </text>
    </comment>
    <comment ref="AJ9" authorId="0">
      <text>
        <r>
          <rPr>
            <b/>
            <sz val="9"/>
            <rFont val="宋体"/>
            <charset val="134"/>
          </rPr>
          <t xml:space="preserve">所在楼层
</t>
        </r>
        <r>
          <rPr>
            <sz val="9"/>
            <rFont val="宋体"/>
            <charset val="134"/>
          </rPr>
          <t xml:space="preserve">
</t>
        </r>
      </text>
    </comment>
    <comment ref="Y12" authorId="0">
      <text>
        <r>
          <rPr>
            <b/>
            <sz val="9"/>
            <rFont val="宋体"/>
            <charset val="134"/>
          </rPr>
          <t xml:space="preserve">所在楼层
</t>
        </r>
        <r>
          <rPr>
            <sz val="9"/>
            <rFont val="宋体"/>
            <charset val="134"/>
          </rPr>
          <t xml:space="preserve">
</t>
        </r>
      </text>
    </comment>
    <comment ref="Z12" authorId="0">
      <text>
        <r>
          <rPr>
            <b/>
            <sz val="9"/>
            <rFont val="宋体"/>
            <charset val="134"/>
          </rPr>
          <t xml:space="preserve">所在楼层
</t>
        </r>
        <r>
          <rPr>
            <sz val="9"/>
            <rFont val="宋体"/>
            <charset val="134"/>
          </rPr>
          <t xml:space="preserve">
</t>
        </r>
      </text>
    </comment>
    <comment ref="AA12" authorId="0">
      <text>
        <r>
          <rPr>
            <b/>
            <sz val="9"/>
            <rFont val="宋体"/>
            <charset val="134"/>
          </rPr>
          <t xml:space="preserve">所在楼层
</t>
        </r>
        <r>
          <rPr>
            <sz val="9"/>
            <rFont val="宋体"/>
            <charset val="134"/>
          </rPr>
          <t xml:space="preserve">
</t>
        </r>
      </text>
    </comment>
    <comment ref="AB12" authorId="0">
      <text>
        <r>
          <rPr>
            <b/>
            <sz val="9"/>
            <rFont val="宋体"/>
            <charset val="134"/>
          </rPr>
          <t xml:space="preserve">所在楼层
</t>
        </r>
        <r>
          <rPr>
            <sz val="9"/>
            <rFont val="宋体"/>
            <charset val="134"/>
          </rPr>
          <t xml:space="preserve">
</t>
        </r>
      </text>
    </comment>
    <comment ref="AC12" authorId="0">
      <text>
        <r>
          <rPr>
            <b/>
            <sz val="9"/>
            <rFont val="宋体"/>
            <charset val="134"/>
          </rPr>
          <t xml:space="preserve">所在楼层
</t>
        </r>
        <r>
          <rPr>
            <sz val="9"/>
            <rFont val="宋体"/>
            <charset val="134"/>
          </rPr>
          <t xml:space="preserve">
</t>
        </r>
      </text>
    </comment>
    <comment ref="AD12" authorId="0">
      <text>
        <r>
          <rPr>
            <b/>
            <sz val="9"/>
            <rFont val="宋体"/>
            <charset val="134"/>
          </rPr>
          <t xml:space="preserve">所在楼层
</t>
        </r>
        <r>
          <rPr>
            <sz val="9"/>
            <rFont val="宋体"/>
            <charset val="134"/>
          </rPr>
          <t xml:space="preserve">
</t>
        </r>
      </text>
    </comment>
    <comment ref="AE12" authorId="0">
      <text>
        <r>
          <rPr>
            <b/>
            <sz val="9"/>
            <rFont val="宋体"/>
            <charset val="134"/>
          </rPr>
          <t xml:space="preserve">所在楼层
</t>
        </r>
        <r>
          <rPr>
            <sz val="9"/>
            <rFont val="宋体"/>
            <charset val="134"/>
          </rPr>
          <t xml:space="preserve">
</t>
        </r>
      </text>
    </comment>
    <comment ref="AF12" authorId="0">
      <text>
        <r>
          <rPr>
            <b/>
            <sz val="9"/>
            <rFont val="宋体"/>
            <charset val="134"/>
          </rPr>
          <t xml:space="preserve">所在楼层
</t>
        </r>
        <r>
          <rPr>
            <sz val="9"/>
            <rFont val="宋体"/>
            <charset val="134"/>
          </rPr>
          <t xml:space="preserve">
</t>
        </r>
      </text>
    </comment>
    <comment ref="AG12" authorId="0">
      <text>
        <r>
          <rPr>
            <b/>
            <sz val="9"/>
            <rFont val="宋体"/>
            <charset val="134"/>
          </rPr>
          <t xml:space="preserve">所在楼层
</t>
        </r>
        <r>
          <rPr>
            <sz val="9"/>
            <rFont val="宋体"/>
            <charset val="134"/>
          </rPr>
          <t xml:space="preserve">
</t>
        </r>
      </text>
    </comment>
    <comment ref="AH12" authorId="0">
      <text>
        <r>
          <rPr>
            <b/>
            <sz val="9"/>
            <rFont val="宋体"/>
            <charset val="134"/>
          </rPr>
          <t xml:space="preserve">所在楼层
</t>
        </r>
        <r>
          <rPr>
            <sz val="9"/>
            <rFont val="宋体"/>
            <charset val="134"/>
          </rPr>
          <t xml:space="preserve">
</t>
        </r>
      </text>
    </comment>
    <comment ref="AI12" authorId="0">
      <text>
        <r>
          <rPr>
            <b/>
            <sz val="9"/>
            <rFont val="宋体"/>
            <charset val="134"/>
          </rPr>
          <t xml:space="preserve">所在楼层
</t>
        </r>
        <r>
          <rPr>
            <sz val="9"/>
            <rFont val="宋体"/>
            <charset val="134"/>
          </rPr>
          <t xml:space="preserve">
</t>
        </r>
      </text>
    </comment>
    <comment ref="AJ12" authorId="0">
      <text>
        <r>
          <rPr>
            <b/>
            <sz val="9"/>
            <rFont val="宋体"/>
            <charset val="134"/>
          </rPr>
          <t xml:space="preserve">所在楼层
</t>
        </r>
        <r>
          <rPr>
            <sz val="9"/>
            <rFont val="宋体"/>
            <charset val="134"/>
          </rPr>
          <t xml:space="preserve">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10"/>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16.xml><?xml version="1.0" encoding="utf-8"?>
<comments xmlns="http://schemas.openxmlformats.org/spreadsheetml/2006/main">
  <authors>
    <author>崔锴</author>
  </authors>
  <commentList>
    <comment ref="B24" authorId="0">
      <text>
        <r>
          <rPr>
            <sz val="11"/>
            <rFont val="宋体"/>
            <charset val="134"/>
          </rPr>
          <t>开发期≤1年，单利计息；＞1年，复利计息</t>
        </r>
        <r>
          <rPr>
            <sz val="9"/>
            <rFont val="宋体"/>
            <charset val="134"/>
          </rPr>
          <t xml:space="preserve">
</t>
        </r>
      </text>
    </comment>
    <comment ref="I53" authorId="0">
      <text>
        <r>
          <rPr>
            <sz val="11"/>
            <rFont val="宋体"/>
            <charset val="134"/>
          </rPr>
          <t>依据一般经验，应比建筑物资本化率高0.5%</t>
        </r>
        <r>
          <rPr>
            <sz val="9"/>
            <rFont val="宋体"/>
            <charset val="134"/>
          </rPr>
          <t xml:space="preserve">
</t>
        </r>
      </text>
    </comment>
    <comment ref="L53" authorId="0">
      <text>
        <r>
          <rPr>
            <sz val="11"/>
            <rFont val="宋体"/>
            <charset val="134"/>
          </rPr>
          <t xml:space="preserve">需注意，采用基准地价系数修正法中土地结果计算时，土地报酬率应采用该方法中报酬率（还原率）。
</t>
        </r>
      </text>
    </comment>
    <comment ref="L56" authorId="0">
      <text>
        <r>
          <rPr>
            <sz val="11"/>
            <rFont val="宋体"/>
            <charset val="134"/>
          </rPr>
          <t>采用租约时，尽量不选用收益还原法</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楷体_GB2312"/>
            <charset val="134"/>
          </rPr>
          <t xml:space="preserve">没有时，请选择“——”
</t>
        </r>
      </text>
    </comment>
    <comment ref="H4" authorId="0">
      <text>
        <r>
          <rPr>
            <sz val="12"/>
            <rFont val="楷体_GB2312"/>
            <charset val="134"/>
          </rPr>
          <t xml:space="preserve">没有时，请选择“——”
</t>
        </r>
      </text>
    </comment>
    <comment ref="B10" authorId="1">
      <text>
        <r>
          <rPr>
            <sz val="11"/>
            <rFont val="楷体_GB2312"/>
            <charset val="134"/>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D20" authorId="0">
      <text>
        <r>
          <rPr>
            <sz val="11"/>
            <rFont val="宋体"/>
            <charset val="134"/>
          </rPr>
          <t>如：住宅67.6年、商业37.6年</t>
        </r>
        <r>
          <rPr>
            <sz val="9"/>
            <rFont val="宋体"/>
            <charset val="134"/>
          </rPr>
          <t xml:space="preserve">
</t>
        </r>
      </text>
    </comment>
    <comment ref="E22" authorId="0">
      <text>
        <r>
          <rPr>
            <sz val="11"/>
            <rFont val="宋体"/>
            <charset val="134"/>
          </rPr>
          <t>有相同面积依据时，仅在土地面积依据处录入</t>
        </r>
        <r>
          <rPr>
            <sz val="12"/>
            <rFont val="宋体"/>
            <charset val="134"/>
          </rPr>
          <t>。</t>
        </r>
        <r>
          <rPr>
            <sz val="9"/>
            <rFont val="宋体"/>
            <charset val="134"/>
          </rPr>
          <t xml:space="preserve">
</t>
        </r>
      </text>
    </comment>
    <comment ref="C32" authorId="1">
      <text>
        <r>
          <rPr>
            <sz val="11"/>
            <rFont val="楷体_GB2312"/>
            <charset val="134"/>
          </rPr>
          <t>其他特殊项请在右侧录入</t>
        </r>
      </text>
    </comment>
    <comment ref="C34" authorId="1">
      <text>
        <r>
          <rPr>
            <sz val="11"/>
            <rFont val="宋体"/>
            <charset val="134"/>
          </rPr>
          <t>廉租房、公租房、限价房、自住房</t>
        </r>
        <r>
          <rPr>
            <sz val="9"/>
            <rFont val="宋体"/>
            <charset val="134"/>
          </rPr>
          <t xml:space="preserve">
</t>
        </r>
      </text>
    </comment>
    <comment ref="D35" authorId="0">
      <text>
        <r>
          <rPr>
            <sz val="10"/>
            <rFont val="仿宋_GB2312"/>
            <charset val="134"/>
          </rPr>
          <t>委托估价方尚未取得《建筑工程施工许可证》，但已开始进行土方工程建设，并建有数幢临时工程用房。
宗地内有需要移除的树木。</t>
        </r>
        <r>
          <rPr>
            <sz val="9"/>
            <rFont val="宋体"/>
            <charset val="134"/>
          </rPr>
          <t xml:space="preserve">
</t>
        </r>
        <r>
          <rPr>
            <sz val="10"/>
            <rFont val="仿宋_GB2312"/>
            <charset val="134"/>
          </rPr>
          <t>尚有部分待拆迁建筑物。</t>
        </r>
      </text>
    </comment>
    <comment ref="E36" authorId="0">
      <text>
        <r>
          <rPr>
            <sz val="10"/>
            <rFont val="仿宋_GB2312"/>
            <charset val="134"/>
          </rPr>
          <t>依据该宗地《挂牌出让公告》/《开发补偿协议》，该宗地以“X通一平”的形式供地</t>
        </r>
        <r>
          <rPr>
            <sz val="9"/>
            <rFont val="宋体"/>
            <charset val="134"/>
          </rPr>
          <t xml:space="preserve">
</t>
        </r>
      </text>
    </comment>
    <comment ref="H36" authorId="0">
      <text>
        <r>
          <rPr>
            <sz val="10"/>
            <rFont val="仿宋_GB2312"/>
            <charset val="134"/>
          </rPr>
          <t>估价结果已将待拆迁建筑物涉及的拆迁安置补偿费作为法定优先受偿款予以扣除。</t>
        </r>
        <r>
          <rPr>
            <sz val="9"/>
            <rFont val="宋体"/>
            <charset val="134"/>
          </rPr>
          <t xml:space="preserve">
</t>
        </r>
        <r>
          <rPr>
            <sz val="10"/>
            <rFont val="仿宋_GB2312"/>
            <charset val="134"/>
          </rPr>
          <t>估价结果未扣除树木移除的费用。</t>
        </r>
      </text>
    </comment>
    <comment ref="K48" authorId="1">
      <text>
        <r>
          <rPr>
            <sz val="11"/>
            <rFont val="楷体_GB2312"/>
            <charset val="134"/>
          </rPr>
          <t>现房/在建（简单填写进度）/未建</t>
        </r>
        <r>
          <rPr>
            <sz val="9"/>
            <rFont val="宋体"/>
            <charset val="134"/>
          </rPr>
          <t xml:space="preserve">
</t>
        </r>
      </text>
    </comment>
    <comment ref="K49" authorId="1">
      <text>
        <r>
          <rPr>
            <sz val="11"/>
            <rFont val="楷体_GB2312"/>
            <charset val="134"/>
          </rPr>
          <t>现房/在建（简单填写进度）/未建</t>
        </r>
        <r>
          <rPr>
            <sz val="9"/>
            <rFont val="宋体"/>
            <charset val="134"/>
          </rPr>
          <t xml:space="preserve">
</t>
        </r>
      </text>
    </comment>
    <comment ref="K50" authorId="1">
      <text>
        <r>
          <rPr>
            <sz val="11"/>
            <rFont val="楷体_GB2312"/>
            <charset val="134"/>
          </rPr>
          <t>现房/在建（简单填写进度）/未建</t>
        </r>
        <r>
          <rPr>
            <sz val="9"/>
            <rFont val="宋体"/>
            <charset val="134"/>
          </rPr>
          <t xml:space="preserve">
</t>
        </r>
      </text>
    </comment>
    <comment ref="K51"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 ref="K57" authorId="1">
      <text>
        <r>
          <rPr>
            <sz val="11"/>
            <rFont val="楷体_GB2312"/>
            <charset val="134"/>
          </rPr>
          <t>现房/在建（简单填写进度）/未建</t>
        </r>
        <r>
          <rPr>
            <sz val="9"/>
            <rFont val="宋体"/>
            <charset val="134"/>
          </rPr>
          <t xml:space="preserve">
</t>
        </r>
      </text>
    </comment>
    <comment ref="K58"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0"/>
            <rFont val="宋体"/>
            <charset val="134"/>
          </rPr>
          <t>项不固定，随情况自定，但需包含有有主用途，如：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USER</author>
    <author>moqikay</author>
  </authors>
  <commentList>
    <comment ref="Q5" authorId="0">
      <text>
        <r>
          <rPr>
            <sz val="12"/>
            <rFont val="宋体"/>
            <charset val="134"/>
          </rPr>
          <t xml:space="preserve">应结合项目开发期确定。同时可参考1年期贷款利率、余额宝等理财产品1年期收益率确定年利润，并折算至整个项目开发期。
</t>
        </r>
      </text>
    </comment>
    <comment ref="T5" authorId="1">
      <text>
        <r>
          <rPr>
            <sz val="12"/>
            <rFont val="宋体"/>
            <charset val="134"/>
          </rPr>
          <t>无值时不得空项，需录入“0”</t>
        </r>
        <r>
          <rPr>
            <sz val="9"/>
            <rFont val="宋体"/>
            <charset val="134"/>
          </rPr>
          <t xml:space="preserve">
</t>
        </r>
      </text>
    </commen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K5" authorId="0">
      <text>
        <r>
          <rPr>
            <sz val="10"/>
            <rFont val="宋体"/>
            <charset val="134"/>
          </rPr>
          <t>取值范围：
1.5%-2.5%</t>
        </r>
      </text>
    </comment>
    <comment ref="AL5" authorId="0">
      <text>
        <r>
          <rPr>
            <sz val="10"/>
            <rFont val="宋体"/>
            <charset val="134"/>
          </rPr>
          <t>取值范围：
0.15%-0.3%</t>
        </r>
      </text>
    </comment>
    <comment ref="AM5" authorId="0">
      <text>
        <r>
          <rPr>
            <sz val="10"/>
            <rFont val="宋体"/>
            <charset val="134"/>
          </rPr>
          <t>取值范围：1%-3%</t>
        </r>
      </text>
    </comment>
    <comment ref="B44" authorId="2">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Z9" authorId="0">
      <text>
        <r>
          <rPr>
            <b/>
            <sz val="9"/>
            <rFont val="宋体"/>
            <charset val="134"/>
          </rPr>
          <t xml:space="preserve">所在楼层
</t>
        </r>
        <r>
          <rPr>
            <sz val="9"/>
            <rFont val="宋体"/>
            <charset val="134"/>
          </rPr>
          <t xml:space="preserve">
</t>
        </r>
      </text>
    </comment>
    <comment ref="AA9" authorId="0">
      <text>
        <r>
          <rPr>
            <b/>
            <sz val="9"/>
            <rFont val="宋体"/>
            <charset val="134"/>
          </rPr>
          <t xml:space="preserve">所在楼层
</t>
        </r>
        <r>
          <rPr>
            <sz val="9"/>
            <rFont val="宋体"/>
            <charset val="134"/>
          </rPr>
          <t xml:space="preserve">
</t>
        </r>
      </text>
    </comment>
    <comment ref="AB9" authorId="0">
      <text>
        <r>
          <rPr>
            <b/>
            <sz val="9"/>
            <rFont val="宋体"/>
            <charset val="134"/>
          </rPr>
          <t xml:space="preserve">所在楼层
</t>
        </r>
        <r>
          <rPr>
            <sz val="9"/>
            <rFont val="宋体"/>
            <charset val="134"/>
          </rPr>
          <t xml:space="preserve">
</t>
        </r>
      </text>
    </comment>
    <comment ref="AC9" authorId="0">
      <text>
        <r>
          <rPr>
            <b/>
            <sz val="9"/>
            <rFont val="宋体"/>
            <charset val="134"/>
          </rPr>
          <t xml:space="preserve">所在楼层
</t>
        </r>
        <r>
          <rPr>
            <sz val="9"/>
            <rFont val="宋体"/>
            <charset val="134"/>
          </rPr>
          <t xml:space="preserve">
</t>
        </r>
      </text>
    </comment>
    <comment ref="AD9" authorId="0">
      <text>
        <r>
          <rPr>
            <b/>
            <sz val="9"/>
            <rFont val="宋体"/>
            <charset val="134"/>
          </rPr>
          <t xml:space="preserve">所在楼层
</t>
        </r>
        <r>
          <rPr>
            <sz val="9"/>
            <rFont val="宋体"/>
            <charset val="134"/>
          </rPr>
          <t xml:space="preserve">
</t>
        </r>
      </text>
    </comment>
    <comment ref="AE9" authorId="0">
      <text>
        <r>
          <rPr>
            <b/>
            <sz val="9"/>
            <rFont val="宋体"/>
            <charset val="134"/>
          </rPr>
          <t xml:space="preserve">所在楼层
</t>
        </r>
        <r>
          <rPr>
            <sz val="9"/>
            <rFont val="宋体"/>
            <charset val="134"/>
          </rPr>
          <t xml:space="preserve">
</t>
        </r>
      </text>
    </comment>
    <comment ref="AF9" authorId="0">
      <text>
        <r>
          <rPr>
            <b/>
            <sz val="9"/>
            <rFont val="宋体"/>
            <charset val="134"/>
          </rPr>
          <t xml:space="preserve">所在楼层
</t>
        </r>
        <r>
          <rPr>
            <sz val="9"/>
            <rFont val="宋体"/>
            <charset val="134"/>
          </rPr>
          <t xml:space="preserve">
</t>
        </r>
      </text>
    </comment>
    <comment ref="AG9" authorId="0">
      <text>
        <r>
          <rPr>
            <b/>
            <sz val="9"/>
            <rFont val="宋体"/>
            <charset val="134"/>
          </rPr>
          <t xml:space="preserve">所在楼层
</t>
        </r>
        <r>
          <rPr>
            <sz val="9"/>
            <rFont val="宋体"/>
            <charset val="134"/>
          </rPr>
          <t xml:space="preserve">
</t>
        </r>
      </text>
    </comment>
    <comment ref="AH9" authorId="0">
      <text>
        <r>
          <rPr>
            <b/>
            <sz val="9"/>
            <rFont val="宋体"/>
            <charset val="134"/>
          </rPr>
          <t xml:space="preserve">所在楼层
</t>
        </r>
        <r>
          <rPr>
            <sz val="9"/>
            <rFont val="宋体"/>
            <charset val="134"/>
          </rPr>
          <t xml:space="preserve">
</t>
        </r>
      </text>
    </comment>
    <comment ref="AI9" authorId="0">
      <text>
        <r>
          <rPr>
            <b/>
            <sz val="9"/>
            <rFont val="宋体"/>
            <charset val="134"/>
          </rPr>
          <t xml:space="preserve">所在楼层
</t>
        </r>
        <r>
          <rPr>
            <sz val="9"/>
            <rFont val="宋体"/>
            <charset val="134"/>
          </rPr>
          <t xml:space="preserve">
</t>
        </r>
      </text>
    </comment>
    <comment ref="AJ9" authorId="0">
      <text>
        <r>
          <rPr>
            <b/>
            <sz val="9"/>
            <rFont val="宋体"/>
            <charset val="134"/>
          </rPr>
          <t xml:space="preserve">所在楼层
</t>
        </r>
        <r>
          <rPr>
            <sz val="9"/>
            <rFont val="宋体"/>
            <charset val="134"/>
          </rPr>
          <t xml:space="preserve">
</t>
        </r>
      </text>
    </comment>
    <comment ref="Y12" authorId="0">
      <text>
        <r>
          <rPr>
            <b/>
            <sz val="9"/>
            <rFont val="宋体"/>
            <charset val="134"/>
          </rPr>
          <t xml:space="preserve">所在楼层
</t>
        </r>
        <r>
          <rPr>
            <sz val="9"/>
            <rFont val="宋体"/>
            <charset val="134"/>
          </rPr>
          <t xml:space="preserve">
</t>
        </r>
      </text>
    </comment>
    <comment ref="Z12" authorId="0">
      <text>
        <r>
          <rPr>
            <b/>
            <sz val="9"/>
            <rFont val="宋体"/>
            <charset val="134"/>
          </rPr>
          <t xml:space="preserve">所在楼层
</t>
        </r>
        <r>
          <rPr>
            <sz val="9"/>
            <rFont val="宋体"/>
            <charset val="134"/>
          </rPr>
          <t xml:space="preserve">
</t>
        </r>
      </text>
    </comment>
    <comment ref="AA12" authorId="0">
      <text>
        <r>
          <rPr>
            <b/>
            <sz val="9"/>
            <rFont val="宋体"/>
            <charset val="134"/>
          </rPr>
          <t xml:space="preserve">所在楼层
</t>
        </r>
        <r>
          <rPr>
            <sz val="9"/>
            <rFont val="宋体"/>
            <charset val="134"/>
          </rPr>
          <t xml:space="preserve">
</t>
        </r>
      </text>
    </comment>
    <comment ref="AB12" authorId="0">
      <text>
        <r>
          <rPr>
            <b/>
            <sz val="9"/>
            <rFont val="宋体"/>
            <charset val="134"/>
          </rPr>
          <t xml:space="preserve">所在楼层
</t>
        </r>
        <r>
          <rPr>
            <sz val="9"/>
            <rFont val="宋体"/>
            <charset val="134"/>
          </rPr>
          <t xml:space="preserve">
</t>
        </r>
      </text>
    </comment>
    <comment ref="AC12" authorId="0">
      <text>
        <r>
          <rPr>
            <b/>
            <sz val="9"/>
            <rFont val="宋体"/>
            <charset val="134"/>
          </rPr>
          <t xml:space="preserve">所在楼层
</t>
        </r>
        <r>
          <rPr>
            <sz val="9"/>
            <rFont val="宋体"/>
            <charset val="134"/>
          </rPr>
          <t xml:space="preserve">
</t>
        </r>
      </text>
    </comment>
    <comment ref="AD12" authorId="0">
      <text>
        <r>
          <rPr>
            <b/>
            <sz val="9"/>
            <rFont val="宋体"/>
            <charset val="134"/>
          </rPr>
          <t xml:space="preserve">所在楼层
</t>
        </r>
        <r>
          <rPr>
            <sz val="9"/>
            <rFont val="宋体"/>
            <charset val="134"/>
          </rPr>
          <t xml:space="preserve">
</t>
        </r>
      </text>
    </comment>
    <comment ref="AE12" authorId="0">
      <text>
        <r>
          <rPr>
            <b/>
            <sz val="9"/>
            <rFont val="宋体"/>
            <charset val="134"/>
          </rPr>
          <t xml:space="preserve">所在楼层
</t>
        </r>
        <r>
          <rPr>
            <sz val="9"/>
            <rFont val="宋体"/>
            <charset val="134"/>
          </rPr>
          <t xml:space="preserve">
</t>
        </r>
      </text>
    </comment>
    <comment ref="AF12" authorId="0">
      <text>
        <r>
          <rPr>
            <b/>
            <sz val="9"/>
            <rFont val="宋体"/>
            <charset val="134"/>
          </rPr>
          <t xml:space="preserve">所在楼层
</t>
        </r>
        <r>
          <rPr>
            <sz val="9"/>
            <rFont val="宋体"/>
            <charset val="134"/>
          </rPr>
          <t xml:space="preserve">
</t>
        </r>
      </text>
    </comment>
    <comment ref="AG12" authorId="0">
      <text>
        <r>
          <rPr>
            <b/>
            <sz val="9"/>
            <rFont val="宋体"/>
            <charset val="134"/>
          </rPr>
          <t xml:space="preserve">所在楼层
</t>
        </r>
        <r>
          <rPr>
            <sz val="9"/>
            <rFont val="宋体"/>
            <charset val="134"/>
          </rPr>
          <t xml:space="preserve">
</t>
        </r>
      </text>
    </comment>
    <comment ref="AH12" authorId="0">
      <text>
        <r>
          <rPr>
            <b/>
            <sz val="9"/>
            <rFont val="宋体"/>
            <charset val="134"/>
          </rPr>
          <t xml:space="preserve">所在楼层
</t>
        </r>
        <r>
          <rPr>
            <sz val="9"/>
            <rFont val="宋体"/>
            <charset val="134"/>
          </rPr>
          <t xml:space="preserve">
</t>
        </r>
      </text>
    </comment>
    <comment ref="AI12" authorId="0">
      <text>
        <r>
          <rPr>
            <b/>
            <sz val="9"/>
            <rFont val="宋体"/>
            <charset val="134"/>
          </rPr>
          <t xml:space="preserve">所在楼层
</t>
        </r>
        <r>
          <rPr>
            <sz val="9"/>
            <rFont val="宋体"/>
            <charset val="134"/>
          </rPr>
          <t xml:space="preserve">
</t>
        </r>
      </text>
    </comment>
    <comment ref="AJ12" authorId="0">
      <text>
        <r>
          <rPr>
            <b/>
            <sz val="9"/>
            <rFont val="宋体"/>
            <charset val="134"/>
          </rPr>
          <t xml:space="preserve">所在楼层
</t>
        </r>
        <r>
          <rPr>
            <sz val="9"/>
            <rFont val="宋体"/>
            <charset val="134"/>
          </rPr>
          <t xml:space="preserve">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G41" authorId="3">
      <text>
        <r>
          <rPr>
            <sz val="10"/>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Z9" authorId="0">
      <text>
        <r>
          <rPr>
            <b/>
            <sz val="9"/>
            <rFont val="宋体"/>
            <charset val="134"/>
          </rPr>
          <t xml:space="preserve">所在楼层
</t>
        </r>
        <r>
          <rPr>
            <sz val="9"/>
            <rFont val="宋体"/>
            <charset val="134"/>
          </rPr>
          <t xml:space="preserve">
</t>
        </r>
      </text>
    </comment>
    <comment ref="AA9" authorId="0">
      <text>
        <r>
          <rPr>
            <b/>
            <sz val="9"/>
            <rFont val="宋体"/>
            <charset val="134"/>
          </rPr>
          <t xml:space="preserve">所在楼层
</t>
        </r>
        <r>
          <rPr>
            <sz val="9"/>
            <rFont val="宋体"/>
            <charset val="134"/>
          </rPr>
          <t xml:space="preserve">
</t>
        </r>
      </text>
    </comment>
    <comment ref="AB9" authorId="0">
      <text>
        <r>
          <rPr>
            <b/>
            <sz val="9"/>
            <rFont val="宋体"/>
            <charset val="134"/>
          </rPr>
          <t xml:space="preserve">所在楼层
</t>
        </r>
        <r>
          <rPr>
            <sz val="9"/>
            <rFont val="宋体"/>
            <charset val="134"/>
          </rPr>
          <t xml:space="preserve">
</t>
        </r>
      </text>
    </comment>
    <comment ref="AC9" authorId="0">
      <text>
        <r>
          <rPr>
            <b/>
            <sz val="9"/>
            <rFont val="宋体"/>
            <charset val="134"/>
          </rPr>
          <t xml:space="preserve">所在楼层
</t>
        </r>
        <r>
          <rPr>
            <sz val="9"/>
            <rFont val="宋体"/>
            <charset val="134"/>
          </rPr>
          <t xml:space="preserve">
</t>
        </r>
      </text>
    </comment>
    <comment ref="AD9" authorId="0">
      <text>
        <r>
          <rPr>
            <b/>
            <sz val="9"/>
            <rFont val="宋体"/>
            <charset val="134"/>
          </rPr>
          <t xml:space="preserve">所在楼层
</t>
        </r>
        <r>
          <rPr>
            <sz val="9"/>
            <rFont val="宋体"/>
            <charset val="134"/>
          </rPr>
          <t xml:space="preserve">
</t>
        </r>
      </text>
    </comment>
    <comment ref="AE9" authorId="0">
      <text>
        <r>
          <rPr>
            <b/>
            <sz val="9"/>
            <rFont val="宋体"/>
            <charset val="134"/>
          </rPr>
          <t xml:space="preserve">所在楼层
</t>
        </r>
        <r>
          <rPr>
            <sz val="9"/>
            <rFont val="宋体"/>
            <charset val="134"/>
          </rPr>
          <t xml:space="preserve">
</t>
        </r>
      </text>
    </comment>
    <comment ref="AF9" authorId="0">
      <text>
        <r>
          <rPr>
            <b/>
            <sz val="9"/>
            <rFont val="宋体"/>
            <charset val="134"/>
          </rPr>
          <t xml:space="preserve">所在楼层
</t>
        </r>
        <r>
          <rPr>
            <sz val="9"/>
            <rFont val="宋体"/>
            <charset val="134"/>
          </rPr>
          <t xml:space="preserve">
</t>
        </r>
      </text>
    </comment>
    <comment ref="AG9" authorId="0">
      <text>
        <r>
          <rPr>
            <b/>
            <sz val="9"/>
            <rFont val="宋体"/>
            <charset val="134"/>
          </rPr>
          <t xml:space="preserve">所在楼层
</t>
        </r>
        <r>
          <rPr>
            <sz val="9"/>
            <rFont val="宋体"/>
            <charset val="134"/>
          </rPr>
          <t xml:space="preserve">
</t>
        </r>
      </text>
    </comment>
    <comment ref="AH9" authorId="0">
      <text>
        <r>
          <rPr>
            <b/>
            <sz val="9"/>
            <rFont val="宋体"/>
            <charset val="134"/>
          </rPr>
          <t xml:space="preserve">所在楼层
</t>
        </r>
        <r>
          <rPr>
            <sz val="9"/>
            <rFont val="宋体"/>
            <charset val="134"/>
          </rPr>
          <t xml:space="preserve">
</t>
        </r>
      </text>
    </comment>
    <comment ref="AI9" authorId="0">
      <text>
        <r>
          <rPr>
            <b/>
            <sz val="9"/>
            <rFont val="宋体"/>
            <charset val="134"/>
          </rPr>
          <t xml:space="preserve">所在楼层
</t>
        </r>
        <r>
          <rPr>
            <sz val="9"/>
            <rFont val="宋体"/>
            <charset val="134"/>
          </rPr>
          <t xml:space="preserve">
</t>
        </r>
      </text>
    </comment>
    <comment ref="AJ9" authorId="0">
      <text>
        <r>
          <rPr>
            <b/>
            <sz val="9"/>
            <rFont val="宋体"/>
            <charset val="134"/>
          </rPr>
          <t xml:space="preserve">所在楼层
</t>
        </r>
        <r>
          <rPr>
            <sz val="9"/>
            <rFont val="宋体"/>
            <charset val="134"/>
          </rPr>
          <t xml:space="preserve">
</t>
        </r>
      </text>
    </comment>
    <comment ref="Y12" authorId="0">
      <text>
        <r>
          <rPr>
            <b/>
            <sz val="9"/>
            <rFont val="宋体"/>
            <charset val="134"/>
          </rPr>
          <t xml:space="preserve">所在楼层
</t>
        </r>
        <r>
          <rPr>
            <sz val="9"/>
            <rFont val="宋体"/>
            <charset val="134"/>
          </rPr>
          <t xml:space="preserve">
</t>
        </r>
      </text>
    </comment>
    <comment ref="Z12" authorId="0">
      <text>
        <r>
          <rPr>
            <b/>
            <sz val="9"/>
            <rFont val="宋体"/>
            <charset val="134"/>
          </rPr>
          <t xml:space="preserve">所在楼层
</t>
        </r>
        <r>
          <rPr>
            <sz val="9"/>
            <rFont val="宋体"/>
            <charset val="134"/>
          </rPr>
          <t xml:space="preserve">
</t>
        </r>
      </text>
    </comment>
    <comment ref="AA12" authorId="0">
      <text>
        <r>
          <rPr>
            <b/>
            <sz val="9"/>
            <rFont val="宋体"/>
            <charset val="134"/>
          </rPr>
          <t xml:space="preserve">所在楼层
</t>
        </r>
        <r>
          <rPr>
            <sz val="9"/>
            <rFont val="宋体"/>
            <charset val="134"/>
          </rPr>
          <t xml:space="preserve">
</t>
        </r>
      </text>
    </comment>
    <comment ref="AB12" authorId="0">
      <text>
        <r>
          <rPr>
            <b/>
            <sz val="9"/>
            <rFont val="宋体"/>
            <charset val="134"/>
          </rPr>
          <t xml:space="preserve">所在楼层
</t>
        </r>
        <r>
          <rPr>
            <sz val="9"/>
            <rFont val="宋体"/>
            <charset val="134"/>
          </rPr>
          <t xml:space="preserve">
</t>
        </r>
      </text>
    </comment>
    <comment ref="AC12" authorId="0">
      <text>
        <r>
          <rPr>
            <b/>
            <sz val="9"/>
            <rFont val="宋体"/>
            <charset val="134"/>
          </rPr>
          <t xml:space="preserve">所在楼层
</t>
        </r>
        <r>
          <rPr>
            <sz val="9"/>
            <rFont val="宋体"/>
            <charset val="134"/>
          </rPr>
          <t xml:space="preserve">
</t>
        </r>
      </text>
    </comment>
    <comment ref="AD12" authorId="0">
      <text>
        <r>
          <rPr>
            <b/>
            <sz val="9"/>
            <rFont val="宋体"/>
            <charset val="134"/>
          </rPr>
          <t xml:space="preserve">所在楼层
</t>
        </r>
        <r>
          <rPr>
            <sz val="9"/>
            <rFont val="宋体"/>
            <charset val="134"/>
          </rPr>
          <t xml:space="preserve">
</t>
        </r>
      </text>
    </comment>
    <comment ref="AE12" authorId="0">
      <text>
        <r>
          <rPr>
            <b/>
            <sz val="9"/>
            <rFont val="宋体"/>
            <charset val="134"/>
          </rPr>
          <t xml:space="preserve">所在楼层
</t>
        </r>
        <r>
          <rPr>
            <sz val="9"/>
            <rFont val="宋体"/>
            <charset val="134"/>
          </rPr>
          <t xml:space="preserve">
</t>
        </r>
      </text>
    </comment>
    <comment ref="AF12" authorId="0">
      <text>
        <r>
          <rPr>
            <b/>
            <sz val="9"/>
            <rFont val="宋体"/>
            <charset val="134"/>
          </rPr>
          <t xml:space="preserve">所在楼层
</t>
        </r>
        <r>
          <rPr>
            <sz val="9"/>
            <rFont val="宋体"/>
            <charset val="134"/>
          </rPr>
          <t xml:space="preserve">
</t>
        </r>
      </text>
    </comment>
    <comment ref="AG12" authorId="0">
      <text>
        <r>
          <rPr>
            <b/>
            <sz val="9"/>
            <rFont val="宋体"/>
            <charset val="134"/>
          </rPr>
          <t xml:space="preserve">所在楼层
</t>
        </r>
        <r>
          <rPr>
            <sz val="9"/>
            <rFont val="宋体"/>
            <charset val="134"/>
          </rPr>
          <t xml:space="preserve">
</t>
        </r>
      </text>
    </comment>
    <comment ref="AH12" authorId="0">
      <text>
        <r>
          <rPr>
            <b/>
            <sz val="9"/>
            <rFont val="宋体"/>
            <charset val="134"/>
          </rPr>
          <t xml:space="preserve">所在楼层
</t>
        </r>
        <r>
          <rPr>
            <sz val="9"/>
            <rFont val="宋体"/>
            <charset val="134"/>
          </rPr>
          <t xml:space="preserve">
</t>
        </r>
      </text>
    </comment>
    <comment ref="AI12" authorId="0">
      <text>
        <r>
          <rPr>
            <b/>
            <sz val="9"/>
            <rFont val="宋体"/>
            <charset val="134"/>
          </rPr>
          <t xml:space="preserve">所在楼层
</t>
        </r>
        <r>
          <rPr>
            <sz val="9"/>
            <rFont val="宋体"/>
            <charset val="134"/>
          </rPr>
          <t xml:space="preserve">
</t>
        </r>
      </text>
    </comment>
    <comment ref="AJ12" authorId="0">
      <text>
        <r>
          <rPr>
            <b/>
            <sz val="9"/>
            <rFont val="宋体"/>
            <charset val="134"/>
          </rPr>
          <t xml:space="preserve">所在楼层
</t>
        </r>
        <r>
          <rPr>
            <sz val="9"/>
            <rFont val="宋体"/>
            <charset val="134"/>
          </rPr>
          <t xml:space="preserve">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G41" authorId="3">
      <text>
        <r>
          <rPr>
            <sz val="10"/>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9.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93" authorId="1">
      <text>
        <r>
          <rPr>
            <b/>
            <sz val="9"/>
            <rFont val="宋体"/>
            <charset val="134"/>
          </rPr>
          <t>已购买年数；无发票此处填0(有公式链接)</t>
        </r>
        <r>
          <rPr>
            <sz val="9"/>
            <rFont val="宋体"/>
            <charset val="134"/>
          </rPr>
          <t xml:space="preserve">
</t>
        </r>
      </text>
    </comment>
  </commentList>
</comments>
</file>

<file path=xl/sharedStrings.xml><?xml version="1.0" encoding="utf-8"?>
<sst xmlns="http://schemas.openxmlformats.org/spreadsheetml/2006/main" count="8223" uniqueCount="2447">
  <si>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</si>
  <si>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</si>
  <si>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</si>
  <si>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封皮-委托估价方</t>
  </si>
  <si>
    <t>封皮-土地估价师</t>
  </si>
  <si>
    <t>封皮-土地估价报告编号</t>
  </si>
  <si>
    <t>致函-委托事项</t>
  </si>
  <si>
    <t>致函-估价对象-1</t>
  </si>
  <si>
    <t>致函-估价对象-2</t>
  </si>
  <si>
    <t>致函-估价目的</t>
  </si>
  <si>
    <t>致函-估价期日</t>
  </si>
  <si>
    <t>致函-地价定义-用途-1</t>
  </si>
  <si>
    <t>致函-地价定义-用途-2</t>
  </si>
  <si>
    <t>致函-地价定义-开发程度-1</t>
  </si>
  <si>
    <t>致函-地价定义-开发程度-2</t>
  </si>
  <si>
    <t>致函-地价定义-规划</t>
  </si>
  <si>
    <t>致函-地价定义-年限-1</t>
  </si>
  <si>
    <t>致函-地价定义-年限-2</t>
  </si>
  <si>
    <t>致函-地价定义-1</t>
  </si>
  <si>
    <t>致函-地价定义-2</t>
  </si>
  <si>
    <t>致函-地价定义-3</t>
  </si>
  <si>
    <t>致函-地价定义-4</t>
  </si>
  <si>
    <t>致函-估价结果</t>
  </si>
  <si>
    <t>致函-估价结果-表-1</t>
  </si>
  <si>
    <t>致函-估价结果-表-2</t>
  </si>
  <si>
    <t>致函-估价结果-表-使用者(标题）</t>
  </si>
  <si>
    <t>致函-估价结果-表-使用者</t>
  </si>
  <si>
    <t>致函-估价结果-表-地号(标题）</t>
  </si>
  <si>
    <t>致函-估价结果-表-地号</t>
  </si>
  <si>
    <t>致函-估价结果-表-宗地名称</t>
  </si>
  <si>
    <t>致函-估价结果-表-权属证号(标题）</t>
  </si>
  <si>
    <t>致函-估价结果-表-权属证号</t>
  </si>
  <si>
    <t>致函-估价结果-表-用途-1</t>
  </si>
  <si>
    <t>致函-估价结果-表-用途-2</t>
  </si>
  <si>
    <t>致函-估价结果-表-用途-3</t>
  </si>
  <si>
    <t>致函-估价结果-表-容积率-1</t>
  </si>
  <si>
    <t>致函-估价结果-表-容积率-2</t>
  </si>
  <si>
    <t>致函-估价结果-表-容积率-3</t>
  </si>
  <si>
    <t>致函-估价结果-表-开发程度-1</t>
  </si>
  <si>
    <t>致函-估价结果-表-开发程度-2</t>
  </si>
  <si>
    <t>致函-估价结果-表-年限(标题）</t>
  </si>
  <si>
    <t>致函-估价结果-表-年限</t>
  </si>
  <si>
    <t>致函-估价结果-表-土地(标题）</t>
  </si>
  <si>
    <t>致函-估价结果-表-土地</t>
  </si>
  <si>
    <t>致函-估价结果-表-建筑(标题）</t>
  </si>
  <si>
    <t>致函-估价结果-表-建筑</t>
  </si>
  <si>
    <t>致函-估价结果-表-地面价</t>
  </si>
  <si>
    <t>致函-估价结果-表-楼面价</t>
  </si>
  <si>
    <t>致函-估价结果-表-总额</t>
  </si>
  <si>
    <t>致函-估价结果-表-抵押（名称）</t>
  </si>
  <si>
    <t>致函-估价结果-表-抵押</t>
  </si>
  <si>
    <t>致函-估价结果-表-已注（名称）</t>
  </si>
  <si>
    <t>致函-估价结果-表-已注</t>
  </si>
  <si>
    <t>致函-估价结果-表-净值（名称）</t>
  </si>
  <si>
    <t>致函-估价结果-表-净值</t>
  </si>
  <si>
    <t>致函-限定条件-1</t>
  </si>
  <si>
    <t>致函-限定条件-2</t>
  </si>
  <si>
    <t>致函-限定条件-3</t>
  </si>
  <si>
    <t>致函-限定条件-4</t>
  </si>
  <si>
    <t>致函-其他事项-1</t>
  </si>
  <si>
    <t>致函-其他事项-2</t>
  </si>
  <si>
    <t>致函-其他事项-优先受偿</t>
  </si>
  <si>
    <t>致函-其他事项-优先受偿-1</t>
  </si>
  <si>
    <t>致函-其他事项-优先受偿-2</t>
  </si>
  <si>
    <t>致函-其他事项-优先受偿-3</t>
  </si>
  <si>
    <t>致函-其他事项-优先受偿-4</t>
  </si>
  <si>
    <t>致函-其他事项-4</t>
  </si>
  <si>
    <t>致函-其他事项-5</t>
  </si>
  <si>
    <t>致函-出具日期</t>
  </si>
  <si>
    <t>致函-估价师签字-1</t>
  </si>
  <si>
    <t>致函-估价师签字-2</t>
  </si>
  <si>
    <t>储备-补1</t>
  </si>
  <si>
    <t>储备-补2</t>
  </si>
  <si>
    <t>储备-补3</t>
  </si>
  <si>
    <t>致函-其他专业人员</t>
  </si>
  <si>
    <t xml:space="preserve">— </t>
  </si>
  <si>
    <t>估价项目名称：</t>
  </si>
  <si>
    <t>委托估价方：</t>
  </si>
  <si>
    <t>受托估价单位：</t>
  </si>
  <si>
    <t>北京康正宏基房地产评估有限公司</t>
  </si>
  <si>
    <t>土地估价师：</t>
  </si>
  <si>
    <t>土地估价报告编号：</t>
  </si>
  <si>
    <t>评估意见函</t>
  </si>
  <si>
    <t>估价对象：</t>
  </si>
  <si>
    <t xml:space="preserve">简述项目推广名，项目类型（用途），估价对象分布，各用途面积明细情况：XX用途建筑面积XX平方米，XX用途建筑面积XX平方米，……。复杂面积清单需设‘附表’列示：抵押物清单详见附表。        </t>
  </si>
  <si>
    <t>估价目的：</t>
  </si>
  <si>
    <t>估价期日：</t>
  </si>
  <si>
    <t>地价定义：</t>
  </si>
  <si>
    <t>1.用途</t>
  </si>
  <si>
    <t>2.土地开发程度</t>
  </si>
  <si>
    <t>3.规划利用条件</t>
  </si>
  <si>
    <t>4.土地使用年限</t>
  </si>
  <si>
    <t>5.地价定义</t>
  </si>
  <si>
    <t>估价结果：</t>
  </si>
  <si>
    <t>（转下页）</t>
  </si>
  <si>
    <t>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t>
  </si>
  <si>
    <t>1.用途：</t>
  </si>
  <si>
    <t>本次估价对象国有建设用地使用权类型为储备，无土地使用年限限制。</t>
  </si>
  <si>
    <t>估价结果一览表</t>
  </si>
  <si>
    <t>估价机构：北京康正宏基房地产评估有限公司</t>
  </si>
  <si>
    <t>估价期日土地使用者</t>
  </si>
  <si>
    <r>
      <rPr>
        <sz val="10.5"/>
        <color theme="9" tint="-0.249977111117893"/>
        <rFont val="仿宋_GB2312"/>
        <charset val="134"/>
      </rPr>
      <t>宗地编号</t>
    </r>
    <r>
      <rPr>
        <i/>
        <sz val="10.5"/>
        <color theme="9" tint="-0.249977111117893"/>
        <rFont val="仿宋_GB2312"/>
        <charset val="134"/>
      </rPr>
      <t>/不动产单元号</t>
    </r>
  </si>
  <si>
    <t>宗地名称</t>
  </si>
  <si>
    <t>土地使用证编号/不动产权证书编号</t>
  </si>
  <si>
    <t>估价期日的用途</t>
  </si>
  <si>
    <t>容积率</t>
  </si>
  <si>
    <t>估价期日的实际土地开发程度</t>
  </si>
  <si>
    <t>估价设定的土地开发程度</t>
  </si>
  <si>
    <t>（剩余）土地使用年限/年</t>
  </si>
  <si>
    <t>规划建筑面积/㎡</t>
  </si>
  <si>
    <t>单位面积地价/元/㎡</t>
  </si>
  <si>
    <t>楼面地价/元/㎡</t>
  </si>
  <si>
    <t>总地价/万元</t>
  </si>
  <si>
    <t>证载（或批准）</t>
  </si>
  <si>
    <r>
      <rPr>
        <sz val="10.5"/>
        <color theme="1"/>
        <rFont val="仿宋_GB2312"/>
        <charset val="134"/>
      </rPr>
      <t>实际</t>
    </r>
    <r>
      <rPr>
        <i/>
        <sz val="10.5"/>
        <color theme="3" tint="0.399914548173467"/>
        <rFont val="仿宋_GB2312"/>
        <charset val="134"/>
      </rPr>
      <t>（证载）</t>
    </r>
  </si>
  <si>
    <t>设定</t>
  </si>
  <si>
    <t>规划</t>
  </si>
  <si>
    <r>
      <rPr>
        <sz val="10.5"/>
        <color theme="1"/>
        <rFont val="仿宋_GB2312"/>
        <charset val="134"/>
      </rPr>
      <t>实际</t>
    </r>
    <r>
      <rPr>
        <i/>
        <sz val="10.5"/>
        <color theme="3" tint="0.399914548173467"/>
        <rFont val="仿宋_GB2312"/>
        <charset val="134"/>
      </rPr>
      <t>（工程规划）</t>
    </r>
  </si>
  <si>
    <t>中信开发</t>
  </si>
  <si>
    <t>11111111111</t>
  </si>
  <si>
    <t>京国土字第111号</t>
  </si>
  <si>
    <t>币种：人民币</t>
  </si>
  <si>
    <t>一、上述估价结果的限定条件</t>
  </si>
  <si>
    <t>4.影响价格的其他限定条件：无。</t>
  </si>
  <si>
    <t>二、其他需要说明的事项：</t>
  </si>
  <si>
    <r>
      <rPr>
        <sz val="12"/>
        <color theme="1"/>
        <rFont val="仿宋_GB2312"/>
        <charset val="134"/>
      </rPr>
      <t>1</t>
    </r>
    <r>
      <rPr>
        <sz val="12"/>
        <color indexed="8"/>
        <rFont val="仿宋_GB2312"/>
        <charset val="134"/>
      </rPr>
      <t>.本《评估意见函》中所列估价结果为初评结果，准确金额以本公司出具的正式《土地估价报告》为准。</t>
    </r>
  </si>
  <si>
    <t>（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t>
  </si>
  <si>
    <t>（3）。</t>
  </si>
  <si>
    <r>
      <rPr>
        <sz val="12"/>
        <color theme="1"/>
        <rFont val="仿宋_GB2312"/>
        <charset val="134"/>
      </rPr>
      <t>三、参与本次估价工作的评估专业人员：</t>
    </r>
    <r>
      <rPr>
        <i/>
        <sz val="12"/>
        <color theme="3" tint="0.399914548173467"/>
        <rFont val="仿宋_GB2312"/>
        <charset val="134"/>
      </rPr>
      <t>（仅华夏银行，且需附有测算过程）</t>
    </r>
  </si>
  <si>
    <t>注册房地产估价师</t>
  </si>
  <si>
    <t>姓名</t>
  </si>
  <si>
    <t>注册号</t>
  </si>
  <si>
    <t>签名</t>
  </si>
  <si>
    <t>签名日期</t>
  </si>
  <si>
    <t xml:space="preserve">  年   月   日</t>
  </si>
  <si>
    <t>其他评估专业人员</t>
  </si>
  <si>
    <t>相关资格或职称</t>
  </si>
  <si>
    <t>XX</t>
  </si>
  <si>
    <t>——</t>
  </si>
  <si>
    <r>
      <rPr>
        <b/>
        <sz val="14"/>
        <color indexed="10"/>
        <rFont val="仿宋_GB2312"/>
        <charset val="134"/>
      </rPr>
      <t>请用</t>
    </r>
    <r>
      <rPr>
        <b/>
        <sz val="14"/>
        <color indexed="10"/>
        <rFont val="Arial"/>
        <charset val="134"/>
      </rPr>
      <t>EXCEL2010</t>
    </r>
    <r>
      <rPr>
        <b/>
        <sz val="14"/>
        <color indexed="10"/>
        <rFont val="仿宋_GB2312"/>
        <charset val="134"/>
      </rPr>
      <t>以上版本打开，否则个别格式设置会与原表不一致，影响使用</t>
    </r>
  </si>
  <si>
    <r>
      <rPr>
        <b/>
        <sz val="12"/>
        <color indexed="8"/>
        <rFont val="仿宋_GB2312"/>
        <charset val="134"/>
      </rPr>
      <t>录入项</t>
    </r>
  </si>
  <si>
    <r>
      <rPr>
        <sz val="11"/>
        <color indexed="8"/>
        <rFont val="仿宋_GB2312"/>
        <charset val="134"/>
      </rPr>
      <t>无底纹单元格</t>
    </r>
  </si>
  <si>
    <r>
      <rPr>
        <b/>
        <sz val="12"/>
        <color indexed="8"/>
        <rFont val="仿宋_GB2312"/>
        <charset val="134"/>
      </rPr>
      <t>下拉菜单</t>
    </r>
  </si>
  <si>
    <r>
      <rPr>
        <sz val="11"/>
        <color indexed="8"/>
        <rFont val="仿宋_GB2312"/>
        <charset val="134"/>
      </rPr>
      <t>黄色底纹单元格</t>
    </r>
  </si>
  <si>
    <r>
      <rPr>
        <b/>
        <sz val="12"/>
        <color indexed="8"/>
        <rFont val="仿宋_GB2312"/>
        <charset val="134"/>
      </rPr>
      <t>不可更改项</t>
    </r>
  </si>
  <si>
    <r>
      <rPr>
        <sz val="11"/>
        <color indexed="8"/>
        <rFont val="仿宋_GB2312"/>
        <charset val="134"/>
      </rPr>
      <t>灰色底纹单元格</t>
    </r>
  </si>
  <si>
    <r>
      <rPr>
        <b/>
        <sz val="12"/>
        <color indexed="13"/>
        <rFont val="仿宋_GB2312"/>
        <charset val="134"/>
      </rPr>
      <t>错误提示</t>
    </r>
  </si>
  <si>
    <r>
      <rPr>
        <sz val="11"/>
        <color indexed="8"/>
        <rFont val="仿宋_GB2312"/>
        <charset val="134"/>
      </rPr>
      <t>红色底纹黄色字体</t>
    </r>
  </si>
  <si>
    <r>
      <rPr>
        <b/>
        <sz val="12"/>
        <color indexed="10"/>
        <rFont val="仿宋_GB2312"/>
        <charset val="134"/>
      </rPr>
      <t>特别提示</t>
    </r>
  </si>
  <si>
    <t>红色字体</t>
  </si>
  <si>
    <r>
      <rPr>
        <b/>
        <sz val="12"/>
        <color indexed="8"/>
        <rFont val="仿宋_GB2312"/>
        <charset val="134"/>
      </rPr>
      <t>关注批注角标</t>
    </r>
  </si>
  <si>
    <r>
      <rPr>
        <sz val="11"/>
        <color indexed="8"/>
        <rFont val="仿宋_GB2312"/>
        <charset val="134"/>
      </rPr>
      <t>基础表</t>
    </r>
  </si>
  <si>
    <t>项目基本情况</t>
  </si>
  <si>
    <r>
      <rPr>
        <sz val="11"/>
        <color indexed="8"/>
        <rFont val="仿宋_GB2312"/>
        <charset val="134"/>
      </rPr>
      <t>数据表</t>
    </r>
  </si>
  <si>
    <r>
      <rPr>
        <sz val="11"/>
        <color indexed="8"/>
        <rFont val="仿宋_GB2312"/>
        <charset val="134"/>
      </rPr>
      <t>汇总表</t>
    </r>
  </si>
  <si>
    <r>
      <rPr>
        <sz val="11"/>
        <color indexed="8"/>
        <rFont val="仿宋_GB2312"/>
        <charset val="134"/>
      </rPr>
      <t>取费表</t>
    </r>
  </si>
  <si>
    <r>
      <rPr>
        <sz val="11"/>
        <color indexed="8"/>
        <rFont val="仿宋_GB2312"/>
        <charset val="134"/>
      </rPr>
      <t>房地状况</t>
    </r>
  </si>
  <si>
    <r>
      <rPr>
        <sz val="11"/>
        <color indexed="8"/>
        <rFont val="仿宋_GB2312"/>
        <charset val="134"/>
      </rPr>
      <t>结果表</t>
    </r>
  </si>
  <si>
    <r>
      <rPr>
        <sz val="11"/>
        <color indexed="8"/>
        <rFont val="仿宋_GB2312"/>
        <charset val="134"/>
      </rPr>
      <t>方法</t>
    </r>
  </si>
  <si>
    <r>
      <rPr>
        <sz val="11"/>
        <color indexed="8"/>
        <rFont val="仿宋_GB2312"/>
        <charset val="134"/>
      </rPr>
      <t>成本</t>
    </r>
  </si>
  <si>
    <r>
      <rPr>
        <sz val="11"/>
        <color indexed="8"/>
        <rFont val="仿宋_GB2312"/>
        <charset val="134"/>
      </rPr>
      <t>假开</t>
    </r>
  </si>
  <si>
    <r>
      <rPr>
        <sz val="11"/>
        <color indexed="8"/>
        <rFont val="仿宋_GB2312"/>
        <charset val="134"/>
      </rPr>
      <t>收益</t>
    </r>
  </si>
  <si>
    <r>
      <rPr>
        <sz val="11"/>
        <color indexed="8"/>
        <rFont val="仿宋_GB2312"/>
        <charset val="134"/>
      </rPr>
      <t>比较</t>
    </r>
  </si>
  <si>
    <t>住宅\综合</t>
  </si>
  <si>
    <t>工业</t>
  </si>
  <si>
    <t>不动产-住宅</t>
  </si>
  <si>
    <t>不动产-商业</t>
  </si>
  <si>
    <t>不动产-办公</t>
  </si>
  <si>
    <t>不动产-工业</t>
  </si>
  <si>
    <t>不动产-车位</t>
  </si>
  <si>
    <t>不动产-仓储</t>
  </si>
  <si>
    <t>典型户型修正</t>
  </si>
  <si>
    <t>基准地价系数修正法</t>
  </si>
  <si>
    <t>基准地价</t>
  </si>
  <si>
    <r>
      <rPr>
        <sz val="11"/>
        <color indexed="8"/>
        <rFont val="宋体"/>
        <charset val="134"/>
      </rPr>
      <t>基准地价</t>
    </r>
    <r>
      <rPr>
        <sz val="11"/>
        <color indexed="8"/>
        <rFont val="Arial"/>
        <charset val="134"/>
      </rPr>
      <t>-</t>
    </r>
    <r>
      <rPr>
        <sz val="11"/>
        <color indexed="8"/>
        <rFont val="宋体"/>
        <charset val="134"/>
      </rPr>
      <t>区域</t>
    </r>
  </si>
  <si>
    <t>区片价</t>
  </si>
  <si>
    <t>容积率修正</t>
  </si>
  <si>
    <t>修正</t>
  </si>
  <si>
    <r>
      <rPr>
        <b/>
        <sz val="12"/>
        <color indexed="10"/>
        <rFont val="仿宋_GB2312"/>
        <charset val="134"/>
      </rPr>
      <t>需要新增方法表时，请右键点击所选方法标签，选择</t>
    </r>
    <r>
      <rPr>
        <b/>
        <sz val="12"/>
        <color indexed="10"/>
        <rFont val="Arial"/>
        <charset val="134"/>
      </rPr>
      <t>‘</t>
    </r>
    <r>
      <rPr>
        <b/>
        <sz val="12"/>
        <color indexed="10"/>
        <rFont val="仿宋_GB2312"/>
        <charset val="134"/>
      </rPr>
      <t>移动或复制</t>
    </r>
    <r>
      <rPr>
        <b/>
        <sz val="12"/>
        <color indexed="10"/>
        <rFont val="Arial"/>
        <charset val="134"/>
      </rPr>
      <t>’</t>
    </r>
    <r>
      <rPr>
        <b/>
        <sz val="12"/>
        <color indexed="10"/>
        <rFont val="仿宋_GB2312"/>
        <charset val="134"/>
      </rPr>
      <t>，勾选建立副本，以保证公示链接无误</t>
    </r>
  </si>
  <si>
    <r>
      <rPr>
        <b/>
        <sz val="12"/>
        <color indexed="10"/>
        <rFont val="仿宋_GB2312"/>
        <charset val="134"/>
      </rPr>
      <t>数据</t>
    </r>
    <r>
      <rPr>
        <b/>
        <sz val="12"/>
        <color indexed="10"/>
        <rFont val="Arial"/>
        <charset val="134"/>
      </rPr>
      <t>-</t>
    </r>
    <r>
      <rPr>
        <b/>
        <sz val="12"/>
        <color indexed="10"/>
        <rFont val="仿宋_GB2312"/>
        <charset val="134"/>
      </rPr>
      <t>基础表</t>
    </r>
    <r>
      <rPr>
        <b/>
        <sz val="12"/>
        <color indexed="10"/>
        <rFont val="Arial"/>
        <charset val="134"/>
      </rPr>
      <t xml:space="preserve">  </t>
    </r>
    <r>
      <rPr>
        <b/>
        <sz val="12"/>
        <color indexed="10"/>
        <rFont val="仿宋_GB2312"/>
        <charset val="134"/>
      </rPr>
      <t>面积录入特殊说明</t>
    </r>
  </si>
  <si>
    <r>
      <rPr>
        <sz val="11"/>
        <color indexed="8"/>
        <rFont val="Arial"/>
        <charset val="134"/>
      </rPr>
      <t>1.</t>
    </r>
    <r>
      <rPr>
        <sz val="11"/>
        <color indexed="8"/>
        <rFont val="仿宋_GB2312"/>
        <charset val="134"/>
      </rPr>
      <t>该表需录入项目全部面积数据以及未进入估价范围的面积值，抵押物面积为计算得出，位于整表的右侧。建筑面积按经营性用途和非经营性用途进行设置</t>
    </r>
  </si>
  <si>
    <r>
      <rPr>
        <sz val="11"/>
        <color indexed="8"/>
        <rFont val="Arial"/>
        <charset val="134"/>
      </rPr>
      <t>2.</t>
    </r>
    <r>
      <rPr>
        <sz val="11"/>
        <color indexed="8"/>
        <rFont val="仿宋_GB2312"/>
        <charset val="134"/>
      </rPr>
      <t>在抵押物范围的先录</t>
    </r>
    <r>
      <rPr>
        <sz val="11"/>
        <color indexed="8"/>
        <rFont val="Arial"/>
        <charset val="134"/>
      </rPr>
      <t>,</t>
    </r>
    <r>
      <rPr>
        <sz val="11"/>
        <color indexed="8"/>
        <rFont val="仿宋_GB2312"/>
        <charset val="134"/>
      </rPr>
      <t>以便核对</t>
    </r>
  </si>
  <si>
    <r>
      <rPr>
        <sz val="11"/>
        <color indexed="8"/>
        <rFont val="Arial"/>
        <charset val="134"/>
      </rPr>
      <t>3.</t>
    </r>
    <r>
      <rPr>
        <sz val="11"/>
        <color indexed="8"/>
        <rFont val="仿宋_GB2312"/>
        <charset val="134"/>
      </rPr>
      <t>面积录入中允许存在不能从来源文件中直接摘录的数据，但应列出计算公式并批注，如地上公共配套含自行车库</t>
    </r>
    <r>
      <rPr>
        <sz val="11"/>
        <color indexed="8"/>
        <rFont val="Arial"/>
        <charset val="134"/>
      </rPr>
      <t>100</t>
    </r>
    <r>
      <rPr>
        <sz val="11"/>
        <color indexed="8"/>
        <rFont val="仿宋_GB2312"/>
        <charset val="134"/>
      </rPr>
      <t>、有线电视</t>
    </r>
    <r>
      <rPr>
        <sz val="11"/>
        <color indexed="8"/>
        <rFont val="Arial"/>
        <charset val="134"/>
      </rPr>
      <t>50</t>
    </r>
    <r>
      <rPr>
        <sz val="11"/>
        <color indexed="8"/>
        <rFont val="仿宋_GB2312"/>
        <charset val="134"/>
      </rPr>
      <t>、锅炉房</t>
    </r>
    <r>
      <rPr>
        <sz val="11"/>
        <color indexed="8"/>
        <rFont val="Arial"/>
        <charset val="134"/>
      </rPr>
      <t>50</t>
    </r>
    <r>
      <rPr>
        <sz val="11"/>
        <color indexed="8"/>
        <rFont val="仿宋_GB2312"/>
        <charset val="134"/>
      </rPr>
      <t>，则单元格中应录入</t>
    </r>
    <r>
      <rPr>
        <sz val="11"/>
        <color indexed="8"/>
        <rFont val="Arial"/>
        <charset val="134"/>
      </rPr>
      <t>“=100+50+50”</t>
    </r>
    <r>
      <rPr>
        <sz val="11"/>
        <color indexed="8"/>
        <rFont val="仿宋_GB2312"/>
        <charset val="134"/>
      </rPr>
      <t>。扣减值设置有单元格进行说明，所以无需批注。</t>
    </r>
  </si>
  <si>
    <r>
      <rPr>
        <sz val="11"/>
        <color indexed="8"/>
        <rFont val="Arial"/>
        <charset val="134"/>
      </rPr>
      <t>4.</t>
    </r>
    <r>
      <rPr>
        <sz val="11"/>
        <color indexed="8"/>
        <rFont val="仿宋_GB2312"/>
        <charset val="134"/>
      </rPr>
      <t>未注明用途的计入非经营性用途——</t>
    </r>
    <r>
      <rPr>
        <sz val="11"/>
        <color indexed="8"/>
        <rFont val="Arial"/>
        <charset val="134"/>
      </rPr>
      <t>"</t>
    </r>
    <r>
      <rPr>
        <sz val="11"/>
        <color indexed="8"/>
        <rFont val="仿宋_GB2312"/>
        <charset val="134"/>
      </rPr>
      <t>未注明</t>
    </r>
    <r>
      <rPr>
        <sz val="11"/>
        <color indexed="8"/>
        <rFont val="Arial"/>
        <charset val="134"/>
      </rPr>
      <t>"</t>
    </r>
    <r>
      <rPr>
        <sz val="11"/>
        <color indexed="8"/>
        <rFont val="仿宋_GB2312"/>
        <charset val="134"/>
      </rPr>
      <t>一项，单独录入，计算时按设备用房处理</t>
    </r>
  </si>
  <si>
    <r>
      <rPr>
        <sz val="11"/>
        <color indexed="8"/>
        <rFont val="Arial"/>
        <charset val="134"/>
      </rPr>
      <t>5.</t>
    </r>
    <r>
      <rPr>
        <sz val="11"/>
        <color indexed="8"/>
        <rFont val="仿宋_GB2312"/>
        <charset val="134"/>
      </rPr>
      <t>面积依据不同时，以每部分取得的最新数据文件为依据。</t>
    </r>
  </si>
  <si>
    <t>今日</t>
  </si>
  <si>
    <t>资质过期显示为红色</t>
  </si>
  <si>
    <t>注册证号</t>
  </si>
  <si>
    <t>资质有效期</t>
  </si>
  <si>
    <t>土地估价师</t>
  </si>
  <si>
    <t>证号</t>
  </si>
  <si>
    <t>梁津</t>
  </si>
  <si>
    <t>叶凌</t>
  </si>
  <si>
    <t>王鹏</t>
  </si>
  <si>
    <t>欧红伟</t>
  </si>
  <si>
    <t>吴薇</t>
  </si>
  <si>
    <t>陈颖</t>
  </si>
  <si>
    <t>崔锴</t>
  </si>
  <si>
    <t>郑燚</t>
  </si>
  <si>
    <t>苏海</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</si>
  <si>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</si>
  <si>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</si>
  <si>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</si>
  <si>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</si>
  <si>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</si>
  <si>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</si>
  <si>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</si>
  <si>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</si>
  <si>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</si>
  <si>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</si>
  <si>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</si>
  <si>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</si>
  <si>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</si>
  <si>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</si>
  <si>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t>延期至2020年底</t>
  </si>
  <si>
    <t>用途类型</t>
  </si>
  <si>
    <r>
      <rPr>
        <sz val="11"/>
        <color indexed="8"/>
        <rFont val="仿宋_GB2312"/>
        <charset val="134"/>
      </rPr>
      <t>估价方法</t>
    </r>
  </si>
  <si>
    <t>土地级别</t>
  </si>
  <si>
    <r>
      <rPr>
        <sz val="11"/>
        <color indexed="8"/>
        <rFont val="仿宋_GB2312"/>
        <charset val="134"/>
      </rPr>
      <t>判定</t>
    </r>
  </si>
  <si>
    <r>
      <rPr>
        <sz val="11"/>
        <color indexed="8"/>
        <rFont val="仿宋_GB2312"/>
        <charset val="134"/>
      </rPr>
      <t>位置</t>
    </r>
  </si>
  <si>
    <r>
      <rPr>
        <sz val="11"/>
        <color indexed="8"/>
        <rFont val="仿宋_GB2312"/>
        <charset val="134"/>
      </rPr>
      <t>主用途</t>
    </r>
  </si>
  <si>
    <r>
      <rPr>
        <sz val="11"/>
        <color indexed="8"/>
        <rFont val="仿宋_GB2312"/>
        <charset val="134"/>
      </rPr>
      <t>法定最高年限</t>
    </r>
  </si>
  <si>
    <r>
      <rPr>
        <sz val="11"/>
        <color indexed="8"/>
        <rFont val="仿宋_GB2312"/>
        <charset val="134"/>
      </rPr>
      <t>地类判定</t>
    </r>
  </si>
  <si>
    <r>
      <rPr>
        <sz val="11"/>
        <color indexed="8"/>
        <rFont val="仿宋_GB2312"/>
        <charset val="134"/>
      </rPr>
      <t>土地年限区间</t>
    </r>
  </si>
  <si>
    <r>
      <rPr>
        <sz val="11"/>
        <color indexed="8"/>
        <rFont val="仿宋_GB2312"/>
        <charset val="134"/>
      </rPr>
      <t>类别</t>
    </r>
  </si>
  <si>
    <r>
      <rPr>
        <sz val="11"/>
        <color indexed="8"/>
        <rFont val="仿宋_GB2312"/>
        <charset val="134"/>
      </rPr>
      <t>居住社区成熟度</t>
    </r>
  </si>
  <si>
    <r>
      <rPr>
        <sz val="11"/>
        <color indexed="8"/>
        <rFont val="仿宋_GB2312"/>
        <charset val="134"/>
      </rPr>
      <t>商业繁华度</t>
    </r>
  </si>
  <si>
    <r>
      <rPr>
        <sz val="11"/>
        <color indexed="8"/>
        <rFont val="仿宋_GB2312"/>
        <charset val="134"/>
      </rPr>
      <t>办公集聚程度</t>
    </r>
  </si>
  <si>
    <r>
      <rPr>
        <sz val="11"/>
        <color indexed="8"/>
        <rFont val="仿宋_GB2312"/>
        <charset val="134"/>
      </rPr>
      <t>产业集聚程度</t>
    </r>
  </si>
  <si>
    <r>
      <rPr>
        <sz val="11"/>
        <color indexed="8"/>
        <rFont val="仿宋_GB2312"/>
        <charset val="134"/>
      </rPr>
      <t>交通便捷度</t>
    </r>
  </si>
  <si>
    <r>
      <rPr>
        <sz val="11"/>
        <color indexed="8"/>
        <rFont val="仿宋_GB2312"/>
        <charset val="134"/>
      </rPr>
      <t>区域土地利用方向</t>
    </r>
  </si>
  <si>
    <t>公共配套设施</t>
  </si>
  <si>
    <t>基础设施水平</t>
  </si>
  <si>
    <r>
      <rPr>
        <sz val="11"/>
        <color indexed="8"/>
        <rFont val="仿宋_GB2312"/>
        <charset val="134"/>
      </rPr>
      <t>环境质量</t>
    </r>
  </si>
  <si>
    <r>
      <rPr>
        <sz val="11"/>
        <color indexed="8"/>
        <rFont val="仿宋_GB2312"/>
        <charset val="134"/>
      </rPr>
      <t>临街状况</t>
    </r>
  </si>
  <si>
    <r>
      <rPr>
        <sz val="11"/>
        <color indexed="8"/>
        <rFont val="仿宋_GB2312"/>
        <charset val="134"/>
      </rPr>
      <t>内部装修维护情况</t>
    </r>
  </si>
  <si>
    <r>
      <rPr>
        <sz val="11"/>
        <color indexed="8"/>
        <rFont val="仿宋_GB2312"/>
        <charset val="134"/>
      </rPr>
      <t>单价内涵</t>
    </r>
  </si>
  <si>
    <t>五等判定</t>
  </si>
  <si>
    <r>
      <rPr>
        <sz val="11"/>
        <color indexed="8"/>
        <rFont val="仿宋_GB2312"/>
        <charset val="134"/>
      </rPr>
      <t>平层住宅</t>
    </r>
  </si>
  <si>
    <r>
      <rPr>
        <sz val="11"/>
        <color indexed="8"/>
        <rFont val="仿宋_GB2312"/>
        <charset val="134"/>
      </rPr>
      <t>剩余法</t>
    </r>
    <r>
      <rPr>
        <sz val="11"/>
        <color indexed="8"/>
        <rFont val="Arial"/>
        <charset val="134"/>
      </rPr>
      <t>-</t>
    </r>
    <r>
      <rPr>
        <sz val="11"/>
        <color indexed="8"/>
        <rFont val="仿宋_GB2312"/>
        <charset val="134"/>
      </rPr>
      <t>待开发</t>
    </r>
  </si>
  <si>
    <t>一级</t>
  </si>
  <si>
    <r>
      <rPr>
        <sz val="11"/>
        <color indexed="8"/>
        <rFont val="仿宋_GB2312"/>
        <charset val="134"/>
      </rPr>
      <t>是</t>
    </r>
  </si>
  <si>
    <r>
      <rPr>
        <sz val="11"/>
        <color indexed="8"/>
        <rFont val="仿宋_GB2312"/>
        <charset val="134"/>
      </rPr>
      <t>地上</t>
    </r>
  </si>
  <si>
    <r>
      <rPr>
        <sz val="11"/>
        <color indexed="8"/>
        <rFont val="仿宋_GB2312"/>
        <charset val="134"/>
      </rPr>
      <t>住宅</t>
    </r>
  </si>
  <si>
    <r>
      <rPr>
        <sz val="11"/>
        <color theme="1"/>
        <rFont val="Arial"/>
        <charset val="134"/>
      </rPr>
      <t>60-70</t>
    </r>
    <r>
      <rPr>
        <sz val="11"/>
        <color indexed="8"/>
        <rFont val="仿宋_GB2312"/>
        <charset val="134"/>
      </rPr>
      <t>（含）</t>
    </r>
  </si>
  <si>
    <r>
      <rPr>
        <sz val="11"/>
        <color indexed="8"/>
        <rFont val="仿宋_GB2312"/>
        <charset val="134"/>
      </rPr>
      <t>经营性</t>
    </r>
  </si>
  <si>
    <r>
      <rPr>
        <sz val="11"/>
        <color indexed="8"/>
        <rFont val="仿宋_GB2312"/>
        <charset val="134"/>
      </rPr>
      <t>好</t>
    </r>
  </si>
  <si>
    <t>七通</t>
  </si>
  <si>
    <r>
      <rPr>
        <sz val="11"/>
        <color indexed="8"/>
        <rFont val="仿宋_GB2312"/>
        <charset val="134"/>
      </rPr>
      <t>多面临街</t>
    </r>
  </si>
  <si>
    <r>
      <rPr>
        <sz val="11"/>
        <color indexed="8"/>
        <rFont val="仿宋_GB2312"/>
        <charset val="134"/>
      </rPr>
      <t>单位面积地价</t>
    </r>
  </si>
  <si>
    <r>
      <rPr>
        <sz val="11"/>
        <color indexed="8"/>
        <rFont val="楷体_GB2312"/>
        <charset val="134"/>
      </rPr>
      <t>好</t>
    </r>
  </si>
  <si>
    <r>
      <rPr>
        <sz val="11"/>
        <color theme="1"/>
        <rFont val="Arial"/>
        <charset val="134"/>
      </rPr>
      <t>LOFT</t>
    </r>
    <r>
      <rPr>
        <sz val="11"/>
        <color indexed="8"/>
        <rFont val="仿宋_GB2312"/>
        <charset val="134"/>
      </rPr>
      <t>住宅</t>
    </r>
  </si>
  <si>
    <r>
      <rPr>
        <sz val="11"/>
        <color indexed="8"/>
        <rFont val="仿宋_GB2312"/>
        <charset val="134"/>
      </rPr>
      <t>剩余法</t>
    </r>
    <r>
      <rPr>
        <sz val="11"/>
        <color indexed="8"/>
        <rFont val="Arial"/>
        <charset val="134"/>
      </rPr>
      <t>-</t>
    </r>
    <r>
      <rPr>
        <sz val="11"/>
        <color indexed="8"/>
        <rFont val="仿宋_GB2312"/>
        <charset val="134"/>
      </rPr>
      <t>现房</t>
    </r>
  </si>
  <si>
    <t>二级</t>
  </si>
  <si>
    <r>
      <rPr>
        <sz val="11"/>
        <color indexed="8"/>
        <rFont val="仿宋_GB2312"/>
        <charset val="134"/>
      </rPr>
      <t>否</t>
    </r>
  </si>
  <si>
    <r>
      <rPr>
        <sz val="11"/>
        <color indexed="8"/>
        <rFont val="仿宋_GB2312"/>
        <charset val="134"/>
      </rPr>
      <t>商业</t>
    </r>
  </si>
  <si>
    <r>
      <rPr>
        <sz val="11"/>
        <color theme="1"/>
        <rFont val="Arial"/>
        <charset val="134"/>
      </rPr>
      <t>50-60</t>
    </r>
    <r>
      <rPr>
        <sz val="11"/>
        <color indexed="8"/>
        <rFont val="仿宋_GB2312"/>
        <charset val="134"/>
      </rPr>
      <t>（含）</t>
    </r>
  </si>
  <si>
    <r>
      <rPr>
        <sz val="11"/>
        <color indexed="8"/>
        <rFont val="仿宋_GB2312"/>
        <charset val="134"/>
      </rPr>
      <t>非经营性</t>
    </r>
  </si>
  <si>
    <r>
      <rPr>
        <sz val="11"/>
        <color indexed="8"/>
        <rFont val="仿宋_GB2312"/>
        <charset val="134"/>
      </rPr>
      <t>较好</t>
    </r>
  </si>
  <si>
    <t>六通</t>
  </si>
  <si>
    <r>
      <rPr>
        <sz val="11"/>
        <color indexed="8"/>
        <rFont val="仿宋_GB2312"/>
        <charset val="134"/>
      </rPr>
      <t>双面临街</t>
    </r>
  </si>
  <si>
    <r>
      <rPr>
        <sz val="11"/>
        <color indexed="8"/>
        <rFont val="仿宋_GB2312"/>
        <charset val="134"/>
      </rPr>
      <t>楼面地价</t>
    </r>
  </si>
  <si>
    <r>
      <rPr>
        <sz val="11"/>
        <color indexed="8"/>
        <rFont val="楷体_GB2312"/>
        <charset val="134"/>
      </rPr>
      <t>较好</t>
    </r>
  </si>
  <si>
    <r>
      <rPr>
        <sz val="11"/>
        <color indexed="8"/>
        <rFont val="仿宋_GB2312"/>
        <charset val="134"/>
      </rPr>
      <t>普通住宅</t>
    </r>
  </si>
  <si>
    <r>
      <rPr>
        <sz val="11"/>
        <color indexed="8"/>
        <rFont val="仿宋_GB2312"/>
        <charset val="134"/>
      </rPr>
      <t>比较法</t>
    </r>
    <r>
      <rPr>
        <sz val="11"/>
        <color indexed="8"/>
        <rFont val="Arial"/>
        <charset val="134"/>
      </rPr>
      <t>-</t>
    </r>
    <r>
      <rPr>
        <sz val="11"/>
        <color indexed="8"/>
        <rFont val="仿宋_GB2312"/>
        <charset val="134"/>
      </rPr>
      <t>住宅、综合</t>
    </r>
  </si>
  <si>
    <t>三级</t>
  </si>
  <si>
    <r>
      <rPr>
        <sz val="11"/>
        <color indexed="8"/>
        <rFont val="仿宋_GB2312"/>
        <charset val="134"/>
      </rPr>
      <t>地下</t>
    </r>
  </si>
  <si>
    <r>
      <rPr>
        <sz val="11"/>
        <color indexed="8"/>
        <rFont val="仿宋_GB2312"/>
        <charset val="134"/>
      </rPr>
      <t>办公</t>
    </r>
  </si>
  <si>
    <r>
      <rPr>
        <sz val="11"/>
        <color theme="1"/>
        <rFont val="Arial"/>
        <charset val="134"/>
      </rPr>
      <t>40-50</t>
    </r>
    <r>
      <rPr>
        <sz val="11"/>
        <color indexed="8"/>
        <rFont val="仿宋_GB2312"/>
        <charset val="134"/>
      </rPr>
      <t>（含）</t>
    </r>
  </si>
  <si>
    <r>
      <rPr>
        <sz val="11"/>
        <color indexed="8"/>
        <rFont val="仿宋_GB2312"/>
        <charset val="134"/>
      </rPr>
      <t>一般</t>
    </r>
  </si>
  <si>
    <t>五通</t>
  </si>
  <si>
    <r>
      <rPr>
        <sz val="11"/>
        <color indexed="8"/>
        <rFont val="仿宋_GB2312"/>
        <charset val="134"/>
      </rPr>
      <t>单面临街</t>
    </r>
  </si>
  <si>
    <r>
      <rPr>
        <sz val="11"/>
        <color indexed="8"/>
        <rFont val="楷体_GB2312"/>
        <charset val="134"/>
      </rPr>
      <t>一般</t>
    </r>
  </si>
  <si>
    <r>
      <rPr>
        <sz val="11"/>
        <color indexed="8"/>
        <rFont val="仿宋_GB2312"/>
        <charset val="134"/>
      </rPr>
      <t>公寓</t>
    </r>
  </si>
  <si>
    <r>
      <rPr>
        <sz val="11"/>
        <color indexed="8"/>
        <rFont val="仿宋_GB2312"/>
        <charset val="134"/>
      </rPr>
      <t>比较法</t>
    </r>
    <r>
      <rPr>
        <sz val="11"/>
        <color indexed="8"/>
        <rFont val="Arial"/>
        <charset val="134"/>
      </rPr>
      <t>-</t>
    </r>
    <r>
      <rPr>
        <sz val="11"/>
        <color indexed="8"/>
        <rFont val="仿宋_GB2312"/>
        <charset val="134"/>
      </rPr>
      <t>工业</t>
    </r>
  </si>
  <si>
    <t>四级</t>
  </si>
  <si>
    <r>
      <rPr>
        <sz val="11"/>
        <color indexed="8"/>
        <rFont val="仿宋_GB2312"/>
        <charset val="134"/>
      </rPr>
      <t>工业</t>
    </r>
  </si>
  <si>
    <r>
      <rPr>
        <sz val="11"/>
        <color indexed="8"/>
        <rFont val="仿宋_GB2312"/>
        <charset val="134"/>
      </rPr>
      <t>车库</t>
    </r>
  </si>
  <si>
    <r>
      <rPr>
        <sz val="11"/>
        <color theme="1"/>
        <rFont val="Arial"/>
        <charset val="134"/>
      </rPr>
      <t>30-40</t>
    </r>
    <r>
      <rPr>
        <sz val="11"/>
        <color indexed="8"/>
        <rFont val="仿宋_GB2312"/>
        <charset val="134"/>
      </rPr>
      <t>（含）</t>
    </r>
  </si>
  <si>
    <r>
      <rPr>
        <sz val="11"/>
        <color indexed="8"/>
        <rFont val="仿宋_GB2312"/>
        <charset val="134"/>
      </rPr>
      <t>较差</t>
    </r>
  </si>
  <si>
    <t>四通</t>
  </si>
  <si>
    <r>
      <rPr>
        <sz val="11"/>
        <color indexed="8"/>
        <rFont val="仿宋_GB2312"/>
        <charset val="134"/>
      </rPr>
      <t>不临街</t>
    </r>
  </si>
  <si>
    <r>
      <rPr>
        <sz val="11"/>
        <color indexed="8"/>
        <rFont val="楷体_GB2312"/>
        <charset val="134"/>
      </rPr>
      <t>较差</t>
    </r>
  </si>
  <si>
    <r>
      <rPr>
        <sz val="11"/>
        <color indexed="8"/>
        <rFont val="仿宋_GB2312"/>
        <charset val="134"/>
      </rPr>
      <t>洋房</t>
    </r>
  </si>
  <si>
    <t>五级</t>
  </si>
  <si>
    <r>
      <rPr>
        <sz val="11"/>
        <color indexed="8"/>
        <rFont val="仿宋_GB2312"/>
        <charset val="134"/>
      </rPr>
      <t>仓储</t>
    </r>
  </si>
  <si>
    <r>
      <rPr>
        <sz val="11"/>
        <color theme="1"/>
        <rFont val="Arial"/>
        <charset val="134"/>
      </rPr>
      <t>20-30</t>
    </r>
    <r>
      <rPr>
        <sz val="11"/>
        <color indexed="8"/>
        <rFont val="仿宋_GB2312"/>
        <charset val="134"/>
      </rPr>
      <t>（含）</t>
    </r>
  </si>
  <si>
    <r>
      <rPr>
        <sz val="11"/>
        <color indexed="8"/>
        <rFont val="仿宋_GB2312"/>
        <charset val="134"/>
      </rPr>
      <t>差</t>
    </r>
  </si>
  <si>
    <t>三通</t>
  </si>
  <si>
    <r>
      <rPr>
        <sz val="11"/>
        <color indexed="8"/>
        <rFont val="楷体_GB2312"/>
        <charset val="134"/>
      </rPr>
      <t>差</t>
    </r>
  </si>
  <si>
    <r>
      <rPr>
        <sz val="11"/>
        <color indexed="8"/>
        <rFont val="仿宋_GB2312"/>
        <charset val="134"/>
      </rPr>
      <t>叠拼</t>
    </r>
  </si>
  <si>
    <r>
      <rPr>
        <sz val="11"/>
        <color indexed="8"/>
        <rFont val="仿宋_GB2312"/>
        <charset val="134"/>
      </rPr>
      <t>成本逼近法</t>
    </r>
  </si>
  <si>
    <t>六级</t>
  </si>
  <si>
    <r>
      <rPr>
        <sz val="11"/>
        <color indexed="8"/>
        <rFont val="仿宋_GB2312"/>
        <charset val="134"/>
      </rPr>
      <t>车库</t>
    </r>
    <r>
      <rPr>
        <sz val="11"/>
        <color indexed="8"/>
        <rFont val="Arial"/>
        <charset val="134"/>
      </rPr>
      <t>—</t>
    </r>
    <r>
      <rPr>
        <sz val="11"/>
        <color indexed="8"/>
        <rFont val="仿宋_GB2312"/>
        <charset val="134"/>
      </rPr>
      <t>商业</t>
    </r>
  </si>
  <si>
    <r>
      <rPr>
        <sz val="11"/>
        <color theme="1"/>
        <rFont val="Arial"/>
        <charset val="134"/>
      </rPr>
      <t>10-20</t>
    </r>
    <r>
      <rPr>
        <sz val="11"/>
        <color indexed="8"/>
        <rFont val="仿宋_GB2312"/>
        <charset val="134"/>
      </rPr>
      <t>（含）</t>
    </r>
  </si>
  <si>
    <r>
      <rPr>
        <sz val="11"/>
        <color indexed="8"/>
        <rFont val="仿宋_GB2312"/>
        <charset val="134"/>
      </rPr>
      <t>联排</t>
    </r>
  </si>
  <si>
    <r>
      <rPr>
        <sz val="11"/>
        <color indexed="8"/>
        <rFont val="仿宋_GB2312"/>
        <charset val="134"/>
      </rPr>
      <t>不动产收益法</t>
    </r>
  </si>
  <si>
    <t>七级</t>
  </si>
  <si>
    <r>
      <rPr>
        <sz val="11"/>
        <color indexed="8"/>
        <rFont val="仿宋_GB2312"/>
        <charset val="134"/>
      </rPr>
      <t>车库</t>
    </r>
    <r>
      <rPr>
        <sz val="11"/>
        <color indexed="8"/>
        <rFont val="Arial"/>
        <charset val="134"/>
      </rPr>
      <t>—</t>
    </r>
    <r>
      <rPr>
        <sz val="11"/>
        <color indexed="8"/>
        <rFont val="仿宋_GB2312"/>
        <charset val="134"/>
      </rPr>
      <t>办公</t>
    </r>
  </si>
  <si>
    <r>
      <rPr>
        <sz val="11"/>
        <color theme="1"/>
        <rFont val="Arial"/>
        <charset val="134"/>
      </rPr>
      <t>0-10</t>
    </r>
    <r>
      <rPr>
        <sz val="11"/>
        <color indexed="8"/>
        <rFont val="仿宋_GB2312"/>
        <charset val="134"/>
      </rPr>
      <t>（含）</t>
    </r>
  </si>
  <si>
    <r>
      <rPr>
        <sz val="11"/>
        <color indexed="8"/>
        <rFont val="仿宋_GB2312"/>
        <charset val="134"/>
      </rPr>
      <t>双拼</t>
    </r>
  </si>
  <si>
    <r>
      <rPr>
        <sz val="11"/>
        <color indexed="8"/>
        <rFont val="仿宋_GB2312"/>
        <charset val="134"/>
      </rPr>
      <t>不动产比较法</t>
    </r>
    <r>
      <rPr>
        <sz val="11"/>
        <color indexed="8"/>
        <rFont val="Arial"/>
        <charset val="134"/>
      </rPr>
      <t>-</t>
    </r>
    <r>
      <rPr>
        <sz val="11"/>
        <color indexed="8"/>
        <rFont val="仿宋_GB2312"/>
        <charset val="134"/>
      </rPr>
      <t>住宅</t>
    </r>
  </si>
  <si>
    <t>八级</t>
  </si>
  <si>
    <r>
      <rPr>
        <sz val="11"/>
        <color indexed="8"/>
        <rFont val="仿宋_GB2312"/>
        <charset val="134"/>
      </rPr>
      <t>独栋</t>
    </r>
  </si>
  <si>
    <r>
      <rPr>
        <sz val="11"/>
        <color indexed="8"/>
        <rFont val="仿宋_GB2312"/>
        <charset val="134"/>
      </rPr>
      <t>不动产比较法</t>
    </r>
    <r>
      <rPr>
        <sz val="11"/>
        <color indexed="8"/>
        <rFont val="Arial"/>
        <charset val="134"/>
      </rPr>
      <t>-</t>
    </r>
    <r>
      <rPr>
        <sz val="11"/>
        <color indexed="8"/>
        <rFont val="仿宋_GB2312"/>
        <charset val="134"/>
      </rPr>
      <t>商业</t>
    </r>
  </si>
  <si>
    <t>九级</t>
  </si>
  <si>
    <r>
      <rPr>
        <sz val="11"/>
        <color indexed="8"/>
        <rFont val="仿宋_GB2312"/>
        <charset val="134"/>
      </rPr>
      <t>底商</t>
    </r>
  </si>
  <si>
    <r>
      <rPr>
        <sz val="11"/>
        <color indexed="8"/>
        <rFont val="仿宋_GB2312"/>
        <charset val="134"/>
      </rPr>
      <t>不动产比较法</t>
    </r>
    <r>
      <rPr>
        <sz val="11"/>
        <color indexed="8"/>
        <rFont val="Arial"/>
        <charset val="134"/>
      </rPr>
      <t>-</t>
    </r>
    <r>
      <rPr>
        <sz val="11"/>
        <color indexed="8"/>
        <rFont val="仿宋_GB2312"/>
        <charset val="134"/>
      </rPr>
      <t>办公</t>
    </r>
  </si>
  <si>
    <t>十级</t>
  </si>
  <si>
    <r>
      <rPr>
        <sz val="11"/>
        <color indexed="8"/>
        <rFont val="仿宋_GB2312"/>
        <charset val="134"/>
      </rPr>
      <t>独立商业</t>
    </r>
  </si>
  <si>
    <r>
      <rPr>
        <sz val="11"/>
        <color indexed="8"/>
        <rFont val="仿宋_GB2312"/>
        <charset val="134"/>
      </rPr>
      <t>不动产比较法</t>
    </r>
    <r>
      <rPr>
        <sz val="11"/>
        <color indexed="8"/>
        <rFont val="Arial"/>
        <charset val="134"/>
      </rPr>
      <t>-</t>
    </r>
    <r>
      <rPr>
        <sz val="11"/>
        <color indexed="8"/>
        <rFont val="仿宋_GB2312"/>
        <charset val="134"/>
      </rPr>
      <t>工业</t>
    </r>
  </si>
  <si>
    <t>十一级</t>
  </si>
  <si>
    <r>
      <rPr>
        <sz val="11"/>
        <color indexed="8"/>
        <rFont val="仿宋_GB2312"/>
        <charset val="134"/>
      </rPr>
      <t>商业街</t>
    </r>
  </si>
  <si>
    <r>
      <rPr>
        <sz val="11"/>
        <color indexed="8"/>
        <rFont val="仿宋_GB2312"/>
        <charset val="134"/>
      </rPr>
      <t>不动产比较法</t>
    </r>
    <r>
      <rPr>
        <sz val="11"/>
        <color indexed="8"/>
        <rFont val="Arial"/>
        <charset val="134"/>
      </rPr>
      <t>-</t>
    </r>
    <r>
      <rPr>
        <sz val="11"/>
        <color indexed="8"/>
        <rFont val="仿宋_GB2312"/>
        <charset val="134"/>
      </rPr>
      <t>车位</t>
    </r>
  </si>
  <si>
    <t>十二级</t>
  </si>
  <si>
    <r>
      <rPr>
        <sz val="11"/>
        <color indexed="8"/>
        <rFont val="仿宋_GB2312"/>
        <charset val="134"/>
      </rPr>
      <t>酒店</t>
    </r>
  </si>
  <si>
    <r>
      <rPr>
        <sz val="11"/>
        <color indexed="8"/>
        <rFont val="仿宋_GB2312"/>
        <charset val="134"/>
      </rPr>
      <t>不动产比较法</t>
    </r>
    <r>
      <rPr>
        <sz val="11"/>
        <color indexed="8"/>
        <rFont val="Arial"/>
        <charset val="134"/>
      </rPr>
      <t>-</t>
    </r>
    <r>
      <rPr>
        <sz val="11"/>
        <color indexed="8"/>
        <rFont val="仿宋_GB2312"/>
        <charset val="134"/>
      </rPr>
      <t>仓储</t>
    </r>
  </si>
  <si>
    <r>
      <rPr>
        <sz val="11"/>
        <color indexed="8"/>
        <rFont val="仿宋_GB2312"/>
        <charset val="134"/>
      </rPr>
      <t>标准厂房</t>
    </r>
  </si>
  <si>
    <r>
      <rPr>
        <sz val="11"/>
        <color indexed="8"/>
        <rFont val="宋体"/>
        <charset val="134"/>
      </rPr>
      <t>不动产收益法</t>
    </r>
    <r>
      <rPr>
        <sz val="11"/>
        <color indexed="8"/>
        <rFont val="Arial"/>
        <charset val="134"/>
      </rPr>
      <t>-</t>
    </r>
    <r>
      <rPr>
        <sz val="11"/>
        <color indexed="8"/>
        <rFont val="宋体"/>
        <charset val="134"/>
      </rPr>
      <t>商业</t>
    </r>
  </si>
  <si>
    <r>
      <rPr>
        <sz val="11"/>
        <color indexed="8"/>
        <rFont val="仿宋_GB2312"/>
        <charset val="134"/>
      </rPr>
      <t>特殊厂房</t>
    </r>
  </si>
  <si>
    <r>
      <rPr>
        <sz val="11"/>
        <color indexed="8"/>
        <rFont val="宋体"/>
        <charset val="134"/>
      </rPr>
      <t>不动产收益法</t>
    </r>
    <r>
      <rPr>
        <sz val="11"/>
        <color indexed="8"/>
        <rFont val="Arial"/>
        <charset val="134"/>
      </rPr>
      <t>-</t>
    </r>
    <r>
      <rPr>
        <sz val="11"/>
        <color indexed="8"/>
        <rFont val="宋体"/>
        <charset val="134"/>
      </rPr>
      <t>办公</t>
    </r>
  </si>
  <si>
    <r>
      <rPr>
        <sz val="11"/>
        <color indexed="8"/>
        <rFont val="仿宋_GB2312"/>
        <charset val="134"/>
      </rPr>
      <t>办公楼</t>
    </r>
  </si>
  <si>
    <r>
      <rPr>
        <sz val="11"/>
        <color indexed="8"/>
        <rFont val="宋体"/>
        <charset val="134"/>
      </rPr>
      <t>不动产收益法</t>
    </r>
    <r>
      <rPr>
        <sz val="11"/>
        <color indexed="8"/>
        <rFont val="Arial"/>
        <charset val="134"/>
      </rPr>
      <t>-</t>
    </r>
    <r>
      <rPr>
        <sz val="11"/>
        <color indexed="8"/>
        <rFont val="宋体"/>
        <charset val="134"/>
      </rPr>
      <t>车库</t>
    </r>
  </si>
  <si>
    <r>
      <rPr>
        <sz val="11"/>
        <color indexed="8"/>
        <rFont val="仿宋_GB2312"/>
        <charset val="134"/>
      </rPr>
      <t>宿舍</t>
    </r>
  </si>
  <si>
    <t>基准地价（汇总）</t>
  </si>
  <si>
    <r>
      <rPr>
        <sz val="11"/>
        <color indexed="8"/>
        <rFont val="仿宋_GB2312"/>
        <charset val="134"/>
      </rPr>
      <t>食堂</t>
    </r>
  </si>
  <si>
    <t>收益还原法</t>
  </si>
  <si>
    <r>
      <rPr>
        <sz val="11"/>
        <color indexed="8"/>
        <rFont val="仿宋_GB2312"/>
        <charset val="134"/>
      </rPr>
      <t>戊类库房</t>
    </r>
  </si>
  <si>
    <r>
      <rPr>
        <sz val="11"/>
        <color theme="1"/>
        <rFont val="宋体"/>
        <charset val="134"/>
      </rPr>
      <t>不动产收益法</t>
    </r>
    <r>
      <rPr>
        <sz val="11"/>
        <color theme="1"/>
        <rFont val="Arial"/>
        <charset val="134"/>
      </rPr>
      <t>--</t>
    </r>
    <r>
      <rPr>
        <sz val="11"/>
        <color theme="1"/>
        <rFont val="宋体"/>
        <charset val="134"/>
      </rPr>
      <t>办公</t>
    </r>
  </si>
  <si>
    <r>
      <rPr>
        <sz val="11"/>
        <color indexed="8"/>
        <rFont val="仿宋_GB2312"/>
        <charset val="134"/>
      </rPr>
      <t>燃品库房</t>
    </r>
  </si>
  <si>
    <t>不动产收益法--车库</t>
  </si>
  <si>
    <r>
      <rPr>
        <sz val="11"/>
        <color indexed="8"/>
        <rFont val="仿宋_GB2312"/>
        <charset val="134"/>
      </rPr>
      <t>非燃品库房</t>
    </r>
  </si>
  <si>
    <t>基准地价出结果用</t>
  </si>
  <si>
    <t>*</t>
  </si>
  <si>
    <r>
      <rPr>
        <sz val="11"/>
        <color indexed="8"/>
        <rFont val="仿宋_GB2312"/>
        <charset val="134"/>
      </rPr>
      <t>限价商品房</t>
    </r>
  </si>
  <si>
    <r>
      <rPr>
        <sz val="11"/>
        <color indexed="8"/>
        <rFont val="仿宋_GB2312"/>
        <charset val="134"/>
      </rPr>
      <t>自住商品房</t>
    </r>
  </si>
  <si>
    <t>估价目的</t>
  </si>
  <si>
    <t>优先受偿</t>
  </si>
  <si>
    <t>抵押</t>
  </si>
  <si>
    <t>2.估价师所知悉的法定优先受偿款</t>
  </si>
  <si>
    <t>2.估价师所知悉的除抵押担保权以外的法定优先受偿款</t>
  </si>
  <si>
    <t>价值类型及定义</t>
  </si>
  <si>
    <t>市场价格</t>
  </si>
  <si>
    <t>抵押价格</t>
  </si>
  <si>
    <t>已注销</t>
  </si>
  <si>
    <t>已注销及未注销</t>
  </si>
  <si>
    <t>抵押净值</t>
  </si>
  <si>
    <t>地价定义</t>
  </si>
  <si>
    <t>用途</t>
  </si>
  <si>
    <r>
      <rPr>
        <sz val="11"/>
        <color indexed="8"/>
        <rFont val="宋体"/>
        <charset val="134"/>
      </rPr>
      <t>根据《国有土地使用证》</t>
    </r>
    <r>
      <rPr>
        <sz val="11"/>
        <color indexed="8"/>
        <rFont val="Arial"/>
        <charset val="134"/>
      </rPr>
      <t>[]</t>
    </r>
    <r>
      <rPr>
        <sz val="11"/>
        <color indexed="8"/>
        <rFont val="宋体"/>
        <charset val="134"/>
      </rPr>
      <t>，本次评估估价对象证载（地类）用途为城镇住宅用地。本次评估设定用途即为证载用途城镇住宅用地。</t>
    </r>
  </si>
  <si>
    <r>
      <rPr>
        <sz val="11"/>
        <color theme="1"/>
        <rFont val="Arial"/>
        <charset val="134"/>
      </rPr>
      <t xml:space="preserve">OR </t>
    </r>
    <r>
      <rPr>
        <sz val="11"/>
        <color indexed="8"/>
        <rFont val="宋体"/>
        <charset val="134"/>
      </rPr>
      <t>根据《国有土地使用证》</t>
    </r>
    <r>
      <rPr>
        <sz val="11"/>
        <color indexed="8"/>
        <rFont val="Arial"/>
        <charset val="134"/>
      </rPr>
      <t>[]</t>
    </r>
    <r>
      <rPr>
        <sz val="11"/>
        <color indexed="8"/>
        <rFont val="宋体"/>
        <charset val="134"/>
      </rPr>
      <t>，本次评估估价对象证载（地类）用途为城镇住宅用地；根据估价对象已取得的《国有建设用地使用权出让合同》及附件</t>
    </r>
    <r>
      <rPr>
        <sz val="11"/>
        <color indexed="8"/>
        <rFont val="Arial"/>
        <charset val="134"/>
      </rPr>
      <t>[]</t>
    </r>
    <r>
      <rPr>
        <sz val="11"/>
        <color indexed="8"/>
        <rFont val="宋体"/>
        <charset val="134"/>
      </rPr>
      <t>、《北京市规划委员会关于同意</t>
    </r>
    <r>
      <rPr>
        <sz val="11"/>
        <color indexed="8"/>
        <rFont val="Arial"/>
        <charset val="134"/>
      </rPr>
      <t>XX</t>
    </r>
    <r>
      <rPr>
        <sz val="11"/>
        <color indexed="8"/>
        <rFont val="宋体"/>
        <charset val="134"/>
      </rPr>
      <t>项目的规划设计方案的规划意见复函》</t>
    </r>
    <r>
      <rPr>
        <sz val="11"/>
        <color indexed="8"/>
        <rFont val="Arial"/>
        <charset val="134"/>
      </rPr>
      <t>[]</t>
    </r>
    <r>
      <rPr>
        <sz val="11"/>
        <color indexed="8"/>
        <rFont val="宋体"/>
        <charset val="134"/>
      </rPr>
      <t>以及《建设工程规划许可证》</t>
    </r>
    <r>
      <rPr>
        <sz val="11"/>
        <color indexed="8"/>
        <rFont val="Arial"/>
        <charset val="134"/>
      </rPr>
      <t>[]</t>
    </r>
    <r>
      <rPr>
        <sz val="11"/>
        <color indexed="8"/>
        <rFont val="宋体"/>
        <charset val="134"/>
      </rPr>
      <t>，估价对象土地规划用途调整为住宅、商业及地下车库</t>
    </r>
    <r>
      <rPr>
        <sz val="11"/>
        <color indexed="8"/>
        <rFont val="Arial"/>
        <charset val="134"/>
      </rPr>
      <t>OR</t>
    </r>
    <r>
      <rPr>
        <sz val="11"/>
        <color indexed="8"/>
        <rFont val="宋体"/>
        <charset val="134"/>
      </rPr>
      <t>估价对象规划用途为</t>
    </r>
    <r>
      <rPr>
        <sz val="11"/>
        <color indexed="8"/>
        <rFont val="Arial"/>
        <charset val="134"/>
      </rPr>
      <t>XX</t>
    </r>
    <r>
      <rPr>
        <sz val="11"/>
        <color indexed="8"/>
        <rFont val="宋体"/>
        <charset val="134"/>
      </rPr>
      <t xml:space="preserve">，上述用途符合《国有土地使用证》证载地类范围。因此，本次评估设定用途为住宅、商业及地下车库。
</t>
    </r>
  </si>
  <si>
    <t>估价项目名称</t>
  </si>
  <si>
    <t>报告编号</t>
  </si>
  <si>
    <t>现场勘查日</t>
  </si>
  <si>
    <t>估价期日</t>
  </si>
  <si>
    <t>签字估价师</t>
  </si>
  <si>
    <t xml:space="preserve">估价委托人  </t>
  </si>
  <si>
    <r>
      <rPr>
        <sz val="12"/>
        <color indexed="8"/>
        <rFont val="仿宋_GB2312"/>
        <charset val="134"/>
      </rPr>
      <t>金融机构</t>
    </r>
    <r>
      <rPr>
        <sz val="10"/>
        <color indexed="8"/>
        <rFont val="仿宋_GB2312"/>
        <charset val="134"/>
      </rPr>
      <t>(贷款方)</t>
    </r>
  </si>
  <si>
    <t>借款方</t>
  </si>
  <si>
    <t>核定资产</t>
  </si>
  <si>
    <t>抵押结果包含：</t>
  </si>
  <si>
    <t>价值类型</t>
  </si>
  <si>
    <t>项目所在城市</t>
  </si>
  <si>
    <t>北京市</t>
  </si>
  <si>
    <t>坐落</t>
  </si>
  <si>
    <t>不动产权利人</t>
  </si>
  <si>
    <t>企业</t>
  </si>
  <si>
    <t>证载土地用途</t>
  </si>
  <si>
    <t>依据</t>
  </si>
  <si>
    <t>《国有土地使用证》[]</t>
  </si>
  <si>
    <t>设定用途</t>
  </si>
  <si>
    <t>《国有建设用地使用权出让合同》[]及附件、《北京市规划委员会关于同意XX项目的规划设计方案的规划意见复函》[]以及《建设工程规划许可证》[]</t>
  </si>
  <si>
    <t>设定用途与证载土地用途</t>
  </si>
  <si>
    <t>一致</t>
  </si>
  <si>
    <t>符合</t>
  </si>
  <si>
    <t>住宅</t>
  </si>
  <si>
    <t>商业</t>
  </si>
  <si>
    <t>办公</t>
  </si>
  <si>
    <t>车库</t>
  </si>
  <si>
    <t>仓储</t>
  </si>
  <si>
    <t>土地性质</t>
  </si>
  <si>
    <t>出让</t>
  </si>
  <si>
    <t>办公及地下办公</t>
  </si>
  <si>
    <t>地下车库</t>
  </si>
  <si>
    <t>终止日期</t>
  </si>
  <si>
    <t>出让年限</t>
  </si>
  <si>
    <t>剩余年限</t>
  </si>
  <si>
    <t>设定估价对象土地年限</t>
  </si>
  <si>
    <t>面积指标</t>
  </si>
  <si>
    <t>建筑面积</t>
  </si>
  <si>
    <t>面积依据</t>
  </si>
  <si>
    <t>《建设工程规划许可证》[]、《出让合同》[]</t>
  </si>
  <si>
    <t>土地面积</t>
  </si>
  <si>
    <t>权利状况（抵押）</t>
  </si>
  <si>
    <t>是否抵押</t>
  </si>
  <si>
    <t>权属证件是否登记权利价值</t>
  </si>
  <si>
    <t>权属文件</t>
  </si>
  <si>
    <t>他项权证</t>
  </si>
  <si>
    <t>其他资料</t>
  </si>
  <si>
    <t>抵押情况描述</t>
  </si>
  <si>
    <t>《不动产权证书》</t>
  </si>
  <si>
    <t>原件</t>
  </si>
  <si>
    <t>《国有土地使用权》</t>
  </si>
  <si>
    <t>复印件</t>
  </si>
  <si>
    <t>抵押信息</t>
  </si>
  <si>
    <t>设定日期</t>
  </si>
  <si>
    <t>权利人</t>
  </si>
  <si>
    <t>权利范围</t>
  </si>
  <si>
    <t>权利价值</t>
  </si>
  <si>
    <t>项目类型</t>
  </si>
  <si>
    <t>按主用途</t>
  </si>
  <si>
    <t>特殊细项</t>
  </si>
  <si>
    <t>是否配建</t>
  </si>
  <si>
    <t>配建类型</t>
  </si>
  <si>
    <t>宗地现状</t>
  </si>
  <si>
    <t>宗地内平整情况设定为：</t>
  </si>
  <si>
    <t>闲置情况</t>
  </si>
  <si>
    <t>约定的动工日期</t>
  </si>
  <si>
    <t>超过约定</t>
  </si>
  <si>
    <t>年</t>
  </si>
  <si>
    <t>红线外市政</t>
  </si>
  <si>
    <t>一通</t>
  </si>
  <si>
    <t>二通</t>
  </si>
  <si>
    <t>估价对象</t>
  </si>
  <si>
    <t>区片编号</t>
  </si>
  <si>
    <t>Ⅷ-02</t>
  </si>
  <si>
    <t>虚线以上为必填</t>
  </si>
  <si>
    <t>证件取得及他项权利状况</t>
  </si>
  <si>
    <t>地块编号</t>
  </si>
  <si>
    <t>建设内容/楼号</t>
  </si>
  <si>
    <t>出让合同</t>
  </si>
  <si>
    <t>用地规划</t>
  </si>
  <si>
    <t>规划意见复函</t>
  </si>
  <si>
    <t>工程规划</t>
  </si>
  <si>
    <t>施工证</t>
  </si>
  <si>
    <t>预售证</t>
  </si>
  <si>
    <t>竣工备案</t>
  </si>
  <si>
    <t>测绘报告</t>
  </si>
  <si>
    <t>现状</t>
  </si>
  <si>
    <t>用地性质/土地用途</t>
  </si>
  <si>
    <t>不动产权证书</t>
  </si>
  <si>
    <t>国土证</t>
  </si>
  <si>
    <t>房产证</t>
  </si>
  <si>
    <t>他项权利——抵押</t>
  </si>
  <si>
    <t>他项权利——租赁</t>
  </si>
  <si>
    <t>他项权利——其他</t>
  </si>
  <si>
    <t>委托书</t>
  </si>
  <si>
    <t>附件三补充协议</t>
  </si>
  <si>
    <t>差值</t>
  </si>
  <si>
    <t>差率</t>
  </si>
  <si>
    <t>总建筑面积</t>
  </si>
  <si>
    <t>地上研发</t>
  </si>
  <si>
    <t>地上小计</t>
  </si>
  <si>
    <t>地下研发</t>
  </si>
  <si>
    <t>设备用房</t>
  </si>
  <si>
    <t>地下小计</t>
  </si>
  <si>
    <t>实测报告</t>
  </si>
  <si>
    <t>地上主体面积</t>
  </si>
  <si>
    <t>地下面积</t>
  </si>
  <si>
    <t>屋面附属用房面积</t>
  </si>
  <si>
    <t>楼层面积</t>
  </si>
  <si>
    <t>电缆夹层</t>
  </si>
  <si>
    <t>地下管道夹层</t>
  </si>
  <si>
    <t>地上面积</t>
  </si>
  <si>
    <t>地上管道夹层</t>
  </si>
  <si>
    <t>屋顶附属层</t>
  </si>
  <si>
    <r>
      <rPr>
        <b/>
        <sz val="14"/>
        <color indexed="10"/>
        <rFont val="仿宋_GB2312"/>
        <charset val="134"/>
      </rPr>
      <t>数据基础表</t>
    </r>
  </si>
  <si>
    <r>
      <rPr>
        <b/>
        <sz val="16"/>
        <color indexed="10"/>
        <rFont val="仿宋_GB2312"/>
        <charset val="134"/>
      </rPr>
      <t>抵押物清单</t>
    </r>
  </si>
  <si>
    <r>
      <rPr>
        <sz val="10"/>
        <color indexed="8"/>
        <rFont val="仿宋_GB2312"/>
        <charset val="134"/>
      </rPr>
      <t>土地面积</t>
    </r>
  </si>
  <si>
    <r>
      <rPr>
        <sz val="10"/>
        <color indexed="8"/>
        <rFont val="仿宋_GB2312"/>
        <charset val="134"/>
      </rPr>
      <t>建筑面积</t>
    </r>
  </si>
  <si>
    <r>
      <rPr>
        <sz val="10"/>
        <color indexed="8"/>
        <rFont val="仿宋_GB2312"/>
        <charset val="134"/>
      </rPr>
      <t>人防是否参与分摊</t>
    </r>
  </si>
  <si>
    <r>
      <rPr>
        <sz val="10"/>
        <color indexed="8"/>
        <rFont val="仿宋_GB2312"/>
        <charset val="134"/>
      </rPr>
      <t>测绘分摊土地面积</t>
    </r>
  </si>
  <si>
    <r>
      <rPr>
        <sz val="10"/>
        <color theme="1"/>
        <rFont val="仿宋_GB2312"/>
        <charset val="134"/>
      </rPr>
      <t>计容建筑面积</t>
    </r>
  </si>
  <si>
    <t>计容部位</t>
  </si>
  <si>
    <r>
      <rPr>
        <sz val="10"/>
        <color indexed="8"/>
        <rFont val="仿宋_GB2312"/>
        <charset val="134"/>
      </rPr>
      <t>建筑面积合计</t>
    </r>
  </si>
  <si>
    <r>
      <rPr>
        <sz val="10"/>
        <color indexed="8"/>
        <rFont val="仿宋_GB2312"/>
        <charset val="134"/>
      </rPr>
      <t>（分摊）土地面积</t>
    </r>
  </si>
  <si>
    <r>
      <rPr>
        <sz val="10"/>
        <color indexed="8"/>
        <rFont val="仿宋_GB2312"/>
        <charset val="134"/>
      </rPr>
      <t>土地使用权证号</t>
    </r>
  </si>
  <si>
    <r>
      <rPr>
        <sz val="10"/>
        <color indexed="8"/>
        <rFont val="仿宋_GB2312"/>
        <charset val="134"/>
      </rPr>
      <t>建筑面积依据</t>
    </r>
  </si>
  <si>
    <r>
      <rPr>
        <sz val="10"/>
        <color indexed="8"/>
        <rFont val="仿宋_GB2312"/>
        <charset val="134"/>
      </rPr>
      <t>建设内容</t>
    </r>
    <r>
      <rPr>
        <sz val="10"/>
        <color indexed="8"/>
        <rFont val="Arial"/>
        <charset val="134"/>
      </rPr>
      <t>/</t>
    </r>
    <r>
      <rPr>
        <sz val="10"/>
        <color indexed="8"/>
        <rFont val="仿宋_GB2312"/>
        <charset val="134"/>
      </rPr>
      <t>楼号</t>
    </r>
  </si>
  <si>
    <r>
      <rPr>
        <sz val="10"/>
        <color indexed="8"/>
        <rFont val="仿宋_GB2312"/>
        <charset val="134"/>
      </rPr>
      <t>是否为抵押范围</t>
    </r>
  </si>
  <si>
    <r>
      <rPr>
        <sz val="10"/>
        <color indexed="8"/>
        <rFont val="仿宋_GB2312"/>
        <charset val="134"/>
      </rPr>
      <t>楼基面积</t>
    </r>
  </si>
  <si>
    <r>
      <rPr>
        <sz val="10"/>
        <color indexed="8"/>
        <rFont val="仿宋_GB2312"/>
        <charset val="134"/>
      </rPr>
      <t>建筑面积（含人防）</t>
    </r>
  </si>
  <si>
    <r>
      <rPr>
        <sz val="10"/>
        <color indexed="8"/>
        <rFont val="仿宋_GB2312"/>
        <charset val="134"/>
      </rPr>
      <t>不在估价范围内的项目</t>
    </r>
  </si>
  <si>
    <r>
      <rPr>
        <sz val="10"/>
        <color indexed="8"/>
        <rFont val="仿宋_GB2312"/>
        <charset val="134"/>
      </rPr>
      <t>抵押物</t>
    </r>
  </si>
  <si>
    <r>
      <rPr>
        <sz val="10"/>
        <color indexed="8"/>
        <rFont val="仿宋_GB2312"/>
        <charset val="134"/>
      </rPr>
      <t>合计</t>
    </r>
  </si>
  <si>
    <r>
      <rPr>
        <sz val="10"/>
        <color indexed="8"/>
        <rFont val="仿宋_GB2312"/>
        <charset val="134"/>
      </rPr>
      <t>经营性用途（预留</t>
    </r>
    <r>
      <rPr>
        <sz val="10"/>
        <color indexed="8"/>
        <rFont val="Arial"/>
        <charset val="134"/>
      </rPr>
      <t>10</t>
    </r>
    <r>
      <rPr>
        <sz val="10"/>
        <color indexed="8"/>
        <rFont val="仿宋_GB2312"/>
        <charset val="134"/>
      </rPr>
      <t>格</t>
    </r>
    <r>
      <rPr>
        <sz val="10"/>
        <color indexed="8"/>
        <rFont val="Arial"/>
        <charset val="134"/>
      </rPr>
      <t>)</t>
    </r>
  </si>
  <si>
    <r>
      <rPr>
        <sz val="10"/>
        <color indexed="8"/>
        <rFont val="仿宋_GB2312"/>
        <charset val="134"/>
      </rPr>
      <t>非经营性用途（共设</t>
    </r>
    <r>
      <rPr>
        <sz val="10"/>
        <color indexed="8"/>
        <rFont val="Arial"/>
        <charset val="134"/>
      </rPr>
      <t>8</t>
    </r>
    <r>
      <rPr>
        <sz val="10"/>
        <color indexed="8"/>
        <rFont val="仿宋_GB2312"/>
        <charset val="134"/>
      </rPr>
      <t>格，固定）</t>
    </r>
  </si>
  <si>
    <t>人防</t>
  </si>
  <si>
    <r>
      <rPr>
        <sz val="10"/>
        <color indexed="8"/>
        <rFont val="仿宋_GB2312"/>
        <charset val="134"/>
      </rPr>
      <t>文字说明</t>
    </r>
  </si>
  <si>
    <r>
      <rPr>
        <sz val="10"/>
        <color indexed="8"/>
        <rFont val="仿宋_GB2312"/>
        <charset val="134"/>
      </rPr>
      <t>小计</t>
    </r>
  </si>
  <si>
    <t>地上</t>
  </si>
  <si>
    <t>地下</t>
  </si>
  <si>
    <r>
      <rPr>
        <sz val="10"/>
        <color indexed="8"/>
        <rFont val="仿宋_GB2312"/>
        <charset val="134"/>
      </rPr>
      <t>地上</t>
    </r>
  </si>
  <si>
    <r>
      <rPr>
        <sz val="10"/>
        <color indexed="8"/>
        <rFont val="仿宋_GB2312"/>
        <charset val="134"/>
      </rPr>
      <t>地下</t>
    </r>
  </si>
  <si>
    <r>
      <rPr>
        <sz val="10"/>
        <color indexed="8"/>
        <rFont val="仿宋_GB2312"/>
        <charset val="134"/>
      </rPr>
      <t>没有请明确为</t>
    </r>
    <r>
      <rPr>
        <sz val="10"/>
        <color indexed="8"/>
        <rFont val="Arial"/>
        <charset val="134"/>
      </rPr>
      <t>“</t>
    </r>
    <r>
      <rPr>
        <sz val="10"/>
        <color indexed="8"/>
        <rFont val="仿宋_GB2312"/>
        <charset val="134"/>
      </rPr>
      <t>无</t>
    </r>
    <r>
      <rPr>
        <sz val="10"/>
        <color indexed="8"/>
        <rFont val="Arial"/>
        <charset val="134"/>
      </rPr>
      <t>”</t>
    </r>
  </si>
  <si>
    <r>
      <rPr>
        <sz val="10"/>
        <color indexed="8"/>
        <rFont val="仿宋_GB2312"/>
        <charset val="134"/>
      </rPr>
      <t>经营性用途</t>
    </r>
  </si>
  <si>
    <r>
      <rPr>
        <sz val="10"/>
        <color indexed="8"/>
        <rFont val="仿宋_GB2312"/>
        <charset val="134"/>
      </rPr>
      <t>非经营性用途</t>
    </r>
  </si>
  <si>
    <t>物业管理用房</t>
  </si>
  <si>
    <r>
      <rPr>
        <sz val="10"/>
        <color indexed="8"/>
        <rFont val="仿宋_GB2312"/>
        <charset val="134"/>
      </rPr>
      <t>物业管理用房</t>
    </r>
  </si>
  <si>
    <t>设备及其他</t>
  </si>
  <si>
    <r>
      <rPr>
        <sz val="10"/>
        <color indexed="8"/>
        <rFont val="仿宋_GB2312"/>
        <charset val="134"/>
      </rPr>
      <t>设备及其他</t>
    </r>
  </si>
  <si>
    <r>
      <rPr>
        <sz val="10"/>
        <color indexed="8"/>
        <rFont val="仿宋_GB2312"/>
        <charset val="134"/>
      </rPr>
      <t>未注明</t>
    </r>
  </si>
  <si>
    <t>办公楼</t>
  </si>
  <si>
    <t>（住宅）</t>
  </si>
  <si>
    <t>（住宅、计出让金）</t>
  </si>
  <si>
    <r>
      <rPr>
        <sz val="10"/>
        <color indexed="8"/>
        <rFont val="仿宋_GB2312"/>
        <charset val="134"/>
      </rPr>
      <t>总值</t>
    </r>
  </si>
  <si>
    <r>
      <rPr>
        <sz val="10"/>
        <color indexed="8"/>
        <rFont val="仿宋_GB2312"/>
        <charset val="134"/>
      </rPr>
      <t>扣减值</t>
    </r>
  </si>
  <si>
    <t>是</t>
  </si>
  <si>
    <t>土地使用权证号</t>
  </si>
  <si>
    <t>建筑面积依据</t>
  </si>
  <si>
    <t>分摊土地面积</t>
  </si>
  <si>
    <t>合计</t>
  </si>
  <si>
    <t>经营性用途</t>
  </si>
  <si>
    <t>非经营性用途</t>
  </si>
  <si>
    <t>小计</t>
  </si>
  <si>
    <t>限价商品房</t>
  </si>
  <si>
    <t>自住商品房</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</si>
  <si>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</si>
  <si>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</si>
  <si>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</si>
  <si>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</si>
  <si>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</si>
  <si>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</si>
  <si>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</si>
  <si>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</si>
  <si>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</si>
  <si>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</si>
  <si>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</si>
  <si>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indexed="10"/>
        <rFont val="仿宋_GB2312"/>
        <charset val="134"/>
      </rPr>
      <t>数据汇总表</t>
    </r>
  </si>
  <si>
    <r>
      <rPr>
        <b/>
        <sz val="11"/>
        <color indexed="8"/>
        <rFont val="仿宋_GB2312"/>
        <charset val="134"/>
      </rPr>
      <t>估价对象</t>
    </r>
  </si>
  <si>
    <r>
      <rPr>
        <b/>
        <sz val="11"/>
        <color indexed="8"/>
        <rFont val="仿宋_GB2312"/>
        <charset val="134"/>
      </rPr>
      <t>土地面积</t>
    </r>
  </si>
  <si>
    <r>
      <rPr>
        <b/>
        <sz val="11"/>
        <rFont val="仿宋_GB2312"/>
        <charset val="134"/>
      </rPr>
      <t>建筑面积</t>
    </r>
  </si>
  <si>
    <r>
      <rPr>
        <b/>
        <sz val="11"/>
        <color indexed="8"/>
        <rFont val="楷体_GB2312"/>
        <charset val="134"/>
      </rPr>
      <t>容积率</t>
    </r>
  </si>
  <si>
    <r>
      <rPr>
        <b/>
        <sz val="11"/>
        <color indexed="8"/>
        <rFont val="仿宋_GB2312"/>
        <charset val="134"/>
      </rPr>
      <t>面积总计</t>
    </r>
  </si>
  <si>
    <r>
      <rPr>
        <sz val="11"/>
        <color indexed="8"/>
        <rFont val="楷体_GB2312"/>
        <charset val="134"/>
      </rPr>
      <t>项目</t>
    </r>
  </si>
  <si>
    <r>
      <rPr>
        <sz val="11"/>
        <color indexed="8"/>
        <rFont val="楷体_GB2312"/>
        <charset val="134"/>
      </rPr>
      <t>总</t>
    </r>
  </si>
  <si>
    <r>
      <rPr>
        <sz val="11"/>
        <color indexed="8"/>
        <rFont val="楷体_GB2312"/>
        <charset val="134"/>
      </rPr>
      <t>地上</t>
    </r>
  </si>
  <si>
    <r>
      <rPr>
        <sz val="11"/>
        <color indexed="8"/>
        <rFont val="Arial"/>
        <charset val="134"/>
      </rPr>
      <t>1.</t>
    </r>
    <r>
      <rPr>
        <sz val="11"/>
        <color indexed="8"/>
        <rFont val="仿宋_GB2312"/>
        <charset val="134"/>
      </rPr>
      <t>其中：</t>
    </r>
  </si>
  <si>
    <r>
      <rPr>
        <sz val="11"/>
        <color indexed="8"/>
        <rFont val="楷体_GB2312"/>
        <charset val="134"/>
      </rPr>
      <t>估价对象</t>
    </r>
  </si>
  <si>
    <r>
      <rPr>
        <sz val="11"/>
        <color indexed="8"/>
        <rFont val="仿宋_GB2312"/>
        <charset val="134"/>
      </rPr>
      <t>非住宅</t>
    </r>
  </si>
  <si>
    <r>
      <rPr>
        <b/>
        <sz val="11"/>
        <color indexed="8"/>
        <rFont val="仿宋_GB2312"/>
        <charset val="134"/>
      </rPr>
      <t>建筑面积</t>
    </r>
  </si>
  <si>
    <t>自定义容积率</t>
  </si>
  <si>
    <r>
      <rPr>
        <sz val="11"/>
        <color indexed="8"/>
        <rFont val="Arial"/>
        <charset val="134"/>
      </rPr>
      <t>2.</t>
    </r>
    <r>
      <rPr>
        <sz val="11"/>
        <color indexed="8"/>
        <rFont val="仿宋_GB2312"/>
        <charset val="134"/>
      </rPr>
      <t>其中：</t>
    </r>
  </si>
  <si>
    <r>
      <rPr>
        <sz val="11"/>
        <color indexed="8"/>
        <rFont val="仿宋_GB2312"/>
        <charset val="134"/>
      </rPr>
      <t>计出让部分</t>
    </r>
  </si>
  <si>
    <r>
      <rPr>
        <sz val="11"/>
        <color indexed="8"/>
        <rFont val="仿宋_GB2312"/>
        <charset val="134"/>
      </rPr>
      <t>地上经营性用途</t>
    </r>
  </si>
  <si>
    <r>
      <rPr>
        <sz val="11"/>
        <color indexed="8"/>
        <rFont val="仿宋_GB2312"/>
        <charset val="134"/>
      </rPr>
      <t>地上其他</t>
    </r>
  </si>
  <si>
    <r>
      <rPr>
        <sz val="11"/>
        <color indexed="8"/>
        <rFont val="仿宋_GB2312"/>
        <charset val="134"/>
      </rPr>
      <t>地下商业</t>
    </r>
  </si>
  <si>
    <t>地下办公（含物业）</t>
  </si>
  <si>
    <r>
      <rPr>
        <sz val="11"/>
        <color indexed="8"/>
        <rFont val="仿宋_GB2312"/>
        <charset val="134"/>
      </rPr>
      <t>地下仓储</t>
    </r>
  </si>
  <si>
    <r>
      <rPr>
        <sz val="11"/>
        <color indexed="8"/>
        <rFont val="仿宋_GB2312"/>
        <charset val="134"/>
      </rPr>
      <t>地下车库</t>
    </r>
    <r>
      <rPr>
        <sz val="9"/>
        <color indexed="8"/>
        <rFont val="仿宋_GB2312"/>
        <charset val="134"/>
      </rPr>
      <t>（除商业、办公）</t>
    </r>
  </si>
  <si>
    <r>
      <rPr>
        <sz val="11"/>
        <color indexed="8"/>
        <rFont val="仿宋_GB2312"/>
        <charset val="134"/>
      </rPr>
      <t>地下车库</t>
    </r>
    <r>
      <rPr>
        <sz val="11"/>
        <color indexed="8"/>
        <rFont val="Arial"/>
        <charset val="134"/>
      </rPr>
      <t>-</t>
    </r>
    <r>
      <rPr>
        <sz val="11"/>
        <color indexed="8"/>
        <rFont val="仿宋_GB2312"/>
        <charset val="134"/>
      </rPr>
      <t>商业</t>
    </r>
  </si>
  <si>
    <r>
      <rPr>
        <sz val="11"/>
        <color indexed="8"/>
        <rFont val="仿宋_GB2312"/>
        <charset val="134"/>
      </rPr>
      <t>地下车库</t>
    </r>
    <r>
      <rPr>
        <sz val="11"/>
        <color indexed="8"/>
        <rFont val="Arial"/>
        <charset val="134"/>
      </rPr>
      <t>-</t>
    </r>
    <r>
      <rPr>
        <sz val="11"/>
        <color indexed="8"/>
        <rFont val="仿宋_GB2312"/>
        <charset val="134"/>
      </rPr>
      <t>办公</t>
    </r>
  </si>
  <si>
    <r>
      <rPr>
        <sz val="11"/>
        <color indexed="8"/>
        <rFont val="仿宋_GB2312"/>
        <charset val="134"/>
      </rPr>
      <t>小计</t>
    </r>
  </si>
  <si>
    <r>
      <rPr>
        <b/>
        <sz val="11"/>
        <color indexed="8"/>
        <rFont val="仿宋_GB2312"/>
        <charset val="134"/>
      </rPr>
      <t>分摊非经营性用途用房</t>
    </r>
  </si>
  <si>
    <t>分摊非经营性用途用房</t>
  </si>
  <si>
    <r>
      <rPr>
        <sz val="11"/>
        <color indexed="8"/>
        <rFont val="Arial"/>
        <charset val="134"/>
      </rPr>
      <t>3.</t>
    </r>
    <r>
      <rPr>
        <sz val="11"/>
        <color indexed="8"/>
        <rFont val="仿宋_GB2312"/>
        <charset val="134"/>
      </rPr>
      <t>其中：</t>
    </r>
  </si>
  <si>
    <r>
      <rPr>
        <b/>
        <sz val="11"/>
        <color indexed="8"/>
        <rFont val="仿宋_GB2312"/>
        <charset val="134"/>
      </rPr>
      <t>分摊原则：</t>
    </r>
  </si>
  <si>
    <t>按面积比例</t>
  </si>
  <si>
    <t>按面积比例分摊</t>
  </si>
  <si>
    <t>自定义分摊</t>
  </si>
  <si>
    <t>面积加总（含分摊非经营）</t>
  </si>
  <si>
    <r>
      <rPr>
        <sz val="11"/>
        <rFont val="仿宋_GB2312"/>
        <charset val="134"/>
      </rPr>
      <t>合计</t>
    </r>
  </si>
  <si>
    <r>
      <rPr>
        <sz val="11"/>
        <color indexed="8"/>
        <rFont val="仿宋_GB2312"/>
        <charset val="134"/>
      </rPr>
      <t>土地面积</t>
    </r>
  </si>
  <si>
    <r>
      <rPr>
        <sz val="11"/>
        <color indexed="8"/>
        <rFont val="仿宋_GB2312"/>
        <charset val="134"/>
      </rPr>
      <t>建筑面积</t>
    </r>
  </si>
  <si>
    <t>设备</t>
  </si>
  <si>
    <t>公共配套(住宅)</t>
  </si>
  <si>
    <t>合</t>
  </si>
  <si>
    <t>地上办公</t>
  </si>
  <si>
    <t>地下办公</t>
  </si>
  <si>
    <r>
      <rPr>
        <sz val="11"/>
        <color indexed="8"/>
        <rFont val="仿宋_GB2312"/>
        <charset val="134"/>
      </rPr>
      <t>设备及其他</t>
    </r>
  </si>
  <si>
    <t>公共配套及物业（住宅）</t>
  </si>
  <si>
    <r>
      <rPr>
        <b/>
        <sz val="11"/>
        <color indexed="8"/>
        <rFont val="仿宋_GB2312"/>
        <charset val="134"/>
      </rPr>
      <t>合计</t>
    </r>
  </si>
  <si>
    <t>总计</t>
  </si>
  <si>
    <t>住宅用房合计</t>
  </si>
  <si>
    <r>
      <rPr>
        <b/>
        <sz val="14"/>
        <color indexed="10"/>
        <rFont val="楷体_GB2312"/>
        <charset val="134"/>
      </rPr>
      <t>数据取费表</t>
    </r>
  </si>
  <si>
    <r>
      <rPr>
        <b/>
        <sz val="11"/>
        <color indexed="8"/>
        <rFont val="楷体_GB2312"/>
        <charset val="134"/>
      </rPr>
      <t>价值时点</t>
    </r>
    <r>
      <rPr>
        <b/>
        <sz val="11"/>
        <color indexed="8"/>
        <rFont val="Arial"/>
        <charset val="134"/>
      </rPr>
      <t>/</t>
    </r>
    <r>
      <rPr>
        <b/>
        <sz val="11"/>
        <color indexed="8"/>
        <rFont val="楷体_GB2312"/>
        <charset val="134"/>
      </rPr>
      <t>估价期日</t>
    </r>
  </si>
  <si>
    <r>
      <rPr>
        <b/>
        <sz val="11"/>
        <color indexed="8"/>
        <rFont val="楷体_GB2312"/>
        <charset val="134"/>
      </rPr>
      <t>综合取费</t>
    </r>
  </si>
  <si>
    <t>土地使用年期</t>
  </si>
  <si>
    <t>建安费用</t>
  </si>
  <si>
    <r>
      <rPr>
        <sz val="11"/>
        <color indexed="8"/>
        <rFont val="楷体_GB2312"/>
        <charset val="134"/>
      </rPr>
      <t>无租约</t>
    </r>
    <r>
      <rPr>
        <sz val="11"/>
        <color indexed="8"/>
        <rFont val="Arial"/>
        <charset val="134"/>
      </rPr>
      <t>/</t>
    </r>
    <r>
      <rPr>
        <sz val="11"/>
        <color indexed="8"/>
        <rFont val="楷体_GB2312"/>
        <charset val="134"/>
      </rPr>
      <t>租期内</t>
    </r>
  </si>
  <si>
    <r>
      <rPr>
        <sz val="11"/>
        <color indexed="8"/>
        <rFont val="楷体_GB2312"/>
        <charset val="134"/>
      </rPr>
      <t>租期外</t>
    </r>
  </si>
  <si>
    <r>
      <rPr>
        <sz val="11"/>
        <color indexed="8"/>
        <rFont val="楷体_GB2312"/>
        <charset val="134"/>
      </rPr>
      <t>收益期</t>
    </r>
  </si>
  <si>
    <r>
      <rPr>
        <sz val="11"/>
        <color indexed="8"/>
        <rFont val="楷体_GB2312"/>
        <charset val="134"/>
      </rPr>
      <t>类别</t>
    </r>
  </si>
  <si>
    <r>
      <rPr>
        <sz val="11"/>
        <color indexed="8"/>
        <rFont val="楷体_GB2312"/>
        <charset val="134"/>
      </rPr>
      <t>地类判定</t>
    </r>
  </si>
  <si>
    <r>
      <rPr>
        <sz val="11"/>
        <rFont val="楷体_GB2312"/>
        <charset val="134"/>
      </rPr>
      <t>法定最高</t>
    </r>
    <r>
      <rPr>
        <sz val="11"/>
        <rFont val="Arial"/>
        <charset val="134"/>
      </rPr>
      <t>/</t>
    </r>
    <r>
      <rPr>
        <sz val="11"/>
        <rFont val="楷体_GB2312"/>
        <charset val="134"/>
      </rPr>
      <t>出让年限</t>
    </r>
  </si>
  <si>
    <r>
      <rPr>
        <sz val="11"/>
        <color indexed="8"/>
        <rFont val="楷体_GB2312"/>
        <charset val="134"/>
      </rPr>
      <t>终止日期</t>
    </r>
  </si>
  <si>
    <r>
      <rPr>
        <sz val="11"/>
        <color indexed="8"/>
        <rFont val="楷体_GB2312"/>
        <charset val="134"/>
      </rPr>
      <t>剩余土地使用年限</t>
    </r>
  </si>
  <si>
    <r>
      <rPr>
        <sz val="11"/>
        <color indexed="8"/>
        <rFont val="楷体_GB2312"/>
        <charset val="134"/>
      </rPr>
      <t>年期修正系数</t>
    </r>
  </si>
  <si>
    <r>
      <rPr>
        <sz val="11"/>
        <color indexed="8"/>
        <rFont val="楷体_GB2312"/>
        <charset val="134"/>
      </rPr>
      <t>还原率</t>
    </r>
    <r>
      <rPr>
        <sz val="11"/>
        <color indexed="8"/>
        <rFont val="Arial"/>
        <charset val="134"/>
      </rPr>
      <t>-</t>
    </r>
    <r>
      <rPr>
        <sz val="11"/>
        <color indexed="8"/>
        <rFont val="楷体_GB2312"/>
        <charset val="134"/>
      </rPr>
      <t>土地</t>
    </r>
  </si>
  <si>
    <r>
      <rPr>
        <sz val="11"/>
        <color indexed="8"/>
        <rFont val="楷体_GB2312"/>
        <charset val="134"/>
      </rPr>
      <t>还原率</t>
    </r>
    <r>
      <rPr>
        <sz val="11"/>
        <color indexed="8"/>
        <rFont val="Arial"/>
        <charset val="134"/>
      </rPr>
      <t>-</t>
    </r>
    <r>
      <rPr>
        <sz val="11"/>
        <color indexed="8"/>
        <rFont val="楷体_GB2312"/>
        <charset val="134"/>
      </rPr>
      <t>综合</t>
    </r>
  </si>
  <si>
    <r>
      <rPr>
        <sz val="11"/>
        <color indexed="8"/>
        <rFont val="楷体_GB2312"/>
        <charset val="134"/>
      </rPr>
      <t>资本化率</t>
    </r>
    <r>
      <rPr>
        <sz val="11"/>
        <color indexed="8"/>
        <rFont val="Arial"/>
        <charset val="134"/>
      </rPr>
      <t>-</t>
    </r>
    <r>
      <rPr>
        <sz val="11"/>
        <color indexed="8"/>
        <rFont val="楷体_GB2312"/>
        <charset val="134"/>
      </rPr>
      <t>建筑物</t>
    </r>
  </si>
  <si>
    <r>
      <rPr>
        <sz val="11"/>
        <color indexed="8"/>
        <rFont val="楷体_GB2312"/>
        <charset val="134"/>
      </rPr>
      <t>建筑面积</t>
    </r>
  </si>
  <si>
    <r>
      <rPr>
        <sz val="11"/>
        <color indexed="8"/>
        <rFont val="楷体_GB2312"/>
        <charset val="134"/>
      </rPr>
      <t>单方造价</t>
    </r>
  </si>
  <si>
    <r>
      <rPr>
        <sz val="11"/>
        <color indexed="8"/>
        <rFont val="楷体_GB2312"/>
        <charset val="134"/>
      </rPr>
      <t>建安总额</t>
    </r>
  </si>
  <si>
    <t>工程进度</t>
  </si>
  <si>
    <r>
      <rPr>
        <sz val="11"/>
        <color indexed="8"/>
        <rFont val="楷体_GB2312"/>
        <charset val="134"/>
      </rPr>
      <t>在建建安</t>
    </r>
  </si>
  <si>
    <r>
      <rPr>
        <sz val="11"/>
        <color indexed="8"/>
        <rFont val="楷体_GB2312"/>
        <charset val="134"/>
      </rPr>
      <t>续建建安</t>
    </r>
  </si>
  <si>
    <r>
      <rPr>
        <sz val="11"/>
        <color indexed="8"/>
        <rFont val="楷体_GB2312"/>
        <charset val="134"/>
      </rPr>
      <t>利润</t>
    </r>
  </si>
  <si>
    <r>
      <rPr>
        <sz val="11"/>
        <color indexed="8"/>
        <rFont val="楷体_GB2312"/>
        <charset val="134"/>
      </rPr>
      <t>分摊土地面积（经营性）</t>
    </r>
  </si>
  <si>
    <t>建筑面积（分摊设备）</t>
  </si>
  <si>
    <r>
      <rPr>
        <sz val="11"/>
        <color indexed="8"/>
        <rFont val="楷体_GB2312"/>
        <charset val="134"/>
      </rPr>
      <t>总建安（分摊非经营）</t>
    </r>
  </si>
  <si>
    <r>
      <rPr>
        <sz val="11"/>
        <color indexed="8"/>
        <rFont val="楷体_GB2312"/>
        <charset val="134"/>
      </rPr>
      <t>租金</t>
    </r>
  </si>
  <si>
    <r>
      <rPr>
        <sz val="11"/>
        <color indexed="8"/>
        <rFont val="楷体_GB2312"/>
        <charset val="134"/>
      </rPr>
      <t>年租金增长率</t>
    </r>
  </si>
  <si>
    <r>
      <rPr>
        <sz val="11"/>
        <color indexed="8"/>
        <rFont val="楷体_GB2312"/>
        <charset val="134"/>
      </rPr>
      <t>空置率</t>
    </r>
  </si>
  <si>
    <r>
      <rPr>
        <sz val="11"/>
        <color indexed="8"/>
        <rFont val="楷体_GB2312"/>
        <charset val="134"/>
      </rPr>
      <t>成新度</t>
    </r>
  </si>
  <si>
    <t>收益年期(总)</t>
  </si>
  <si>
    <r>
      <rPr>
        <sz val="11"/>
        <color indexed="8"/>
        <rFont val="楷体_GB2312"/>
        <charset val="134"/>
      </rPr>
      <t>剩余租赁期</t>
    </r>
  </si>
  <si>
    <r>
      <rPr>
        <sz val="11"/>
        <color indexed="8"/>
        <rFont val="楷体_GB2312"/>
        <charset val="134"/>
      </rPr>
      <t>租赁期外收益期</t>
    </r>
  </si>
  <si>
    <t>车位数/套数/收益面积</t>
  </si>
  <si>
    <r>
      <rPr>
        <sz val="11"/>
        <color indexed="8"/>
        <rFont val="楷体_GB2312"/>
        <charset val="134"/>
      </rPr>
      <t>天</t>
    </r>
    <r>
      <rPr>
        <sz val="11"/>
        <color indexed="8"/>
        <rFont val="Arial"/>
        <charset val="134"/>
      </rPr>
      <t>/</t>
    </r>
    <r>
      <rPr>
        <sz val="11"/>
        <color indexed="8"/>
        <rFont val="楷体_GB2312"/>
        <charset val="134"/>
      </rPr>
      <t>月</t>
    </r>
    <r>
      <rPr>
        <sz val="11"/>
        <color indexed="8"/>
        <rFont val="Arial"/>
        <charset val="134"/>
      </rPr>
      <t>/</t>
    </r>
    <r>
      <rPr>
        <sz val="11"/>
        <color indexed="8"/>
        <rFont val="楷体_GB2312"/>
        <charset val="134"/>
      </rPr>
      <t>年</t>
    </r>
  </si>
  <si>
    <r>
      <rPr>
        <sz val="11"/>
        <color indexed="8"/>
        <rFont val="楷体_GB2312"/>
        <charset val="134"/>
      </rPr>
      <t>房产税</t>
    </r>
    <r>
      <rPr>
        <sz val="11"/>
        <color indexed="8"/>
        <rFont val="Arial"/>
        <charset val="134"/>
      </rPr>
      <t>-</t>
    </r>
    <r>
      <rPr>
        <sz val="11"/>
        <color indexed="8"/>
        <rFont val="楷体_GB2312"/>
        <charset val="134"/>
      </rPr>
      <t>按票据</t>
    </r>
  </si>
  <si>
    <r>
      <rPr>
        <sz val="11"/>
        <color indexed="8"/>
        <rFont val="楷体_GB2312"/>
        <charset val="134"/>
      </rPr>
      <t>维修费率</t>
    </r>
  </si>
  <si>
    <r>
      <rPr>
        <sz val="11"/>
        <color indexed="8"/>
        <rFont val="楷体_GB2312"/>
        <charset val="134"/>
      </rPr>
      <t>保险费率</t>
    </r>
  </si>
  <si>
    <r>
      <rPr>
        <sz val="11"/>
        <color indexed="8"/>
        <rFont val="楷体_GB2312"/>
        <charset val="134"/>
      </rPr>
      <t>管理费率</t>
    </r>
  </si>
  <si>
    <t>请选择所对应的收益法</t>
  </si>
  <si>
    <t>成本逼近法有限年期修正</t>
  </si>
  <si>
    <t>不动产收益法--办公</t>
  </si>
  <si>
    <t>非经营性</t>
  </si>
  <si>
    <t>公共配套</t>
  </si>
  <si>
    <r>
      <rPr>
        <b/>
        <sz val="11"/>
        <color indexed="8"/>
        <rFont val="楷体_GB2312"/>
        <charset val="134"/>
      </rPr>
      <t>合计</t>
    </r>
  </si>
  <si>
    <r>
      <rPr>
        <b/>
        <sz val="11"/>
        <color indexed="8"/>
        <rFont val="楷体_GB2312"/>
        <charset val="134"/>
      </rPr>
      <t>开发期</t>
    </r>
  </si>
  <si>
    <r>
      <rPr>
        <sz val="11"/>
        <rFont val="楷体_GB2312"/>
        <charset val="134"/>
      </rPr>
      <t>土地开发期</t>
    </r>
  </si>
  <si>
    <t>★默认为已完成的土地开发期★</t>
  </si>
  <si>
    <r>
      <rPr>
        <sz val="11"/>
        <rFont val="楷体_GB2312"/>
        <charset val="134"/>
      </rPr>
      <t>建设期</t>
    </r>
  </si>
  <si>
    <t>包含未完成的红线外市政工程时间（如现状三通，开发完成后七通）</t>
  </si>
  <si>
    <r>
      <rPr>
        <sz val="11"/>
        <color indexed="8"/>
        <rFont val="楷体_GB2312"/>
        <charset val="134"/>
      </rPr>
      <t>已建工期</t>
    </r>
  </si>
  <si>
    <r>
      <rPr>
        <sz val="11"/>
        <rFont val="楷体_GB2312"/>
        <charset val="134"/>
      </rPr>
      <t>项目开发期</t>
    </r>
  </si>
  <si>
    <t>造价</t>
  </si>
  <si>
    <r>
      <rPr>
        <sz val="11"/>
        <color indexed="8"/>
        <rFont val="楷体_GB2312"/>
        <charset val="134"/>
      </rPr>
      <t>项目已运行</t>
    </r>
  </si>
  <si>
    <r>
      <rPr>
        <sz val="11"/>
        <rFont val="楷体_GB2312"/>
        <charset val="134"/>
      </rPr>
      <t>续建工期</t>
    </r>
  </si>
  <si>
    <r>
      <rPr>
        <b/>
        <sz val="11"/>
        <color indexed="8"/>
        <rFont val="楷体_GB2312"/>
        <charset val="134"/>
      </rPr>
      <t>其他取费</t>
    </r>
  </si>
  <si>
    <r>
      <rPr>
        <sz val="11"/>
        <color indexed="8"/>
        <rFont val="楷体_GB2312"/>
        <charset val="134"/>
      </rPr>
      <t>取值</t>
    </r>
  </si>
  <si>
    <r>
      <rPr>
        <sz val="11"/>
        <color indexed="8"/>
        <rFont val="楷体_GB2312"/>
        <charset val="134"/>
      </rPr>
      <t>备注</t>
    </r>
  </si>
  <si>
    <r>
      <rPr>
        <sz val="11"/>
        <color indexed="8"/>
        <rFont val="楷体_GB2312"/>
        <charset val="134"/>
      </rPr>
      <t>城市基础设施建设费</t>
    </r>
    <r>
      <rPr>
        <sz val="11"/>
        <color indexed="8"/>
        <rFont val="Arial"/>
        <charset val="134"/>
      </rPr>
      <t>-</t>
    </r>
    <r>
      <rPr>
        <sz val="11"/>
        <color indexed="8"/>
        <rFont val="楷体_GB2312"/>
        <charset val="134"/>
      </rPr>
      <t>住宅</t>
    </r>
  </si>
  <si>
    <t>★外省请录依据文件名称★：</t>
  </si>
  <si>
    <r>
      <rPr>
        <sz val="11"/>
        <color indexed="8"/>
        <rFont val="楷体_GB2312"/>
        <charset val="134"/>
      </rPr>
      <t>城市基础设施建设费</t>
    </r>
    <r>
      <rPr>
        <sz val="11"/>
        <color indexed="8"/>
        <rFont val="Arial"/>
        <charset val="134"/>
      </rPr>
      <t>-</t>
    </r>
    <r>
      <rPr>
        <sz val="11"/>
        <color indexed="8"/>
        <rFont val="楷体_GB2312"/>
        <charset val="134"/>
      </rPr>
      <t>非住宅</t>
    </r>
  </si>
  <si>
    <r>
      <rPr>
        <sz val="11"/>
        <color indexed="8"/>
        <rFont val="楷体_GB2312"/>
        <charset val="134"/>
      </rPr>
      <t>城市基础设施建设费</t>
    </r>
    <r>
      <rPr>
        <sz val="11"/>
        <color indexed="8"/>
        <rFont val="Arial"/>
        <charset val="134"/>
      </rPr>
      <t>-</t>
    </r>
    <r>
      <rPr>
        <sz val="11"/>
        <color indexed="8"/>
        <rFont val="楷体_GB2312"/>
        <charset val="134"/>
      </rPr>
      <t>凭票据已缴纳</t>
    </r>
    <r>
      <rPr>
        <sz val="11"/>
        <color rgb="FFFF0000"/>
        <rFont val="楷体_GB2312"/>
        <charset val="134"/>
      </rPr>
      <t>（万元）</t>
    </r>
  </si>
  <si>
    <t>总额</t>
  </si>
  <si>
    <r>
      <rPr>
        <sz val="11"/>
        <color indexed="8"/>
        <rFont val="楷体_GB2312"/>
        <charset val="134"/>
      </rPr>
      <t>红线外市政基础设施（总）</t>
    </r>
  </si>
  <si>
    <r>
      <rPr>
        <sz val="11"/>
        <color indexed="8"/>
        <rFont val="楷体_GB2312"/>
        <charset val="134"/>
      </rPr>
      <t>红线外市政基础设施（现状）</t>
    </r>
  </si>
  <si>
    <r>
      <rPr>
        <sz val="11"/>
        <color indexed="8"/>
        <rFont val="楷体_GB2312"/>
        <charset val="134"/>
      </rPr>
      <t>红线外市政基础设施（待完成）</t>
    </r>
  </si>
  <si>
    <r>
      <rPr>
        <sz val="11"/>
        <color indexed="8"/>
        <rFont val="楷体_GB2312"/>
        <charset val="134"/>
      </rPr>
      <t>勘察设计和前期工程费</t>
    </r>
  </si>
  <si>
    <r>
      <rPr>
        <sz val="10"/>
        <color rgb="FFFF0000"/>
        <rFont val="楷体_GB2312"/>
        <charset val="134"/>
      </rPr>
      <t>范围：</t>
    </r>
    <r>
      <rPr>
        <sz val="10"/>
        <color rgb="FFFF0000"/>
        <rFont val="Arial"/>
        <charset val="134"/>
      </rPr>
      <t>3%-5%</t>
    </r>
  </si>
  <si>
    <r>
      <rPr>
        <sz val="11"/>
        <color indexed="8"/>
        <rFont val="楷体_GB2312"/>
        <charset val="134"/>
      </rPr>
      <t>公共配套设施费用</t>
    </r>
  </si>
  <si>
    <r>
      <rPr>
        <sz val="10"/>
        <color rgb="FFFF0000"/>
        <rFont val="楷体_GB2312"/>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</si>
  <si>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</si>
  <si>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楷体_GB2312"/>
        <charset val="134"/>
      </rPr>
      <t>红线内市政基础设施</t>
    </r>
  </si>
  <si>
    <r>
      <rPr>
        <sz val="10"/>
        <color rgb="FFFF0000"/>
        <rFont val="楷体_GB2312"/>
        <charset val="134"/>
      </rPr>
      <t>变化</t>
    </r>
  </si>
  <si>
    <r>
      <rPr>
        <sz val="11"/>
        <color indexed="8"/>
        <rFont val="楷体_GB2312"/>
        <charset val="134"/>
      </rPr>
      <t>建造成本中相关税费</t>
    </r>
  </si>
  <si>
    <r>
      <rPr>
        <sz val="10"/>
        <color rgb="FFFF0000"/>
        <rFont val="楷体_GB2312"/>
        <charset val="134"/>
      </rPr>
      <t>定值：</t>
    </r>
    <r>
      <rPr>
        <sz val="10"/>
        <color rgb="FFFF0000"/>
        <rFont val="Arial"/>
        <charset val="134"/>
      </rPr>
      <t>1.5%</t>
    </r>
  </si>
  <si>
    <r>
      <rPr>
        <sz val="11"/>
        <color indexed="8"/>
        <rFont val="楷体_GB2312"/>
        <charset val="134"/>
      </rPr>
      <t>管理费用</t>
    </r>
  </si>
  <si>
    <r>
      <rPr>
        <sz val="10"/>
        <color rgb="FFFF0000"/>
        <rFont val="楷体_GB2312"/>
        <charset val="134"/>
      </rPr>
      <t>范围：</t>
    </r>
    <r>
      <rPr>
        <sz val="10"/>
        <color rgb="FFFF0000"/>
        <rFont val="Arial"/>
        <charset val="134"/>
      </rPr>
      <t>1%-3%</t>
    </r>
  </si>
  <si>
    <r>
      <rPr>
        <sz val="11"/>
        <color indexed="8"/>
        <rFont val="楷体_GB2312"/>
        <charset val="134"/>
      </rPr>
      <t>销售费用</t>
    </r>
  </si>
  <si>
    <t>一年期存款利率</t>
  </si>
  <si>
    <t>贷款利息</t>
  </si>
  <si>
    <r>
      <rPr>
        <sz val="10"/>
        <color rgb="FFFF0000"/>
        <rFont val="仿宋_GB2312"/>
        <charset val="134"/>
      </rPr>
      <t>当前利率</t>
    </r>
    <r>
      <rPr>
        <sz val="10"/>
        <color rgb="FFFF0000"/>
        <rFont val="Arial"/>
        <charset val="134"/>
      </rPr>
      <t>,</t>
    </r>
    <r>
      <rPr>
        <sz val="10"/>
        <color rgb="FFFF0000"/>
        <rFont val="仿宋_GB2312"/>
        <charset val="134"/>
      </rPr>
      <t>对应项目开发期</t>
    </r>
  </si>
  <si>
    <r>
      <rPr>
        <sz val="11"/>
        <color indexed="8"/>
        <rFont val="楷体_GB2312"/>
        <charset val="134"/>
      </rPr>
      <t>销售税费</t>
    </r>
    <r>
      <rPr>
        <sz val="11"/>
        <color indexed="8"/>
        <rFont val="Arial"/>
        <charset val="134"/>
      </rPr>
      <t>/</t>
    </r>
    <r>
      <rPr>
        <sz val="11"/>
        <color indexed="8"/>
        <rFont val="楷体_GB2312"/>
        <charset val="134"/>
      </rPr>
      <t>两税两费</t>
    </r>
  </si>
  <si>
    <r>
      <rPr>
        <sz val="11"/>
        <color indexed="8"/>
        <rFont val="楷体_GB2312"/>
        <charset val="134"/>
      </rPr>
      <t>增值税</t>
    </r>
  </si>
  <si>
    <r>
      <rPr>
        <sz val="11"/>
        <color indexed="8"/>
        <rFont val="楷体_GB2312"/>
        <charset val="134"/>
      </rPr>
      <t>附加税合计</t>
    </r>
  </si>
  <si>
    <r>
      <rPr>
        <sz val="11"/>
        <color indexed="8"/>
        <rFont val="楷体_GB2312"/>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</si>
  <si>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</si>
  <si>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楷体_GB2312"/>
        <charset val="134"/>
      </rPr>
      <t>教育费附加</t>
    </r>
  </si>
  <si>
    <r>
      <rPr>
        <sz val="11"/>
        <color rgb="FFFF0000"/>
        <rFont val="楷体_GB2312"/>
        <charset val="134"/>
      </rPr>
      <t>北京：</t>
    </r>
    <r>
      <rPr>
        <sz val="11"/>
        <color rgb="FFFF0000"/>
        <rFont val="Arial"/>
        <charset val="134"/>
      </rPr>
      <t>3%</t>
    </r>
  </si>
  <si>
    <r>
      <rPr>
        <sz val="11"/>
        <color indexed="8"/>
        <rFont val="楷体_GB2312"/>
        <charset val="134"/>
      </rPr>
      <t>地方教育费附加</t>
    </r>
  </si>
  <si>
    <r>
      <rPr>
        <sz val="11"/>
        <color rgb="FFFF0000"/>
        <rFont val="楷体_GB2312"/>
        <charset val="134"/>
      </rPr>
      <t>北京：</t>
    </r>
    <r>
      <rPr>
        <sz val="11"/>
        <color rgb="FFFF0000"/>
        <rFont val="Arial"/>
        <charset val="134"/>
      </rPr>
      <t>2%</t>
    </r>
  </si>
  <si>
    <r>
      <rPr>
        <sz val="11"/>
        <color indexed="8"/>
        <rFont val="楷体_GB2312"/>
        <charset val="134"/>
      </rPr>
      <t>其他税种</t>
    </r>
  </si>
  <si>
    <t>★请录依据文件名称★：</t>
  </si>
  <si>
    <r>
      <rPr>
        <sz val="11"/>
        <color indexed="8"/>
        <rFont val="楷体_GB2312"/>
        <charset val="134"/>
      </rPr>
      <t>契税</t>
    </r>
  </si>
  <si>
    <r>
      <rPr>
        <sz val="11"/>
        <color indexed="8"/>
        <rFont val="楷体_GB2312"/>
        <charset val="134"/>
      </rPr>
      <t>印花税</t>
    </r>
  </si>
  <si>
    <r>
      <rPr>
        <sz val="11"/>
        <color rgb="FFFF0000"/>
        <rFont val="楷体_GB2312"/>
        <charset val="134"/>
      </rPr>
      <t>北京：</t>
    </r>
    <r>
      <rPr>
        <sz val="11"/>
        <color rgb="FFFF0000"/>
        <rFont val="Arial"/>
        <charset val="134"/>
      </rPr>
      <t>0.05%</t>
    </r>
  </si>
  <si>
    <r>
      <rPr>
        <sz val="11"/>
        <color indexed="8"/>
        <rFont val="楷体_GB2312"/>
        <charset val="134"/>
      </rPr>
      <t>房产税</t>
    </r>
    <r>
      <rPr>
        <sz val="11"/>
        <color indexed="8"/>
        <rFont val="Arial"/>
        <charset val="134"/>
      </rPr>
      <t>-</t>
    </r>
    <r>
      <rPr>
        <sz val="11"/>
        <color indexed="8"/>
        <rFont val="楷体_GB2312"/>
        <charset val="134"/>
      </rPr>
      <t>按原值计税</t>
    </r>
  </si>
  <si>
    <r>
      <rPr>
        <sz val="11"/>
        <color indexed="8"/>
        <rFont val="楷体_GB2312"/>
        <charset val="134"/>
      </rPr>
      <t>房产税</t>
    </r>
    <r>
      <rPr>
        <sz val="11"/>
        <color indexed="8"/>
        <rFont val="Arial"/>
        <charset val="134"/>
      </rPr>
      <t>-</t>
    </r>
    <r>
      <rPr>
        <sz val="11"/>
        <color indexed="8"/>
        <rFont val="楷体_GB2312"/>
        <charset val="134"/>
      </rPr>
      <t>按租金计税</t>
    </r>
  </si>
  <si>
    <r>
      <rPr>
        <sz val="11"/>
        <color indexed="8"/>
        <rFont val="楷体_GB2312"/>
        <charset val="134"/>
      </rPr>
      <t>土地使用税</t>
    </r>
  </si>
  <si>
    <r>
      <rPr>
        <sz val="11"/>
        <color indexed="8"/>
        <rFont val="楷体_GB2312"/>
        <charset val="134"/>
      </rPr>
      <t>城镇土地纳税等级分级范围</t>
    </r>
  </si>
  <si>
    <t>北京</t>
  </si>
  <si>
    <r>
      <rPr>
        <sz val="11"/>
        <color indexed="10"/>
        <rFont val="宋体"/>
        <charset val="134"/>
      </rPr>
      <t>★</t>
    </r>
    <r>
      <rPr>
        <sz val="11"/>
        <color indexed="10"/>
        <rFont val="楷体_GB2312"/>
        <charset val="134"/>
      </rPr>
      <t>其他省市请录依据文件名称★：</t>
    </r>
  </si>
  <si>
    <t>房地产修正因素</t>
  </si>
  <si>
    <t>住宅、办公及商业</t>
  </si>
  <si>
    <t>区位状况</t>
  </si>
  <si>
    <t>居住社区成熟度</t>
  </si>
  <si>
    <r>
      <rPr>
        <sz val="11"/>
        <color theme="9" tint="-0.249977111117893"/>
        <rFont val="仿宋_GB2312"/>
        <charset val="134"/>
      </rPr>
      <t>估价对象周边居住用地比例、居住小区规模和社区发展完善程度，综合评价居住社区成熟度一般</t>
    </r>
  </si>
  <si>
    <t>产业集聚程度</t>
  </si>
  <si>
    <r>
      <rPr>
        <sz val="11"/>
        <color theme="9" tint="-0.249977111117893"/>
        <rFont val="仿宋_GB2312"/>
        <charset val="134"/>
      </rPr>
      <t>估价对象位于</t>
    </r>
    <r>
      <rPr>
        <sz val="11"/>
        <color theme="9" tint="-0.249977111117893"/>
        <rFont val="Arial"/>
        <charset val="134"/>
      </rPr>
      <t>XX</t>
    </r>
    <r>
      <rPr>
        <sz val="11"/>
        <color theme="9" tint="-0.249977111117893"/>
        <rFont val="仿宋_GB2312"/>
        <charset val="134"/>
      </rPr>
      <t>开发区，园区建设成熟度</t>
    </r>
    <r>
      <rPr>
        <sz val="11"/>
        <color theme="9" tint="-0.249977111117893"/>
        <rFont val="Arial"/>
        <charset val="134"/>
      </rPr>
      <t>XX</t>
    </r>
    <r>
      <rPr>
        <sz val="11"/>
        <color theme="9" tint="-0.249977111117893"/>
        <rFont val="仿宋_GB2312"/>
        <charset val="134"/>
      </rPr>
      <t>，产业集聚程度</t>
    </r>
    <r>
      <rPr>
        <sz val="11"/>
        <color theme="9" tint="-0.249977111117893"/>
        <rFont val="Arial"/>
        <charset val="134"/>
      </rPr>
      <t>XX</t>
    </r>
  </si>
  <si>
    <t>商业繁华度</t>
  </si>
  <si>
    <r>
      <rPr>
        <sz val="11"/>
        <color theme="9" tint="-0.249977111117893"/>
        <rFont val="仿宋_GB2312"/>
        <charset val="134"/>
      </rPr>
      <t>估价对象位于</t>
    </r>
    <r>
      <rPr>
        <sz val="11"/>
        <color theme="9" tint="-0.249977111117893"/>
        <rFont val="Arial"/>
        <charset val="134"/>
      </rPr>
      <t>XX</t>
    </r>
    <r>
      <rPr>
        <sz val="11"/>
        <color theme="9" tint="-0.249977111117893"/>
        <rFont val="仿宋_GB2312"/>
        <charset val="134"/>
      </rPr>
      <t>商圈，周边商业氛围成熟，人流量大，商业繁华度好</t>
    </r>
  </si>
  <si>
    <t>交通便捷度</t>
  </si>
  <si>
    <r>
      <rPr>
        <sz val="11"/>
        <color theme="9" tint="-0.249977111117893"/>
        <rFont val="仿宋_GB2312"/>
        <charset val="134"/>
      </rPr>
      <t>估价对象周边道路状况、公共交通通达情况、停车便捷程度，综合评价交通便捷度较好</t>
    </r>
  </si>
  <si>
    <t>办公集聚程度</t>
  </si>
  <si>
    <r>
      <rPr>
        <sz val="11"/>
        <color theme="9" tint="-0.249977111117893"/>
        <rFont val="仿宋_GB2312"/>
        <charset val="134"/>
      </rPr>
      <t>估价对象位于</t>
    </r>
    <r>
      <rPr>
        <sz val="11"/>
        <color theme="9" tint="-0.249977111117893"/>
        <rFont val="Arial"/>
        <charset val="134"/>
      </rPr>
      <t>XX</t>
    </r>
    <r>
      <rPr>
        <sz val="11"/>
        <color theme="9" tint="-0.249977111117893"/>
        <rFont val="仿宋_GB2312"/>
        <charset val="134"/>
      </rPr>
      <t>商圈，周边办公楼项目较多，入驻率高，办公集聚程度较好</t>
    </r>
  </si>
  <si>
    <r>
      <rPr>
        <sz val="11"/>
        <color theme="9" tint="-0.249977111117893"/>
        <rFont val="仿宋_GB2312"/>
        <charset val="134"/>
      </rPr>
      <t>估价对象所在区域公共配套设施齐备情况</t>
    </r>
  </si>
  <si>
    <r>
      <rPr>
        <sz val="11"/>
        <color theme="9" tint="-0.249977111117893"/>
        <rFont val="仿宋_GB2312"/>
        <charset val="134"/>
      </rPr>
      <t>估价对象所在区域基础设施水平</t>
    </r>
  </si>
  <si>
    <t>环境状况</t>
  </si>
  <si>
    <r>
      <rPr>
        <sz val="11"/>
        <color theme="9" tint="-0.249977111117893"/>
        <rFont val="仿宋_GB2312"/>
        <charset val="134"/>
      </rPr>
      <t>该园区内是否有污染型企业，绿化情况，卫生条件，整体环境状况判断</t>
    </r>
  </si>
  <si>
    <t>自然及人文环境</t>
  </si>
  <si>
    <r>
      <rPr>
        <sz val="11"/>
        <color theme="9" tint="-0.249977111117893"/>
        <rFont val="仿宋_GB2312"/>
        <charset val="134"/>
      </rPr>
      <t>区域自然环境：；人文环境；综合评价环境状况一般</t>
    </r>
  </si>
  <si>
    <t>毗邻道路的类型与等级</t>
  </si>
  <si>
    <t>土地修正因素</t>
  </si>
  <si>
    <t>区域土地利用方向</t>
  </si>
  <si>
    <t>自然及人文环境状况</t>
  </si>
  <si>
    <t>临街状况</t>
  </si>
  <si>
    <t>交易编号</t>
  </si>
  <si>
    <t>宗地位置</t>
  </si>
  <si>
    <t>竞价起始时间</t>
  </si>
  <si>
    <t>起始价(万元)</t>
  </si>
  <si>
    <t>土地面积（平方米）</t>
  </si>
  <si>
    <t>规划建筑面积(平方米)</t>
  </si>
  <si>
    <t>交易方式</t>
  </si>
  <si>
    <t>规划用途</t>
  </si>
  <si>
    <t>成交日期</t>
  </si>
  <si>
    <t>成交价(万元)</t>
  </si>
  <si>
    <t>受让单位</t>
  </si>
  <si>
    <t>开发程度</t>
  </si>
  <si>
    <t>现场竞价次数</t>
  </si>
  <si>
    <t>保证金(万元)</t>
  </si>
  <si>
    <t>楼面地价</t>
  </si>
  <si>
    <r>
      <rPr>
        <sz val="10"/>
        <color rgb="FF666666"/>
        <rFont val="宋体"/>
        <charset val="134"/>
      </rPr>
      <t>京土整储挂（海）</t>
    </r>
    <r>
      <rPr>
        <sz val="10"/>
        <color rgb="FF666666"/>
        <rFont val="Tahoma"/>
        <charset val="134"/>
      </rPr>
      <t>[2020]042</t>
    </r>
    <r>
      <rPr>
        <sz val="10"/>
        <color rgb="FF666666"/>
        <rFont val="宋体"/>
        <charset val="134"/>
      </rPr>
      <t>号</t>
    </r>
  </si>
  <si>
    <t>北京市海淀区西八里庄0711-652、640、641地块B4综合性商业金融服务业用地</t>
  </si>
  <si>
    <t>海淀区玲珑巷地区</t>
  </si>
  <si>
    <t>挂牌</t>
  </si>
  <si>
    <t>B4综合性商业金融服务业用地</t>
  </si>
  <si>
    <t>中国电建地产集团有限公司</t>
  </si>
  <si>
    <t>四通一平</t>
  </si>
  <si>
    <t>III-08</t>
  </si>
  <si>
    <t>京土整储挂（海）[2020]001号</t>
  </si>
  <si>
    <t>北京市海淀区“海淀北部地区整体开发”西北旺镇HD00-0403-0061、0050、0031、0040、0046地块二类居住、其他类多功能、医院及机构养老设施用地</t>
  </si>
  <si>
    <t>海淀区西北旺镇</t>
  </si>
  <si>
    <t>R2二类居住用地、F3其他类多功能用地、A51医院用地、A61机构养老设施用地</t>
  </si>
  <si>
    <t>北京润置商业运营管理有限公司、北京科技园建设（集团）股份有限公司和华通置业有限公司联合体</t>
  </si>
  <si>
    <t>五通一平</t>
  </si>
  <si>
    <t>京土整储招(海)[2019]056号</t>
  </si>
  <si>
    <t>北京市海淀区安宁庄东路1号1820-618B、1820-619B、1820-624A、1820-622地块R2二类居住用地、A33基础教育用地</t>
  </si>
  <si>
    <t>海淀区清河地区</t>
  </si>
  <si>
    <t>招标</t>
  </si>
  <si>
    <t>R2二类居住用地、A33基础教育用地</t>
  </si>
  <si>
    <t>北京金隅程远房地产开发有限公司</t>
  </si>
  <si>
    <t>三通一平</t>
  </si>
  <si>
    <t>京土整储招（海）[2019]034号</t>
  </si>
  <si>
    <t>北京市海淀区学院路北端A、B、C、J地块B4综合性商业金融服务业用地、B23研发设计用地</t>
  </si>
  <si>
    <t>海淀区学院路北端</t>
  </si>
  <si>
    <t>B4综合性商业金融服务业用地、B23研发设计用地</t>
  </si>
  <si>
    <t>紫光集团有限公司、紫光股份有限公司、紫光国芯微电子股份有限公司和北京紫光科技服务集团有限公司联合体</t>
  </si>
  <si>
    <t>临时三通一平</t>
  </si>
  <si>
    <t>V-03</t>
  </si>
  <si>
    <t>京土整储挂（海）[2019]015号</t>
  </si>
  <si>
    <t>北京市海淀区西三旗1811-L04地块B4综合性商业金融服务业用地</t>
  </si>
  <si>
    <t>海淀区西三旗</t>
  </si>
  <si>
    <r>
      <rPr>
        <sz val="10"/>
        <color rgb="FF666666"/>
        <rFont val="Tahoma"/>
        <charset val="134"/>
      </rPr>
      <t>B4</t>
    </r>
    <r>
      <rPr>
        <sz val="10"/>
        <color rgb="FF666666"/>
        <rFont val="宋体"/>
        <charset val="134"/>
      </rPr>
      <t>综合性商业金融服务业用地</t>
    </r>
  </si>
  <si>
    <t>北京润置商业运营管理有限公司</t>
  </si>
  <si>
    <t>六通一平</t>
  </si>
  <si>
    <t>VI-01</t>
  </si>
  <si>
    <t>京土整储挂（海）[2019]005号</t>
  </si>
  <si>
    <t>北京市海淀区"海淀北部地区整体开发"西北旺镇HD00-0402-0102地块（永丰产业基地）B1商业用地</t>
  </si>
  <si>
    <r>
      <rPr>
        <sz val="10"/>
        <color rgb="FF666666"/>
        <rFont val="Tahoma"/>
        <charset val="134"/>
      </rPr>
      <t>B1</t>
    </r>
    <r>
      <rPr>
        <sz val="10"/>
        <color rgb="FF666666"/>
        <rFont val="宋体"/>
        <charset val="134"/>
      </rPr>
      <t>商业用地</t>
    </r>
  </si>
  <si>
    <t>北京实创科技园开发建设股份有限公司</t>
  </si>
  <si>
    <t>VI-02</t>
  </si>
  <si>
    <t>2020年</t>
  </si>
  <si>
    <t>地价</t>
  </si>
  <si>
    <t>2019年</t>
  </si>
  <si>
    <t>平均</t>
  </si>
  <si>
    <t>协议出让</t>
  </si>
  <si>
    <t>招拍挂出让</t>
  </si>
  <si>
    <t>海淀区温泉镇中关村环保科技示范园E05地块评估结果</t>
  </si>
  <si>
    <t>2018年</t>
  </si>
  <si>
    <t>地上办公（剩余年限）</t>
  </si>
  <si>
    <t>基准地价法</t>
  </si>
  <si>
    <t>剩余法</t>
  </si>
  <si>
    <t>比较法</t>
  </si>
  <si>
    <t>海淀区创新园F区3-2-011评估结果</t>
  </si>
  <si>
    <t>方法</t>
  </si>
  <si>
    <t>楼面熟地单价</t>
  </si>
  <si>
    <t>权重</t>
  </si>
  <si>
    <t>权重楼面熟地单价</t>
  </si>
  <si>
    <t>政府土地收益</t>
  </si>
  <si>
    <t xml:space="preserve">单价 </t>
  </si>
  <si>
    <t>面积</t>
  </si>
  <si>
    <t>总价</t>
  </si>
  <si>
    <t>政府收益</t>
  </si>
  <si>
    <t>地上住宅（满年限、旧容积率）</t>
  </si>
  <si>
    <t>地上商业（满年限、旧容积率）</t>
  </si>
  <si>
    <t>地下商业（-2）（剩余年限）</t>
  </si>
  <si>
    <t>地下仓储</t>
  </si>
  <si>
    <t>地下仓储-商业（剩余年限）</t>
  </si>
  <si>
    <t>地下商业汇总</t>
  </si>
  <si>
    <t>熟地价</t>
  </si>
  <si>
    <t>部位</t>
  </si>
  <si>
    <t>规划条件</t>
  </si>
  <si>
    <r>
      <rPr>
        <sz val="11"/>
        <color rgb="FF000000"/>
        <rFont val="仿宋_GB2312"/>
        <charset val="134"/>
      </rPr>
      <t>楼面熟地价（元</t>
    </r>
    <r>
      <rPr>
        <sz val="11"/>
        <color rgb="FF000000"/>
        <rFont val="Arial"/>
        <charset val="134"/>
      </rPr>
      <t>/</t>
    </r>
    <r>
      <rPr>
        <sz val="11"/>
        <color rgb="FF000000"/>
        <rFont val="Batang"/>
        <charset val="129"/>
      </rPr>
      <t>㎡</t>
    </r>
    <r>
      <rPr>
        <sz val="11"/>
        <color rgb="FF000000"/>
        <rFont val="仿宋_GB2312"/>
        <charset val="134"/>
      </rPr>
      <t>）</t>
    </r>
  </si>
  <si>
    <r>
      <rPr>
        <sz val="11"/>
        <color rgb="FF000000"/>
        <rFont val="仿宋_GB2312"/>
        <charset val="134"/>
      </rPr>
      <t>用途调整单价差（元</t>
    </r>
    <r>
      <rPr>
        <sz val="11"/>
        <color rgb="FF000000"/>
        <rFont val="Arial"/>
        <charset val="134"/>
      </rPr>
      <t>/</t>
    </r>
    <r>
      <rPr>
        <sz val="11"/>
        <color rgb="FF000000"/>
        <rFont val="宋体"/>
        <charset val="134"/>
      </rPr>
      <t>㎡</t>
    </r>
    <r>
      <rPr>
        <sz val="11"/>
        <color rgb="FF000000"/>
        <rFont val="仿宋_GB2312"/>
        <charset val="134"/>
      </rPr>
      <t>）</t>
    </r>
  </si>
  <si>
    <r>
      <rPr>
        <sz val="11"/>
        <color rgb="FF000000"/>
        <rFont val="仿宋_GB2312"/>
        <charset val="134"/>
      </rPr>
      <t>变更面积（</t>
    </r>
    <r>
      <rPr>
        <sz val="11"/>
        <color rgb="FF000000"/>
        <rFont val="宋体"/>
        <charset val="134"/>
      </rPr>
      <t>㎡</t>
    </r>
    <r>
      <rPr>
        <sz val="11"/>
        <color rgb="FF000000"/>
        <rFont val="仿宋_GB2312"/>
        <charset val="134"/>
      </rPr>
      <t>）</t>
    </r>
  </si>
  <si>
    <t>熟地总价</t>
  </si>
  <si>
    <t>（万元）</t>
  </si>
  <si>
    <t>用途调整</t>
  </si>
  <si>
    <t>新用途-地下研发</t>
  </si>
  <si>
    <t>旧用途-地下车库</t>
  </si>
  <si>
    <r>
      <rPr>
        <sz val="11"/>
        <color rgb="FF000000"/>
        <rFont val="仿宋_GB2312"/>
        <charset val="134"/>
      </rPr>
      <t>政府土地出让收益楼面价（元</t>
    </r>
    <r>
      <rPr>
        <sz val="11"/>
        <color rgb="FF000000"/>
        <rFont val="Arial"/>
        <charset val="134"/>
      </rPr>
      <t>/</t>
    </r>
    <r>
      <rPr>
        <sz val="11"/>
        <color rgb="FF000000"/>
        <rFont val="Batang"/>
        <charset val="129"/>
      </rPr>
      <t>㎡</t>
    </r>
    <r>
      <rPr>
        <sz val="11"/>
        <color rgb="FF000000"/>
        <rFont val="仿宋_GB2312"/>
        <charset val="134"/>
      </rPr>
      <t>）</t>
    </r>
  </si>
  <si>
    <t>政府土地出让收益总价</t>
  </si>
  <si>
    <t>需补缴地价</t>
  </si>
  <si>
    <t>政府土地出让收益楼面价（元/㎡）</t>
  </si>
  <si>
    <t>用途调整单价差（元/㎡）</t>
  </si>
  <si>
    <r>
      <rPr>
        <sz val="11"/>
        <color rgb="FF000000"/>
        <rFont val="仿宋_GB2312"/>
        <charset val="134"/>
      </rPr>
      <t>出让面积（</t>
    </r>
    <r>
      <rPr>
        <sz val="11"/>
        <color rgb="FF000000"/>
        <rFont val="仿宋_GB2312"/>
        <charset val="134"/>
      </rPr>
      <t>㎡</t>
    </r>
    <r>
      <rPr>
        <sz val="11"/>
        <color rgb="FF000000"/>
        <rFont val="仿宋_GB2312"/>
        <charset val="134"/>
      </rPr>
      <t>）</t>
    </r>
  </si>
  <si>
    <t>需补缴地价总价（万元）</t>
  </si>
  <si>
    <r>
      <rPr>
        <sz val="11"/>
        <color rgb="FF000000"/>
        <rFont val="仿宋_GB2312"/>
        <charset val="134"/>
      </rPr>
      <t>新用途</t>
    </r>
    <r>
      <rPr>
        <sz val="11"/>
        <color rgb="FF000000"/>
        <rFont val="Arial"/>
        <charset val="134"/>
      </rPr>
      <t>-</t>
    </r>
    <r>
      <rPr>
        <sz val="11"/>
        <color rgb="FF000000"/>
        <rFont val="仿宋_GB2312"/>
        <charset val="134"/>
      </rPr>
      <t>地下仓储</t>
    </r>
  </si>
  <si>
    <r>
      <rPr>
        <sz val="11"/>
        <color rgb="FF000000"/>
        <rFont val="仿宋_GB2312"/>
        <charset val="134"/>
      </rPr>
      <t>旧用途</t>
    </r>
    <r>
      <rPr>
        <sz val="11"/>
        <color rgb="FF000000"/>
        <rFont val="Arial"/>
        <charset val="134"/>
      </rPr>
      <t>-</t>
    </r>
    <r>
      <rPr>
        <sz val="11"/>
        <color rgb="FF000000"/>
        <rFont val="仿宋_GB2312"/>
        <charset val="134"/>
      </rPr>
      <t>地下车库</t>
    </r>
  </si>
  <si>
    <r>
      <rPr>
        <b/>
        <sz val="16"/>
        <color indexed="10"/>
        <rFont val="仿宋_GB2312"/>
        <charset val="134"/>
      </rPr>
      <t>基准地价系数修正法</t>
    </r>
  </si>
  <si>
    <r>
      <rPr>
        <sz val="11"/>
        <color indexed="8"/>
        <rFont val="宋体"/>
        <charset val="134"/>
      </rPr>
      <t>一级</t>
    </r>
  </si>
  <si>
    <t>商业多楼层</t>
  </si>
  <si>
    <t>楼层修正系数</t>
  </si>
  <si>
    <t>层面积</t>
  </si>
  <si>
    <t>万元</t>
  </si>
  <si>
    <r>
      <rPr>
        <sz val="11"/>
        <color indexed="8"/>
        <rFont val="宋体"/>
        <charset val="134"/>
      </rPr>
      <t>二级</t>
    </r>
  </si>
  <si>
    <t>元/平方米</t>
  </si>
  <si>
    <t>用途类别</t>
  </si>
  <si>
    <t>科教用地</t>
  </si>
  <si>
    <t>宗地容积率</t>
  </si>
  <si>
    <t>楼层</t>
  </si>
  <si>
    <t>（地上）</t>
  </si>
  <si>
    <r>
      <rPr>
        <sz val="11"/>
        <color indexed="8"/>
        <rFont val="宋体"/>
        <charset val="134"/>
      </rPr>
      <t>三级</t>
    </r>
  </si>
  <si>
    <t>单位面积地价</t>
  </si>
  <si>
    <t>万元/亩</t>
  </si>
  <si>
    <r>
      <rPr>
        <sz val="11"/>
        <color indexed="8"/>
        <rFont val="宋体"/>
        <charset val="134"/>
      </rPr>
      <t>四级</t>
    </r>
  </si>
  <si>
    <t>1.</t>
  </si>
  <si>
    <t>适用的楼面熟地价</t>
  </si>
  <si>
    <r>
      <rPr>
        <sz val="11"/>
        <color indexed="8"/>
        <rFont val="宋体"/>
        <charset val="134"/>
      </rPr>
      <t>五级</t>
    </r>
  </si>
  <si>
    <t>（1）</t>
  </si>
  <si>
    <r>
      <rPr>
        <sz val="10"/>
        <color indexed="10"/>
        <rFont val="仿宋_GB2312"/>
        <charset val="134"/>
      </rPr>
      <t>依据《北京市区片基准地价表》，能否通过用途和级别筛选？</t>
    </r>
  </si>
  <si>
    <r>
      <rPr>
        <sz val="11"/>
        <color indexed="8"/>
        <rFont val="宋体"/>
        <charset val="134"/>
      </rPr>
      <t>六级</t>
    </r>
  </si>
  <si>
    <t>商业路线价修正（商业用途）</t>
  </si>
  <si>
    <t>宗地深度（米）</t>
  </si>
  <si>
    <r>
      <rPr>
        <sz val="11"/>
        <color indexed="8"/>
        <rFont val="宋体"/>
        <charset val="134"/>
      </rPr>
      <t>七级</t>
    </r>
  </si>
  <si>
    <r>
      <rPr>
        <sz val="10"/>
        <rFont val="仿宋_GB2312"/>
        <charset val="134"/>
      </rPr>
      <t>估价对象级别</t>
    </r>
  </si>
  <si>
    <r>
      <rPr>
        <sz val="10"/>
        <rFont val="仿宋_GB2312"/>
        <charset val="134"/>
      </rPr>
      <t>容积率</t>
    </r>
  </si>
  <si>
    <t>所在商业街</t>
  </si>
  <si>
    <t>不临58条商业街</t>
  </si>
  <si>
    <t>A1</t>
  </si>
  <si>
    <t>临商业街红线1/4标准深度占地面积／宗地总面积</t>
  </si>
  <si>
    <r>
      <rPr>
        <sz val="11"/>
        <color indexed="8"/>
        <rFont val="宋体"/>
        <charset val="134"/>
      </rPr>
      <t>八级</t>
    </r>
  </si>
  <si>
    <t>容积率             级别</t>
  </si>
  <si>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</si>
  <si>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</si>
  <si>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</si>
  <si>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</si>
  <si>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</si>
  <si>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</si>
  <si>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</si>
  <si>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</si>
  <si>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</si>
  <si>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</si>
  <si>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</si>
  <si>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</si>
  <si>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t>加价幅度</t>
  </si>
  <si>
    <t>A2</t>
  </si>
  <si>
    <t>临商业街红线1/4至2/4标准深度占地面积／宗地总面积</t>
  </si>
  <si>
    <r>
      <rPr>
        <sz val="11"/>
        <color indexed="8"/>
        <rFont val="宋体"/>
        <charset val="134"/>
      </rPr>
      <t>九级</t>
    </r>
  </si>
  <si>
    <r>
      <rPr>
        <sz val="10"/>
        <rFont val="仿宋_GB2312"/>
        <charset val="134"/>
      </rPr>
      <t>商业</t>
    </r>
    <r>
      <rPr>
        <sz val="10"/>
        <rFont val="Arial"/>
        <charset val="134"/>
      </rPr>
      <t>R</t>
    </r>
    <r>
      <rPr>
        <sz val="10"/>
        <rFont val="仿宋_GB2312"/>
        <charset val="134"/>
      </rPr>
      <t>≥</t>
    </r>
    <r>
      <rPr>
        <sz val="10"/>
        <rFont val="Arial"/>
        <charset val="134"/>
      </rPr>
      <t>1</t>
    </r>
  </si>
  <si>
    <r>
      <rPr>
        <sz val="10"/>
        <color theme="1"/>
        <rFont val="Arial"/>
        <charset val="134"/>
      </rPr>
      <t>7</t>
    </r>
    <r>
      <rPr>
        <sz val="10"/>
        <color theme="1"/>
        <rFont val="宋体"/>
        <charset val="134"/>
      </rPr>
      <t>层及以上</t>
    </r>
  </si>
  <si>
    <t>标准深度（米）</t>
  </si>
  <si>
    <t>A3</t>
  </si>
  <si>
    <t>临商业街红线2/4至3/4标准深度占地面积／宗地总面积</t>
  </si>
  <si>
    <r>
      <rPr>
        <sz val="11"/>
        <color indexed="8"/>
        <rFont val="宋体"/>
        <charset val="134"/>
      </rPr>
      <t>十级</t>
    </r>
  </si>
  <si>
    <t>1/4标准深度</t>
  </si>
  <si>
    <t>A4</t>
  </si>
  <si>
    <t>临商业街红线3/4至4/4标准深度占地面积／宗地总面积</t>
  </si>
  <si>
    <r>
      <rPr>
        <sz val="11"/>
        <color indexed="8"/>
        <rFont val="宋体"/>
        <charset val="134"/>
      </rPr>
      <t>十一级</t>
    </r>
  </si>
  <si>
    <r>
      <rPr>
        <sz val="10"/>
        <rFont val="仿宋_GB2312"/>
        <charset val="134"/>
      </rPr>
      <t>商业</t>
    </r>
    <r>
      <rPr>
        <sz val="10"/>
        <rFont val="Arial"/>
        <charset val="134"/>
      </rPr>
      <t>R&lt;1</t>
    </r>
  </si>
  <si>
    <t>（2）</t>
  </si>
  <si>
    <t>特殊情况修正（居住用途）</t>
  </si>
  <si>
    <t>需根据项目情况调整公式修正项</t>
  </si>
  <si>
    <r>
      <rPr>
        <sz val="11"/>
        <color indexed="8"/>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</si>
  <si>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</si>
  <si>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仿宋_GB2312"/>
        <charset val="134"/>
      </rPr>
      <t>特殊情况</t>
    </r>
  </si>
  <si>
    <r>
      <rPr>
        <sz val="10"/>
        <color indexed="8"/>
        <rFont val="仿宋_GB2312"/>
        <charset val="134"/>
      </rPr>
      <t>公园</t>
    </r>
  </si>
  <si>
    <r>
      <rPr>
        <sz val="10"/>
        <color indexed="8"/>
        <rFont val="仿宋_GB2312"/>
        <charset val="134"/>
      </rPr>
      <t>水系</t>
    </r>
  </si>
  <si>
    <r>
      <rPr>
        <sz val="10"/>
        <color indexed="8"/>
        <rFont val="仿宋_GB2312"/>
        <charset val="134"/>
      </rPr>
      <t>中小学名校</t>
    </r>
  </si>
  <si>
    <t>轨道交通站点周边</t>
  </si>
  <si>
    <t>无</t>
  </si>
  <si>
    <t>其他（垃圾填埋场/污水处理厂等），自定义，修正幅度不超过±10%</t>
  </si>
  <si>
    <r>
      <rPr>
        <sz val="10"/>
        <color indexed="8"/>
        <rFont val="仿宋_GB2312"/>
        <charset val="134"/>
      </rPr>
      <t>修正系数</t>
    </r>
  </si>
  <si>
    <t>（3）</t>
  </si>
  <si>
    <t>开发程度差异修正</t>
  </si>
  <si>
    <t>级别开发程度</t>
  </si>
  <si>
    <t>估价对象开发程度</t>
  </si>
  <si>
    <t>通路</t>
  </si>
  <si>
    <t>通电</t>
  </si>
  <si>
    <t>通讯</t>
  </si>
  <si>
    <t>通上水</t>
  </si>
  <si>
    <t>通下水</t>
  </si>
  <si>
    <t>平整</t>
  </si>
  <si>
    <t>燃气</t>
  </si>
  <si>
    <t>级别平均容积率</t>
  </si>
  <si>
    <t>与级别开发程度不一致</t>
  </si>
  <si>
    <t>2.</t>
  </si>
  <si>
    <t>用途修正系数</t>
  </si>
  <si>
    <t>3.</t>
  </si>
  <si>
    <t>期日修正指数</t>
  </si>
  <si>
    <t>基准期日</t>
  </si>
  <si>
    <t>按公示增长率计算</t>
  </si>
  <si>
    <t>基准日地价指数</t>
  </si>
  <si>
    <t>相差季度数</t>
  </si>
  <si>
    <t>4.</t>
  </si>
  <si>
    <t>年期修正系数</t>
  </si>
  <si>
    <t>现行一年期贷款利率</t>
  </si>
  <si>
    <t>土地还原率</t>
  </si>
  <si>
    <t>剩余使用年限</t>
  </si>
  <si>
    <t>所在季度地价指数</t>
  </si>
  <si>
    <t>季度增幅</t>
  </si>
  <si>
    <t>自定义涨幅</t>
  </si>
  <si>
    <t>平均季度涨幅（公示）</t>
  </si>
  <si>
    <t>5.</t>
  </si>
  <si>
    <t>容积率修正系数</t>
  </si>
  <si>
    <r>
      <rPr>
        <sz val="11"/>
        <rFont val="Arial"/>
        <charset val="134"/>
      </rPr>
      <t>R</t>
    </r>
    <r>
      <rPr>
        <sz val="11"/>
        <rFont val="仿宋_GB2312"/>
        <charset val="134"/>
      </rPr>
      <t>≤</t>
    </r>
    <r>
      <rPr>
        <sz val="11"/>
        <rFont val="Arial"/>
        <charset val="134"/>
      </rPr>
      <t>10</t>
    </r>
  </si>
  <si>
    <t>R&gt;10</t>
  </si>
  <si>
    <t>楼层修正系数（商业）</t>
  </si>
  <si>
    <t>6.</t>
  </si>
  <si>
    <t>因素修正系数</t>
  </si>
  <si>
    <t>7.</t>
  </si>
  <si>
    <t>估算结果</t>
  </si>
  <si>
    <t>综合</t>
  </si>
  <si>
    <t>政府土地出让收益</t>
  </si>
  <si>
    <t>上浮比率</t>
  </si>
  <si>
    <t>地上部分</t>
  </si>
  <si>
    <t>单价</t>
  </si>
  <si>
    <t>地上部分——楼面熟地价</t>
  </si>
  <si>
    <r>
      <rPr>
        <sz val="10"/>
        <color indexed="8"/>
        <rFont val="仿宋_GB2312"/>
        <charset val="134"/>
      </rPr>
      <t>楼面熟地价=适用的基准地价×用途修正系数×期日修正系数×年期修正系数×（容积率修正系数或楼层修正系数）×因素修正系数</t>
    </r>
  </si>
  <si>
    <t>地上部分——政府土地出让收益</t>
  </si>
  <si>
    <t>政府土地出让收益=楼面熟地价×政府土地出让收益比例</t>
  </si>
  <si>
    <t>地下部分</t>
  </si>
  <si>
    <t>楼面熟地价=适用的基准地价×期日修正系数×年期修正系数×因素修正系数×相应用途地下空间修正系数</t>
  </si>
  <si>
    <t>相应用途地下空间修正系数</t>
  </si>
  <si>
    <t>地下第1层商业</t>
  </si>
  <si>
    <r>
      <rPr>
        <b/>
        <sz val="10"/>
        <color rgb="FFFF0000"/>
        <rFont val="宋体"/>
        <charset val="134"/>
      </rPr>
      <t>★</t>
    </r>
    <r>
      <rPr>
        <b/>
        <sz val="10"/>
        <color rgb="FFFF0000"/>
        <rFont val="仿宋_GB2312"/>
        <charset val="134"/>
      </rPr>
      <t>地下商业不考虑路线价修正★</t>
    </r>
  </si>
  <si>
    <t>地下第2层商业</t>
  </si>
  <si>
    <t>地下第3层商业</t>
  </si>
  <si>
    <t>地下第4层商业</t>
  </si>
  <si>
    <r>
      <rPr>
        <sz val="10"/>
        <rFont val="仿宋_GB2312"/>
        <charset val="134"/>
      </rPr>
      <t>政府土地出让收益比例</t>
    </r>
  </si>
  <si>
    <r>
      <rPr>
        <sz val="10"/>
        <rFont val="仿宋_GB2312"/>
        <charset val="134"/>
      </rPr>
      <t>商业</t>
    </r>
    <r>
      <rPr>
        <sz val="10"/>
        <rFont val="Arial"/>
        <charset val="134"/>
      </rPr>
      <t>/</t>
    </r>
    <r>
      <rPr>
        <sz val="10"/>
        <rFont val="仿宋_GB2312"/>
        <charset val="134"/>
      </rPr>
      <t>办公</t>
    </r>
    <r>
      <rPr>
        <sz val="10"/>
        <rFont val="Arial"/>
        <charset val="134"/>
      </rPr>
      <t>/</t>
    </r>
    <r>
      <rPr>
        <sz val="10"/>
        <rFont val="仿宋_GB2312"/>
        <charset val="134"/>
      </rPr>
      <t>居住</t>
    </r>
  </si>
  <si>
    <r>
      <rPr>
        <sz val="10"/>
        <rFont val="仿宋_GB2312"/>
        <charset val="134"/>
      </rPr>
      <t>工业</t>
    </r>
  </si>
  <si>
    <t>地下车库及仓储年期修正</t>
  </si>
  <si>
    <r>
      <rPr>
        <sz val="10"/>
        <rFont val="宋体"/>
        <charset val="134"/>
      </rPr>
      <t>土地还原率</t>
    </r>
  </si>
  <si>
    <r>
      <rPr>
        <sz val="10"/>
        <rFont val="宋体"/>
        <charset val="134"/>
      </rPr>
      <t>剩余使用年限</t>
    </r>
  </si>
  <si>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</si>
  <si>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</si>
  <si>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</si>
  <si>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</si>
  <si>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</si>
  <si>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rFont val="楷体_GB2312"/>
        <charset val="134"/>
      </rPr>
      <t>合计</t>
    </r>
  </si>
  <si>
    <t>幅度控制(±)</t>
  </si>
  <si>
    <r>
      <rPr>
        <sz val="10"/>
        <color indexed="8"/>
        <rFont val="宋体"/>
        <charset val="134"/>
      </rPr>
      <t>修正系数</t>
    </r>
  </si>
  <si>
    <t>各因素幅度控制(±)</t>
  </si>
  <si>
    <r>
      <rPr>
        <sz val="10"/>
        <color indexed="8"/>
        <rFont val="楷体_GB2312"/>
        <charset val="134"/>
      </rPr>
      <t>权重</t>
    </r>
  </si>
  <si>
    <t xml:space="preserve"> 商业繁华程度</t>
  </si>
  <si>
    <t>临街宽度和深度</t>
  </si>
  <si>
    <t>宽度XX米，深度XX米,临街宽度及深度比例适宜程度？对土地利用的影响？</t>
  </si>
  <si>
    <t>临街道路状况</t>
  </si>
  <si>
    <t>宗地形状及可利用程度</t>
  </si>
  <si>
    <t>宗地形状不规则，但对宗地利用影响较小</t>
  </si>
  <si>
    <t>公共服务设施状况</t>
  </si>
  <si>
    <t>基础设施完备状况</t>
  </si>
  <si>
    <t>自然和人文环境状况</t>
  </si>
  <si>
    <t>较好</t>
  </si>
  <si>
    <t>一般</t>
  </si>
  <si>
    <t>较差</t>
  </si>
  <si>
    <t>临路状况</t>
  </si>
  <si>
    <t>与区域中心的接近程度</t>
  </si>
  <si>
    <t>北京市基准地价商业用途楼层修正系数表</t>
  </si>
  <si>
    <t>所在楼层</t>
  </si>
  <si>
    <r>
      <rPr>
        <sz val="10"/>
        <color theme="1"/>
        <rFont val="宋体"/>
        <charset val="134"/>
        <scheme val="minor"/>
      </rPr>
      <t>商业R</t>
    </r>
    <r>
      <rPr>
        <sz val="10"/>
        <color indexed="8"/>
        <rFont val="仿宋_GB2312"/>
        <charset val="134"/>
      </rPr>
      <t>≥</t>
    </r>
    <r>
      <rPr>
        <sz val="10"/>
        <color indexed="8"/>
        <rFont val="宋体"/>
        <charset val="134"/>
      </rPr>
      <t>1</t>
    </r>
  </si>
  <si>
    <t>7层及以上</t>
  </si>
  <si>
    <r>
      <rPr>
        <sz val="10"/>
        <color theme="1"/>
        <rFont val="宋体"/>
        <charset val="134"/>
        <scheme val="minor"/>
      </rPr>
      <t>商业R</t>
    </r>
    <r>
      <rPr>
        <sz val="10"/>
        <color indexed="8"/>
        <rFont val="宋体"/>
        <charset val="134"/>
      </rPr>
      <t>&lt;1</t>
    </r>
  </si>
  <si>
    <t>地上第7层及以上各层</t>
  </si>
  <si>
    <t>说明：R为宗地地上容积率</t>
  </si>
  <si>
    <r>
      <rPr>
        <sz val="10"/>
        <rFont val="楷体_GB2312"/>
        <charset val="134"/>
      </rPr>
      <t>宗地容积率</t>
    </r>
    <r>
      <rPr>
        <sz val="10"/>
        <rFont val="Arial"/>
        <charset val="134"/>
      </rPr>
      <t>R</t>
    </r>
  </si>
  <si>
    <r>
      <rPr>
        <sz val="10"/>
        <rFont val="楷体_GB2312"/>
        <charset val="134"/>
      </rPr>
      <t>修正系数</t>
    </r>
  </si>
  <si>
    <r>
      <rPr>
        <sz val="10"/>
        <rFont val="楷体_GB2312"/>
        <charset val="134"/>
      </rPr>
      <t>商业</t>
    </r>
  </si>
  <si>
    <r>
      <rPr>
        <sz val="10"/>
        <rFont val="楷体_GB2312"/>
        <charset val="134"/>
      </rPr>
      <t>办公</t>
    </r>
  </si>
  <si>
    <r>
      <rPr>
        <sz val="10"/>
        <rFont val="楷体_GB2312"/>
        <charset val="134"/>
      </rPr>
      <t>工业</t>
    </r>
  </si>
  <si>
    <t>（规划）建筑面积（m2）</t>
  </si>
  <si>
    <t>（分摊）土地面积（m2）</t>
  </si>
  <si>
    <t>价值时点/估价期日</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</si>
  <si>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</si>
  <si>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</si>
  <si>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</si>
  <si>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</si>
  <si>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</si>
  <si>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</si>
  <si>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</si>
  <si>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</si>
  <si>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</si>
  <si>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</si>
  <si>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</si>
  <si>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</si>
  <si>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</si>
  <si>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</si>
  <si>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</si>
  <si>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</si>
  <si>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</si>
  <si>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</si>
  <si>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</si>
  <si>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</si>
  <si>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</si>
  <si>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</si>
  <si>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</si>
  <si>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</si>
  <si>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估价结果（过程）</t>
  </si>
  <si>
    <t>估价对象范围</t>
  </si>
  <si>
    <t>项目局部</t>
  </si>
  <si>
    <t>估价对象状态</t>
  </si>
  <si>
    <r>
      <rPr>
        <sz val="10"/>
        <color indexed="8"/>
        <rFont val="仿宋_GB2312"/>
        <charset val="134"/>
      </rPr>
      <t>权重确定打分评价体系</t>
    </r>
  </si>
  <si>
    <r>
      <rPr>
        <sz val="11"/>
        <color indexed="8"/>
        <rFont val="仿宋_GB2312"/>
        <charset val="134"/>
      </rPr>
      <t>评价因素</t>
    </r>
  </si>
  <si>
    <r>
      <rPr>
        <sz val="11"/>
        <color indexed="8"/>
        <rFont val="仿宋_GB2312"/>
        <charset val="134"/>
      </rPr>
      <t>标准分值</t>
    </r>
  </si>
  <si>
    <t>剩余法-待开发</t>
  </si>
  <si>
    <r>
      <rPr>
        <sz val="10"/>
        <color indexed="8"/>
        <rFont val="仿宋_GB2312"/>
        <charset val="134"/>
      </rPr>
      <t>打分考虑因素</t>
    </r>
  </si>
  <si>
    <r>
      <rPr>
        <sz val="11"/>
        <color indexed="8"/>
        <rFont val="仿宋_GB2312"/>
        <charset val="134"/>
      </rPr>
      <t>估价方法的代表性</t>
    </r>
  </si>
  <si>
    <r>
      <rPr>
        <sz val="10"/>
        <color indexed="8"/>
        <rFont val="Arial"/>
        <charset val="134"/>
      </rPr>
      <t>1.</t>
    </r>
    <r>
      <rPr>
        <sz val="10"/>
        <color indexed="8"/>
        <rFont val="仿宋_GB2312"/>
        <charset val="134"/>
      </rPr>
      <t>估价方法选取分析</t>
    </r>
    <r>
      <rPr>
        <b/>
        <sz val="10"/>
        <color indexed="8"/>
        <rFont val="仿宋_GB2312"/>
        <charset val="134"/>
      </rPr>
      <t>充分、合理</t>
    </r>
    <r>
      <rPr>
        <sz val="10"/>
        <color indexed="8"/>
        <rFont val="仿宋_GB2312"/>
        <charset val="134"/>
      </rPr>
      <t>，取</t>
    </r>
    <r>
      <rPr>
        <sz val="10"/>
        <color indexed="8"/>
        <rFont val="Arial"/>
        <charset val="134"/>
      </rPr>
      <t>20</t>
    </r>
    <r>
      <rPr>
        <sz val="10"/>
        <color indexed="8"/>
        <rFont val="仿宋_GB2312"/>
        <charset val="134"/>
      </rPr>
      <t>～</t>
    </r>
    <r>
      <rPr>
        <sz val="10"/>
        <color indexed="8"/>
        <rFont val="Arial"/>
        <charset val="134"/>
      </rPr>
      <t>25</t>
    </r>
    <r>
      <rPr>
        <sz val="10"/>
        <color indexed="8"/>
        <rFont val="仿宋_GB2312"/>
        <charset val="134"/>
      </rPr>
      <t>分；</t>
    </r>
  </si>
  <si>
    <r>
      <rPr>
        <sz val="10"/>
        <color indexed="8"/>
        <rFont val="Arial"/>
        <charset val="134"/>
      </rPr>
      <t>2.</t>
    </r>
    <r>
      <rPr>
        <sz val="10"/>
        <color indexed="8"/>
        <rFont val="仿宋_GB2312"/>
        <charset val="134"/>
      </rPr>
      <t>估价方法选取分析</t>
    </r>
    <r>
      <rPr>
        <b/>
        <sz val="10"/>
        <color indexed="8"/>
        <rFont val="仿宋_GB2312"/>
        <charset val="134"/>
      </rPr>
      <t>较充分、合理</t>
    </r>
    <r>
      <rPr>
        <sz val="10"/>
        <color indexed="8"/>
        <rFont val="仿宋_GB2312"/>
        <charset val="134"/>
      </rPr>
      <t>，取</t>
    </r>
    <r>
      <rPr>
        <sz val="10"/>
        <color indexed="8"/>
        <rFont val="Arial"/>
        <charset val="134"/>
      </rPr>
      <t>10</t>
    </r>
    <r>
      <rPr>
        <sz val="10"/>
        <color indexed="8"/>
        <rFont val="仿宋_GB2312"/>
        <charset val="134"/>
      </rPr>
      <t>～</t>
    </r>
    <r>
      <rPr>
        <sz val="10"/>
        <color indexed="8"/>
        <rFont val="Arial"/>
        <charset val="134"/>
      </rPr>
      <t>19</t>
    </r>
    <r>
      <rPr>
        <sz val="10"/>
        <color indexed="8"/>
        <rFont val="仿宋_GB2312"/>
        <charset val="134"/>
      </rPr>
      <t>分；</t>
    </r>
  </si>
  <si>
    <r>
      <rPr>
        <sz val="10"/>
        <color indexed="8"/>
        <rFont val="Arial"/>
        <charset val="134"/>
      </rPr>
      <t>3.</t>
    </r>
    <r>
      <rPr>
        <sz val="10"/>
        <color indexed="8"/>
        <rFont val="仿宋_GB2312"/>
        <charset val="134"/>
      </rPr>
      <t>估价方法选取分析</t>
    </r>
    <r>
      <rPr>
        <b/>
        <sz val="10"/>
        <color indexed="8"/>
        <rFont val="仿宋_GB2312"/>
        <charset val="134"/>
      </rPr>
      <t>较不充分</t>
    </r>
    <r>
      <rPr>
        <sz val="10"/>
        <color indexed="8"/>
        <rFont val="仿宋_GB2312"/>
        <charset val="134"/>
      </rPr>
      <t>，取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</si>
  <si>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估价方法所要求的估价资料的完整性</t>
    </r>
  </si>
  <si>
    <r>
      <rPr>
        <sz val="10"/>
        <color indexed="8"/>
        <rFont val="Arial"/>
        <charset val="134"/>
      </rPr>
      <t>1.</t>
    </r>
    <r>
      <rPr>
        <sz val="10"/>
        <color indexed="8"/>
        <rFont val="仿宋_GB2312"/>
        <charset val="134"/>
      </rPr>
      <t>估价资料</t>
    </r>
    <r>
      <rPr>
        <b/>
        <sz val="10"/>
        <color indexed="8"/>
        <rFont val="仿宋_GB2312"/>
        <charset val="134"/>
      </rPr>
      <t>完整</t>
    </r>
    <r>
      <rPr>
        <sz val="10"/>
        <color indexed="8"/>
        <rFont val="仿宋_GB2312"/>
        <charset val="134"/>
      </rPr>
      <t>，来源依据充分，取</t>
    </r>
    <r>
      <rPr>
        <sz val="10"/>
        <color indexed="8"/>
        <rFont val="Arial"/>
        <charset val="134"/>
      </rPr>
      <t>10</t>
    </r>
    <r>
      <rPr>
        <sz val="10"/>
        <color indexed="8"/>
        <rFont val="仿宋_GB2312"/>
        <charset val="134"/>
      </rPr>
      <t>～</t>
    </r>
    <r>
      <rPr>
        <sz val="10"/>
        <color indexed="8"/>
        <rFont val="Arial"/>
        <charset val="134"/>
      </rPr>
      <t>15</t>
    </r>
    <r>
      <rPr>
        <sz val="10"/>
        <color indexed="8"/>
        <rFont val="仿宋_GB2312"/>
        <charset val="134"/>
      </rPr>
      <t>分；</t>
    </r>
  </si>
  <si>
    <r>
      <rPr>
        <sz val="10"/>
        <color indexed="8"/>
        <rFont val="Arial"/>
        <charset val="134"/>
      </rPr>
      <t>2.</t>
    </r>
    <r>
      <rPr>
        <sz val="10"/>
        <color indexed="8"/>
        <rFont val="仿宋_GB2312"/>
        <charset val="134"/>
      </rPr>
      <t>估价资料有</t>
    </r>
    <r>
      <rPr>
        <b/>
        <sz val="10"/>
        <color indexed="8"/>
        <rFont val="仿宋_GB2312"/>
        <charset val="134"/>
      </rPr>
      <t>欠缺</t>
    </r>
    <r>
      <rPr>
        <sz val="10"/>
        <color indexed="8"/>
        <rFont val="仿宋_GB2312"/>
        <charset val="134"/>
      </rPr>
      <t>，来源依据较不充分，取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</si>
  <si>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参数选取的客观性</t>
    </r>
  </si>
  <si>
    <r>
      <rPr>
        <sz val="10"/>
        <color indexed="8"/>
        <rFont val="Arial"/>
        <charset val="134"/>
      </rPr>
      <t>1.</t>
    </r>
    <r>
      <rPr>
        <sz val="10"/>
        <color indexed="8"/>
        <rFont val="仿宋_GB2312"/>
        <charset val="134"/>
      </rPr>
      <t>参数从</t>
    </r>
    <r>
      <rPr>
        <b/>
        <sz val="10"/>
        <color indexed="8"/>
        <rFont val="仿宋_GB2312"/>
        <charset val="134"/>
      </rPr>
      <t>市场上获取</t>
    </r>
    <r>
      <rPr>
        <sz val="10"/>
        <color indexed="8"/>
        <rFont val="仿宋_GB2312"/>
        <charset val="134"/>
      </rPr>
      <t>，或从权威机构发布的信息上获取，取</t>
    </r>
    <r>
      <rPr>
        <sz val="10"/>
        <color indexed="8"/>
        <rFont val="Arial"/>
        <charset val="134"/>
      </rPr>
      <t>10</t>
    </r>
    <r>
      <rPr>
        <sz val="10"/>
        <color indexed="8"/>
        <rFont val="仿宋_GB2312"/>
        <charset val="134"/>
      </rPr>
      <t>～</t>
    </r>
    <r>
      <rPr>
        <sz val="10"/>
        <color indexed="8"/>
        <rFont val="Arial"/>
        <charset val="134"/>
      </rPr>
      <t>15</t>
    </r>
    <r>
      <rPr>
        <sz val="10"/>
        <color indexed="8"/>
        <rFont val="仿宋_GB2312"/>
        <charset val="134"/>
      </rPr>
      <t>分；</t>
    </r>
  </si>
  <si>
    <r>
      <rPr>
        <sz val="10"/>
        <color indexed="8"/>
        <rFont val="Arial"/>
        <charset val="134"/>
      </rPr>
      <t>2.</t>
    </r>
    <r>
      <rPr>
        <sz val="10"/>
        <color indexed="8"/>
        <rFont val="仿宋_GB2312"/>
        <charset val="134"/>
      </rPr>
      <t>部分参数为</t>
    </r>
    <r>
      <rPr>
        <b/>
        <sz val="10"/>
        <color indexed="8"/>
        <rFont val="仿宋_GB2312"/>
        <charset val="134"/>
      </rPr>
      <t>自行分析</t>
    </r>
    <r>
      <rPr>
        <sz val="10"/>
        <color indexed="8"/>
        <rFont val="仿宋_GB2312"/>
        <charset val="134"/>
      </rPr>
      <t>取得，理由较充分，取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</si>
  <si>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参数确定的时效性</t>
    </r>
  </si>
  <si>
    <r>
      <rPr>
        <sz val="10"/>
        <color indexed="8"/>
        <rFont val="Arial"/>
        <charset val="134"/>
      </rPr>
      <t>1.</t>
    </r>
    <r>
      <rPr>
        <sz val="10"/>
        <color indexed="8"/>
        <rFont val="仿宋_GB2312"/>
        <charset val="134"/>
      </rPr>
      <t>参数在规定的时效范围内，且距估价期日</t>
    </r>
    <r>
      <rPr>
        <b/>
        <sz val="10"/>
        <color indexed="8"/>
        <rFont val="仿宋_GB2312"/>
        <charset val="134"/>
      </rPr>
      <t>未超过</t>
    </r>
    <r>
      <rPr>
        <b/>
        <sz val="10"/>
        <color indexed="8"/>
        <rFont val="Arial"/>
        <charset val="134"/>
      </rPr>
      <t>1</t>
    </r>
    <r>
      <rPr>
        <b/>
        <sz val="10"/>
        <color indexed="8"/>
        <rFont val="仿宋_GB2312"/>
        <charset val="134"/>
      </rPr>
      <t>年</t>
    </r>
    <r>
      <rPr>
        <sz val="10"/>
        <color indexed="8"/>
        <rFont val="仿宋_GB2312"/>
        <charset val="134"/>
      </rPr>
      <t>，取</t>
    </r>
    <r>
      <rPr>
        <sz val="10"/>
        <color indexed="8"/>
        <rFont val="Arial"/>
        <charset val="134"/>
      </rPr>
      <t>10</t>
    </r>
    <r>
      <rPr>
        <sz val="10"/>
        <color indexed="8"/>
        <rFont val="仿宋_GB2312"/>
        <charset val="134"/>
      </rPr>
      <t>～</t>
    </r>
    <r>
      <rPr>
        <sz val="10"/>
        <color indexed="8"/>
        <rFont val="Arial"/>
        <charset val="134"/>
      </rPr>
      <t>15</t>
    </r>
    <r>
      <rPr>
        <sz val="10"/>
        <color indexed="8"/>
        <rFont val="仿宋_GB2312"/>
        <charset val="134"/>
      </rPr>
      <t>分；</t>
    </r>
  </si>
  <si>
    <r>
      <rPr>
        <sz val="10"/>
        <color indexed="8"/>
        <rFont val="Arial"/>
        <charset val="134"/>
      </rPr>
      <t>2.</t>
    </r>
    <r>
      <rPr>
        <sz val="10"/>
        <color indexed="8"/>
        <rFont val="仿宋_GB2312"/>
        <charset val="134"/>
      </rPr>
      <t>参数在规定的时效范围内，但距估价期日</t>
    </r>
    <r>
      <rPr>
        <b/>
        <sz val="10"/>
        <color indexed="8"/>
        <rFont val="仿宋_GB2312"/>
        <charset val="134"/>
      </rPr>
      <t>超过</t>
    </r>
    <r>
      <rPr>
        <b/>
        <sz val="10"/>
        <color indexed="8"/>
        <rFont val="Arial"/>
        <charset val="134"/>
      </rPr>
      <t>1</t>
    </r>
    <r>
      <rPr>
        <b/>
        <sz val="10"/>
        <color indexed="8"/>
        <rFont val="仿宋_GB2312"/>
        <charset val="134"/>
      </rPr>
      <t>年</t>
    </r>
    <r>
      <rPr>
        <sz val="10"/>
        <color indexed="8"/>
        <rFont val="仿宋_GB2312"/>
        <charset val="134"/>
      </rPr>
      <t>，取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</si>
  <si>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sz val="11"/>
        <color indexed="8"/>
        <rFont val="仿宋_GB2312"/>
        <charset val="134"/>
      </rPr>
      <t>估价结果的现势性</t>
    </r>
  </si>
  <si>
    <r>
      <rPr>
        <sz val="10"/>
        <color indexed="8"/>
        <rFont val="Arial"/>
        <charset val="134"/>
      </rPr>
      <t>1.</t>
    </r>
    <r>
      <rPr>
        <sz val="10"/>
        <color indexed="8"/>
        <rFont val="仿宋_GB2312"/>
        <charset val="134"/>
      </rPr>
      <t>估价结果与同类用途房地产市场</t>
    </r>
    <r>
      <rPr>
        <b/>
        <sz val="10"/>
        <color indexed="8"/>
        <rFont val="仿宋_GB2312"/>
        <charset val="134"/>
      </rPr>
      <t>价格水平一致</t>
    </r>
    <r>
      <rPr>
        <sz val="10"/>
        <color indexed="8"/>
        <rFont val="仿宋_GB2312"/>
        <charset val="134"/>
      </rPr>
      <t>，且考虑了房地产市场发展趋势，取</t>
    </r>
    <r>
      <rPr>
        <sz val="10"/>
        <color indexed="8"/>
        <rFont val="Arial"/>
        <charset val="134"/>
      </rPr>
      <t>20</t>
    </r>
    <r>
      <rPr>
        <sz val="10"/>
        <color indexed="8"/>
        <rFont val="仿宋_GB2312"/>
        <charset val="134"/>
      </rPr>
      <t>～</t>
    </r>
    <r>
      <rPr>
        <sz val="10"/>
        <color indexed="8"/>
        <rFont val="Arial"/>
        <charset val="134"/>
      </rPr>
      <t>30</t>
    </r>
    <r>
      <rPr>
        <sz val="10"/>
        <color indexed="8"/>
        <rFont val="仿宋_GB2312"/>
        <charset val="134"/>
      </rPr>
      <t>分；</t>
    </r>
  </si>
  <si>
    <r>
      <rPr>
        <sz val="10"/>
        <color indexed="8"/>
        <rFont val="Arial"/>
        <charset val="134"/>
      </rPr>
      <t>2.</t>
    </r>
    <r>
      <rPr>
        <sz val="10"/>
        <color indexed="8"/>
        <rFont val="仿宋_GB2312"/>
        <charset val="134"/>
      </rPr>
      <t>估价结果与同类用途房地产价格</t>
    </r>
    <r>
      <rPr>
        <b/>
        <sz val="10"/>
        <color indexed="8"/>
        <rFont val="仿宋_GB2312"/>
        <charset val="134"/>
      </rPr>
      <t>水平基本一致</t>
    </r>
    <r>
      <rPr>
        <sz val="10"/>
        <color indexed="8"/>
        <rFont val="仿宋_GB2312"/>
        <charset val="134"/>
      </rPr>
      <t>，且适当考虑了房地产市场发展趋势，取</t>
    </r>
    <r>
      <rPr>
        <sz val="10"/>
        <color indexed="8"/>
        <rFont val="Arial"/>
        <charset val="134"/>
      </rPr>
      <t>10</t>
    </r>
    <r>
      <rPr>
        <sz val="10"/>
        <color indexed="8"/>
        <rFont val="仿宋_GB2312"/>
        <charset val="134"/>
      </rPr>
      <t>～</t>
    </r>
    <r>
      <rPr>
        <sz val="10"/>
        <color indexed="8"/>
        <rFont val="Arial"/>
        <charset val="134"/>
      </rPr>
      <t>19</t>
    </r>
    <r>
      <rPr>
        <sz val="10"/>
        <color indexed="8"/>
        <rFont val="仿宋_GB2312"/>
        <charset val="134"/>
      </rPr>
      <t>分；</t>
    </r>
  </si>
  <si>
    <r>
      <rPr>
        <sz val="10"/>
        <color indexed="8"/>
        <rFont val="Arial"/>
        <charset val="134"/>
      </rPr>
      <t>3.</t>
    </r>
    <r>
      <rPr>
        <sz val="10"/>
        <color indexed="8"/>
        <rFont val="仿宋_GB2312"/>
        <charset val="134"/>
      </rPr>
      <t>估价结果与同类用途房地产</t>
    </r>
    <r>
      <rPr>
        <b/>
        <sz val="10"/>
        <color indexed="8"/>
        <rFont val="仿宋_GB2312"/>
        <charset val="134"/>
      </rPr>
      <t>价格水平有一定差距</t>
    </r>
    <r>
      <rPr>
        <sz val="10"/>
        <color indexed="8"/>
        <rFont val="仿宋_GB2312"/>
        <charset val="134"/>
      </rPr>
      <t>，且适当考虑房地产市场发展趋势，取</t>
    </r>
    <r>
      <rPr>
        <sz val="10"/>
        <color indexed="8"/>
        <rFont val="Arial"/>
        <charset val="134"/>
      </rPr>
      <t>0</t>
    </r>
    <r>
      <rPr>
        <sz val="10"/>
        <color indexed="8"/>
        <rFont val="仿宋_GB2312"/>
        <charset val="134"/>
      </rPr>
      <t>～</t>
    </r>
    <r>
      <rPr>
        <sz val="10"/>
        <color indexed="8"/>
        <rFont val="Arial"/>
        <charset val="134"/>
      </rPr>
      <t>9</t>
    </r>
    <r>
      <rPr>
        <sz val="10"/>
        <color indexed="8"/>
        <rFont val="仿宋_GB2312"/>
        <charset val="134"/>
      </rPr>
      <t>分；</t>
    </r>
  </si>
  <si>
    <r>
      <rPr>
        <b/>
        <sz val="11"/>
        <color indexed="8"/>
        <rFont val="仿宋_GB2312"/>
        <charset val="134"/>
      </rPr>
      <t>分值</t>
    </r>
  </si>
  <si>
    <r>
      <rPr>
        <b/>
        <sz val="11"/>
        <color indexed="8"/>
        <rFont val="仿宋_GB2312"/>
        <charset val="134"/>
      </rPr>
      <t>权重</t>
    </r>
  </si>
  <si>
    <t>★此处仍为计算过程，权重结果非最终结果，总价和单价分别为各自权重值，无直接关联★</t>
  </si>
  <si>
    <r>
      <rPr>
        <b/>
        <sz val="11"/>
        <color indexed="8"/>
        <rFont val="仿宋_GB2312"/>
        <charset val="134"/>
      </rPr>
      <t>各方法结果</t>
    </r>
  </si>
  <si>
    <r>
      <rPr>
        <sz val="11"/>
        <color indexed="8"/>
        <rFont val="仿宋_GB2312"/>
        <charset val="134"/>
      </rPr>
      <t>总价</t>
    </r>
  </si>
  <si>
    <r>
      <rPr>
        <b/>
        <sz val="11"/>
        <color indexed="8"/>
        <rFont val="仿宋_GB2312"/>
        <charset val="134"/>
      </rPr>
      <t>权重结果</t>
    </r>
  </si>
  <si>
    <r>
      <rPr>
        <sz val="10"/>
        <color indexed="8"/>
        <rFont val="仿宋_GB2312"/>
        <charset val="134"/>
      </rPr>
      <t>万元</t>
    </r>
  </si>
  <si>
    <r>
      <rPr>
        <sz val="10"/>
        <color indexed="8"/>
        <rFont val="仿宋_GB2312"/>
        <charset val="134"/>
      </rPr>
      <t>元</t>
    </r>
    <r>
      <rPr>
        <sz val="10"/>
        <color indexed="8"/>
        <rFont val="Arial"/>
        <charset val="134"/>
      </rPr>
      <t>/</t>
    </r>
    <r>
      <rPr>
        <sz val="10"/>
        <color indexed="8"/>
        <rFont val="仿宋_GB2312"/>
        <charset val="134"/>
      </rPr>
      <t>平方米</t>
    </r>
  </si>
  <si>
    <r>
      <rPr>
        <b/>
        <sz val="11"/>
        <color indexed="8"/>
        <rFont val="仿宋_GB2312"/>
        <charset val="134"/>
      </rPr>
      <t>各方法结果差值</t>
    </r>
  </si>
  <si>
    <r>
      <rPr>
        <sz val="10"/>
        <color indexed="8"/>
        <rFont val="仿宋_GB2312"/>
        <charset val="134"/>
      </rPr>
      <t>万元</t>
    </r>
    <r>
      <rPr>
        <sz val="10"/>
        <color indexed="8"/>
        <rFont val="Arial"/>
        <charset val="134"/>
      </rPr>
      <t>/</t>
    </r>
    <r>
      <rPr>
        <sz val="10"/>
        <color indexed="8"/>
        <rFont val="仿宋_GB2312"/>
        <charset val="134"/>
      </rPr>
      <t>亩</t>
    </r>
  </si>
  <si>
    <r>
      <rPr>
        <b/>
        <sz val="11"/>
        <color indexed="8"/>
        <rFont val="仿宋_GB2312"/>
        <charset val="134"/>
      </rPr>
      <t>扣减项</t>
    </r>
    <r>
      <rPr>
        <b/>
        <sz val="11"/>
        <color indexed="8"/>
        <rFont val="Arial"/>
        <charset val="134"/>
      </rPr>
      <t>(</t>
    </r>
    <r>
      <rPr>
        <b/>
        <sz val="11"/>
        <color indexed="8"/>
        <rFont val="仿宋_GB2312"/>
        <charset val="134"/>
      </rPr>
      <t>出让金、平整费用等</t>
    </r>
    <r>
      <rPr>
        <b/>
        <sz val="11"/>
        <color indexed="8"/>
        <rFont val="Arial"/>
        <charset val="134"/>
      </rPr>
      <t>)</t>
    </r>
  </si>
  <si>
    <r>
      <rPr>
        <sz val="11"/>
        <color indexed="10"/>
        <rFont val="仿宋_GB2312"/>
        <charset val="134"/>
      </rPr>
      <t>扣减项</t>
    </r>
  </si>
  <si>
    <r>
      <rPr>
        <sz val="11"/>
        <color indexed="10"/>
        <rFont val="仿宋_GB2312"/>
        <charset val="134"/>
      </rPr>
      <t>面积</t>
    </r>
  </si>
  <si>
    <r>
      <rPr>
        <sz val="11"/>
        <color indexed="10"/>
        <rFont val="仿宋_GB2312"/>
        <charset val="134"/>
      </rPr>
      <t>单价</t>
    </r>
  </si>
  <si>
    <r>
      <rPr>
        <sz val="11"/>
        <color indexed="10"/>
        <rFont val="仿宋_GB2312"/>
        <charset val="134"/>
      </rPr>
      <t>总值</t>
    </r>
  </si>
  <si>
    <r>
      <rPr>
        <sz val="11"/>
        <color indexed="10"/>
        <rFont val="仿宋_GB2312"/>
        <charset val="134"/>
      </rPr>
      <t>合计</t>
    </r>
  </si>
  <si>
    <t>★合计部分请自行录入公式，很重要，与C32结果相关★</t>
  </si>
  <si>
    <t>★此线以下显示的为最终结果★</t>
  </si>
  <si>
    <r>
      <rPr>
        <b/>
        <sz val="11"/>
        <color indexed="8"/>
        <rFont val="仿宋_GB2312"/>
        <charset val="134"/>
      </rPr>
      <t>土地价格</t>
    </r>
  </si>
  <si>
    <r>
      <rPr>
        <b/>
        <sz val="11"/>
        <color indexed="8"/>
        <rFont val="仿宋_GB2312"/>
        <charset val="134"/>
      </rPr>
      <t>总价</t>
    </r>
  </si>
  <si>
    <r>
      <rPr>
        <b/>
        <sz val="10"/>
        <color indexed="8"/>
        <rFont val="仿宋_GB2312"/>
        <charset val="134"/>
      </rPr>
      <t>万元</t>
    </r>
  </si>
  <si>
    <r>
      <rPr>
        <b/>
        <sz val="8"/>
        <color indexed="8"/>
        <rFont val="仿宋_GB2312"/>
        <charset val="134"/>
      </rPr>
      <t>权重结果</t>
    </r>
    <r>
      <rPr>
        <b/>
        <sz val="8"/>
        <color indexed="8"/>
        <rFont val="Arial"/>
        <charset val="134"/>
      </rPr>
      <t>-</t>
    </r>
    <r>
      <rPr>
        <b/>
        <sz val="8"/>
        <color indexed="8"/>
        <rFont val="仿宋_GB2312"/>
        <charset val="134"/>
      </rPr>
      <t>扣减项</t>
    </r>
  </si>
  <si>
    <r>
      <rPr>
        <b/>
        <sz val="11"/>
        <color indexed="8"/>
        <rFont val="仿宋_GB2312"/>
        <charset val="134"/>
      </rPr>
      <t>楼面地价</t>
    </r>
  </si>
  <si>
    <r>
      <rPr>
        <b/>
        <sz val="10"/>
        <color indexed="8"/>
        <rFont val="仿宋_GB2312"/>
        <charset val="134"/>
      </rPr>
      <t>元</t>
    </r>
    <r>
      <rPr>
        <b/>
        <sz val="10"/>
        <color indexed="8"/>
        <rFont val="Arial"/>
        <charset val="134"/>
      </rPr>
      <t>/</t>
    </r>
    <r>
      <rPr>
        <b/>
        <sz val="10"/>
        <color indexed="8"/>
        <rFont val="仿宋_GB2312"/>
        <charset val="134"/>
      </rPr>
      <t>平方米</t>
    </r>
  </si>
  <si>
    <r>
      <rPr>
        <b/>
        <sz val="11"/>
        <color indexed="8"/>
        <rFont val="仿宋_GB2312"/>
        <charset val="134"/>
      </rPr>
      <t>优先受偿情况</t>
    </r>
  </si>
  <si>
    <r>
      <rPr>
        <sz val="11"/>
        <color indexed="8"/>
        <rFont val="仿宋_GB2312"/>
        <charset val="134"/>
      </rPr>
      <t>已抵押担保数额</t>
    </r>
  </si>
  <si>
    <r>
      <rPr>
        <b/>
        <sz val="11"/>
        <color indexed="8"/>
        <rFont val="仿宋_GB2312"/>
        <charset val="134"/>
      </rPr>
      <t>单位面积地价</t>
    </r>
  </si>
  <si>
    <r>
      <rPr>
        <sz val="11"/>
        <color indexed="8"/>
        <rFont val="仿宋_GB2312"/>
        <charset val="134"/>
      </rPr>
      <t>拖欠工程款</t>
    </r>
  </si>
  <si>
    <r>
      <rPr>
        <b/>
        <sz val="10"/>
        <color indexed="8"/>
        <rFont val="仿宋_GB2312"/>
        <charset val="134"/>
      </rPr>
      <t>万元</t>
    </r>
    <r>
      <rPr>
        <b/>
        <sz val="10"/>
        <color indexed="8"/>
        <rFont val="Arial"/>
        <charset val="134"/>
      </rPr>
      <t>/</t>
    </r>
    <r>
      <rPr>
        <b/>
        <sz val="10"/>
        <color indexed="8"/>
        <rFont val="仿宋_GB2312"/>
        <charset val="134"/>
      </rPr>
      <t>亩</t>
    </r>
  </si>
  <si>
    <r>
      <rPr>
        <sz val="11"/>
        <color indexed="8"/>
        <rFont val="仿宋_GB2312"/>
        <charset val="134"/>
      </rPr>
      <t>其他</t>
    </r>
  </si>
  <si>
    <r>
      <rPr>
        <sz val="11"/>
        <color indexed="8"/>
        <rFont val="仿宋_GB2312"/>
        <charset val="134"/>
      </rPr>
      <t>补交地价款</t>
    </r>
  </si>
  <si>
    <r>
      <rPr>
        <sz val="9"/>
        <color indexed="8"/>
        <rFont val="仿宋_GB2312"/>
        <charset val="134"/>
      </rPr>
      <t>土地面积</t>
    </r>
    <r>
      <rPr>
        <sz val="9"/>
        <color indexed="8"/>
        <rFont val="Arial"/>
        <charset val="134"/>
      </rPr>
      <t>/</t>
    </r>
    <r>
      <rPr>
        <sz val="9"/>
        <color indexed="8"/>
        <rFont val="仿宋_GB2312"/>
        <charset val="134"/>
      </rPr>
      <t>㎡</t>
    </r>
  </si>
  <si>
    <r>
      <rPr>
        <sz val="9"/>
        <color indexed="8"/>
        <rFont val="仿宋_GB2312"/>
        <charset val="134"/>
      </rPr>
      <t>规划建筑面积</t>
    </r>
    <r>
      <rPr>
        <sz val="9"/>
        <color indexed="8"/>
        <rFont val="Arial"/>
        <charset val="134"/>
      </rPr>
      <t>/</t>
    </r>
    <r>
      <rPr>
        <sz val="9"/>
        <color indexed="8"/>
        <rFont val="仿宋_GB2312"/>
        <charset val="134"/>
      </rPr>
      <t>㎡</t>
    </r>
  </si>
  <si>
    <r>
      <rPr>
        <sz val="9"/>
        <color indexed="8"/>
        <rFont val="仿宋_GB2312"/>
        <charset val="134"/>
      </rPr>
      <t>单位面积地价</t>
    </r>
    <r>
      <rPr>
        <sz val="9"/>
        <color indexed="8"/>
        <rFont val="Arial"/>
        <charset val="134"/>
      </rPr>
      <t>/</t>
    </r>
  </si>
  <si>
    <r>
      <rPr>
        <sz val="9"/>
        <color indexed="8"/>
        <rFont val="仿宋_GB2312"/>
        <charset val="134"/>
      </rPr>
      <t>楼面地价</t>
    </r>
    <r>
      <rPr>
        <sz val="9"/>
        <color indexed="8"/>
        <rFont val="Arial"/>
        <charset val="134"/>
      </rPr>
      <t>/</t>
    </r>
    <r>
      <rPr>
        <sz val="9"/>
        <color indexed="8"/>
        <rFont val="仿宋_GB2312"/>
        <charset val="134"/>
      </rPr>
      <t>元</t>
    </r>
    <r>
      <rPr>
        <sz val="9"/>
        <color indexed="8"/>
        <rFont val="Arial"/>
        <charset val="134"/>
      </rPr>
      <t>/</t>
    </r>
    <r>
      <rPr>
        <sz val="9"/>
        <color indexed="8"/>
        <rFont val="仿宋_GB2312"/>
        <charset val="134"/>
      </rPr>
      <t>㎡</t>
    </r>
  </si>
  <si>
    <r>
      <rPr>
        <sz val="9"/>
        <color indexed="8"/>
        <rFont val="仿宋_GB2312"/>
        <charset val="134"/>
      </rPr>
      <t>总地价</t>
    </r>
    <r>
      <rPr>
        <sz val="9"/>
        <color indexed="8"/>
        <rFont val="Arial"/>
        <charset val="134"/>
      </rPr>
      <t>/</t>
    </r>
    <r>
      <rPr>
        <sz val="9"/>
        <color indexed="8"/>
        <rFont val="仿宋_GB2312"/>
        <charset val="134"/>
      </rPr>
      <t>万元</t>
    </r>
  </si>
  <si>
    <r>
      <rPr>
        <b/>
        <sz val="11"/>
        <color indexed="8"/>
        <rFont val="仿宋_GB2312"/>
        <charset val="134"/>
      </rPr>
      <t>补交地价款</t>
    </r>
  </si>
  <si>
    <r>
      <rPr>
        <sz val="11"/>
        <color indexed="10"/>
        <rFont val="仿宋_GB2312"/>
        <charset val="134"/>
      </rPr>
      <t>税费</t>
    </r>
  </si>
  <si>
    <r>
      <rPr>
        <sz val="9"/>
        <color indexed="8"/>
        <rFont val="仿宋_GB2312"/>
        <charset val="134"/>
      </rPr>
      <t>元</t>
    </r>
    <r>
      <rPr>
        <sz val="9"/>
        <color indexed="8"/>
        <rFont val="Arial"/>
        <charset val="134"/>
      </rPr>
      <t>/</t>
    </r>
    <r>
      <rPr>
        <sz val="9"/>
        <color indexed="8"/>
        <rFont val="仿宋_GB2312"/>
        <charset val="134"/>
      </rPr>
      <t>㎡</t>
    </r>
  </si>
  <si>
    <r>
      <rPr>
        <sz val="10"/>
        <color indexed="8"/>
        <rFont val="Arial"/>
        <charset val="134"/>
      </rPr>
      <t>(</t>
    </r>
    <r>
      <rPr>
        <sz val="10"/>
        <color indexed="8"/>
        <rFont val="仿宋_GB2312"/>
        <charset val="134"/>
      </rPr>
      <t>列示计算过程</t>
    </r>
    <r>
      <rPr>
        <sz val="10"/>
        <color indexed="8"/>
        <rFont val="Arial"/>
        <charset val="134"/>
      </rPr>
      <t>,</t>
    </r>
  </si>
  <si>
    <r>
      <rPr>
        <sz val="10"/>
        <color indexed="8"/>
        <rFont val="仿宋_GB2312"/>
        <charset val="134"/>
      </rPr>
      <t>不固定格式</t>
    </r>
    <r>
      <rPr>
        <sz val="10"/>
        <color indexed="8"/>
        <rFont val="Arial"/>
        <charset val="134"/>
      </rPr>
      <t>)</t>
    </r>
  </si>
  <si>
    <r>
      <rPr>
        <b/>
        <sz val="14"/>
        <color indexed="10"/>
        <rFont val="仿宋_GB2312"/>
        <charset val="134"/>
      </rPr>
      <t>最终结果</t>
    </r>
  </si>
  <si>
    <r>
      <rPr>
        <b/>
        <sz val="12"/>
        <color indexed="8"/>
        <rFont val="仿宋_GB2312"/>
        <charset val="134"/>
      </rPr>
      <t>项目</t>
    </r>
  </si>
  <si>
    <r>
      <rPr>
        <b/>
        <sz val="12"/>
        <color indexed="8"/>
        <rFont val="仿宋_GB2312"/>
        <charset val="134"/>
      </rPr>
      <t>总额</t>
    </r>
  </si>
  <si>
    <r>
      <rPr>
        <b/>
        <sz val="12"/>
        <color indexed="8"/>
        <rFont val="仿宋_GB2312"/>
        <charset val="134"/>
      </rPr>
      <t>楼面地价</t>
    </r>
  </si>
  <si>
    <r>
      <rPr>
        <b/>
        <sz val="12"/>
        <color indexed="8"/>
        <rFont val="仿宋_GB2312"/>
        <charset val="134"/>
      </rPr>
      <t>单位面积地价</t>
    </r>
  </si>
  <si>
    <r>
      <rPr>
        <b/>
        <sz val="12"/>
        <color indexed="8"/>
        <rFont val="仿宋_GB2312"/>
        <charset val="134"/>
      </rPr>
      <t>每亩价格</t>
    </r>
  </si>
  <si>
    <r>
      <rPr>
        <b/>
        <sz val="11"/>
        <color indexed="8"/>
        <rFont val="Arial"/>
        <charset val="134"/>
      </rPr>
      <t>1.</t>
    </r>
    <r>
      <rPr>
        <b/>
        <sz val="11"/>
        <color indexed="8"/>
        <rFont val="仿宋_GB2312"/>
        <charset val="134"/>
      </rPr>
      <t>土地价格</t>
    </r>
  </si>
  <si>
    <r>
      <rPr>
        <sz val="12"/>
        <color indexed="8"/>
        <rFont val="仿宋_GB2312"/>
        <charset val="134"/>
      </rPr>
      <t>估价方法</t>
    </r>
  </si>
  <si>
    <r>
      <rPr>
        <sz val="12"/>
        <color indexed="8"/>
        <rFont val="仿宋_GB2312"/>
        <charset val="134"/>
      </rPr>
      <t>估价结果</t>
    </r>
    <r>
      <rPr>
        <sz val="12"/>
        <color indexed="8"/>
        <rFont val="Arial"/>
        <charset val="134"/>
      </rPr>
      <t>/</t>
    </r>
    <r>
      <rPr>
        <sz val="12"/>
        <color indexed="8"/>
        <rFont val="仿宋_GB2312"/>
        <charset val="134"/>
      </rPr>
      <t>万元</t>
    </r>
  </si>
  <si>
    <r>
      <rPr>
        <sz val="12"/>
        <color indexed="8"/>
        <rFont val="仿宋_GB2312"/>
        <charset val="134"/>
      </rPr>
      <t>权重</t>
    </r>
  </si>
  <si>
    <r>
      <rPr>
        <sz val="12"/>
        <color indexed="8"/>
        <rFont val="仿宋_GB2312"/>
        <charset val="134"/>
      </rPr>
      <t>测算结果</t>
    </r>
    <r>
      <rPr>
        <sz val="12"/>
        <color indexed="8"/>
        <rFont val="Arial"/>
        <charset val="134"/>
      </rPr>
      <t>/</t>
    </r>
    <r>
      <rPr>
        <sz val="12"/>
        <color indexed="8"/>
        <rFont val="仿宋_GB2312"/>
        <charset val="134"/>
      </rPr>
      <t>万元</t>
    </r>
  </si>
  <si>
    <r>
      <rPr>
        <sz val="12"/>
        <color indexed="8"/>
        <rFont val="仿宋_GB2312"/>
        <charset val="134"/>
      </rPr>
      <t>最终结果</t>
    </r>
    <r>
      <rPr>
        <sz val="12"/>
        <color indexed="8"/>
        <rFont val="Arial"/>
        <charset val="134"/>
      </rPr>
      <t>/</t>
    </r>
    <r>
      <rPr>
        <sz val="12"/>
        <color indexed="8"/>
        <rFont val="仿宋_GB2312"/>
        <charset val="134"/>
      </rPr>
      <t>万元</t>
    </r>
  </si>
  <si>
    <t>2.估价师知悉的法定优先受偿款</t>
  </si>
  <si>
    <r>
      <rPr>
        <b/>
        <u/>
        <sz val="12"/>
        <color indexed="8"/>
        <rFont val="仿宋_GB2312"/>
        <charset val="134"/>
      </rPr>
      <t>测算中的特殊事项处理：</t>
    </r>
  </si>
  <si>
    <r>
      <rPr>
        <b/>
        <u/>
        <sz val="12"/>
        <color indexed="8"/>
        <rFont val="仿宋_GB2312"/>
        <charset val="134"/>
      </rPr>
      <t>无</t>
    </r>
  </si>
  <si>
    <r>
      <rPr>
        <b/>
        <sz val="10"/>
        <color indexed="8"/>
        <rFont val="仿宋_GB2312"/>
        <charset val="134"/>
      </rPr>
      <t>测算人员：</t>
    </r>
    <r>
      <rPr>
        <b/>
        <sz val="10"/>
        <color indexed="8"/>
        <rFont val="Arial"/>
        <charset val="134"/>
      </rPr>
      <t xml:space="preserve">      </t>
    </r>
  </si>
  <si>
    <r>
      <rPr>
        <sz val="10"/>
        <color indexed="8"/>
        <rFont val="Arial"/>
        <charset val="134"/>
      </rPr>
      <t xml:space="preserve"> </t>
    </r>
    <r>
      <rPr>
        <sz val="10"/>
        <color indexed="8"/>
        <rFont val="仿宋_GB2312"/>
        <charset val="134"/>
      </rPr>
      <t>日期：</t>
    </r>
    <r>
      <rPr>
        <sz val="10"/>
        <color indexed="8"/>
        <rFont val="Arial"/>
        <charset val="134"/>
      </rPr>
      <t xml:space="preserve">  </t>
    </r>
    <r>
      <rPr>
        <sz val="10"/>
        <color indexed="8"/>
        <rFont val="仿宋_GB2312"/>
        <charset val="134"/>
      </rPr>
      <t>年</t>
    </r>
    <r>
      <rPr>
        <sz val="10"/>
        <color indexed="8"/>
        <rFont val="Arial"/>
        <charset val="134"/>
      </rPr>
      <t xml:space="preserve">  </t>
    </r>
    <r>
      <rPr>
        <sz val="10"/>
        <color indexed="8"/>
        <rFont val="仿宋_GB2312"/>
        <charset val="134"/>
      </rPr>
      <t>月</t>
    </r>
    <r>
      <rPr>
        <sz val="10"/>
        <color indexed="8"/>
        <rFont val="Arial"/>
        <charset val="134"/>
      </rPr>
      <t xml:space="preserve">  </t>
    </r>
    <r>
      <rPr>
        <sz val="10"/>
        <color indexed="8"/>
        <rFont val="仿宋_GB2312"/>
        <charset val="134"/>
      </rPr>
      <t>日</t>
    </r>
  </si>
  <si>
    <r>
      <rPr>
        <b/>
        <sz val="10"/>
        <color indexed="8"/>
        <rFont val="仿宋_GB2312"/>
        <charset val="134"/>
      </rPr>
      <t>初审意见：</t>
    </r>
    <r>
      <rPr>
        <b/>
        <sz val="10"/>
        <color indexed="8"/>
        <rFont val="Arial"/>
        <charset val="134"/>
      </rPr>
      <t xml:space="preserve">      </t>
    </r>
  </si>
  <si>
    <r>
      <rPr>
        <sz val="10"/>
        <color indexed="8"/>
        <rFont val="仿宋_GB2312"/>
        <charset val="134"/>
      </rPr>
      <t>签字：</t>
    </r>
    <r>
      <rPr>
        <sz val="10"/>
        <color indexed="8"/>
        <rFont val="Arial"/>
        <charset val="134"/>
      </rPr>
      <t xml:space="preserve">                    </t>
    </r>
    <r>
      <rPr>
        <sz val="10"/>
        <color indexed="8"/>
        <rFont val="仿宋_GB2312"/>
        <charset val="134"/>
      </rPr>
      <t>日期：</t>
    </r>
    <r>
      <rPr>
        <sz val="10"/>
        <color indexed="8"/>
        <rFont val="Arial"/>
        <charset val="134"/>
      </rPr>
      <t xml:space="preserve">  </t>
    </r>
    <r>
      <rPr>
        <sz val="10"/>
        <color indexed="8"/>
        <rFont val="仿宋_GB2312"/>
        <charset val="134"/>
      </rPr>
      <t>年</t>
    </r>
    <r>
      <rPr>
        <sz val="10"/>
        <color indexed="8"/>
        <rFont val="Arial"/>
        <charset val="134"/>
      </rPr>
      <t xml:space="preserve">  </t>
    </r>
    <r>
      <rPr>
        <sz val="10"/>
        <color indexed="8"/>
        <rFont val="仿宋_GB2312"/>
        <charset val="134"/>
      </rPr>
      <t>月</t>
    </r>
    <r>
      <rPr>
        <sz val="10"/>
        <color indexed="8"/>
        <rFont val="Arial"/>
        <charset val="134"/>
      </rPr>
      <t xml:space="preserve">  </t>
    </r>
    <r>
      <rPr>
        <sz val="10"/>
        <color indexed="8"/>
        <rFont val="仿宋_GB2312"/>
        <charset val="134"/>
      </rPr>
      <t>日</t>
    </r>
  </si>
  <si>
    <r>
      <rPr>
        <b/>
        <sz val="10"/>
        <color indexed="8"/>
        <rFont val="仿宋_GB2312"/>
        <charset val="134"/>
      </rPr>
      <t>终审意见：</t>
    </r>
    <r>
      <rPr>
        <b/>
        <sz val="10"/>
        <color indexed="8"/>
        <rFont val="Arial"/>
        <charset val="134"/>
      </rPr>
      <t xml:space="preserve">      </t>
    </r>
  </si>
  <si>
    <r>
      <rPr>
        <b/>
        <sz val="14"/>
        <color indexed="10"/>
        <rFont val="仿宋_GB2312"/>
        <charset val="134"/>
      </rPr>
      <t>抵押净值计算</t>
    </r>
  </si>
  <si>
    <r>
      <rPr>
        <b/>
        <sz val="10"/>
        <color indexed="8"/>
        <rFont val="仿宋_GB2312"/>
        <charset val="134"/>
      </rPr>
      <t>净值计算基数</t>
    </r>
    <r>
      <rPr>
        <b/>
        <sz val="10"/>
        <color indexed="8"/>
        <rFont val="Arial"/>
        <charset val="134"/>
      </rPr>
      <t>“</t>
    </r>
    <r>
      <rPr>
        <b/>
        <sz val="10"/>
        <color indexed="8"/>
        <rFont val="仿宋_GB2312"/>
        <charset val="134"/>
      </rPr>
      <t>房地产销售收入</t>
    </r>
    <r>
      <rPr>
        <b/>
        <sz val="10"/>
        <color indexed="8"/>
        <rFont val="Arial"/>
        <charset val="134"/>
      </rPr>
      <t>”</t>
    </r>
  </si>
  <si>
    <r>
      <rPr>
        <sz val="10"/>
        <color indexed="8"/>
        <rFont val="仿宋_GB2312"/>
        <charset val="134"/>
      </rPr>
      <t>按评估值的</t>
    </r>
  </si>
  <si>
    <r>
      <rPr>
        <sz val="10"/>
        <color indexed="8"/>
        <rFont val="仿宋_GB2312"/>
        <charset val="134"/>
      </rPr>
      <t>计算</t>
    </r>
  </si>
  <si>
    <r>
      <rPr>
        <b/>
        <sz val="10"/>
        <color indexed="8"/>
        <rFont val="仿宋_GB2312"/>
        <charset val="134"/>
      </rPr>
      <t>处置时需缴纳的相关税费</t>
    </r>
  </si>
  <si>
    <r>
      <rPr>
        <b/>
        <sz val="10"/>
        <color indexed="8"/>
        <rFont val="仿宋_GB2312"/>
        <charset val="134"/>
      </rPr>
      <t>预计处置时需缴纳的各项地价、税费清单计算明细表</t>
    </r>
  </si>
  <si>
    <r>
      <rPr>
        <b/>
        <sz val="10"/>
        <color indexed="8"/>
        <rFont val="仿宋_GB2312"/>
        <charset val="134"/>
      </rPr>
      <t>税（费）种</t>
    </r>
  </si>
  <si>
    <r>
      <rPr>
        <sz val="10"/>
        <color indexed="8"/>
        <rFont val="仿宋_GB2312"/>
        <charset val="134"/>
      </rPr>
      <t>金额</t>
    </r>
  </si>
  <si>
    <r>
      <rPr>
        <sz val="10"/>
        <color indexed="8"/>
        <rFont val="仿宋_GB2312"/>
        <charset val="134"/>
      </rPr>
      <t>计算方法</t>
    </r>
  </si>
  <si>
    <r>
      <rPr>
        <b/>
        <sz val="10"/>
        <color indexed="8"/>
        <rFont val="仿宋_GB2312"/>
        <charset val="134"/>
      </rPr>
      <t>税（费）率</t>
    </r>
  </si>
  <si>
    <r>
      <rPr>
        <sz val="10"/>
        <color indexed="8"/>
        <rFont val="仿宋_GB2312"/>
        <charset val="134"/>
      </rPr>
      <t>备注</t>
    </r>
  </si>
  <si>
    <r>
      <rPr>
        <b/>
        <sz val="10"/>
        <color indexed="8"/>
        <rFont val="仿宋_GB2312"/>
        <charset val="134"/>
      </rPr>
      <t>估价对象基本情况</t>
    </r>
  </si>
  <si>
    <r>
      <rPr>
        <sz val="10"/>
        <color indexed="8"/>
        <rFont val="Arial"/>
        <charset val="134"/>
      </rPr>
      <t>1.</t>
    </r>
    <r>
      <rPr>
        <sz val="10"/>
        <color indexed="8"/>
        <rFont val="仿宋_GB2312"/>
        <charset val="134"/>
      </rPr>
      <t>增值税及附加</t>
    </r>
  </si>
  <si>
    <r>
      <rPr>
        <sz val="10"/>
        <color indexed="10"/>
        <rFont val="仿宋_GB2312"/>
        <charset val="134"/>
      </rPr>
      <t>属于免缴时请录入面缴类别</t>
    </r>
  </si>
  <si>
    <r>
      <rPr>
        <b/>
        <sz val="10"/>
        <color indexed="8"/>
        <rFont val="仿宋_GB2312"/>
        <charset val="134"/>
      </rPr>
      <t>估价对象</t>
    </r>
  </si>
  <si>
    <r>
      <rPr>
        <sz val="10"/>
        <color indexed="8"/>
        <rFont val="仿宋_GB2312"/>
        <charset val="134"/>
      </rPr>
      <t>情况</t>
    </r>
    <r>
      <rPr>
        <sz val="10"/>
        <color indexed="8"/>
        <rFont val="Arial"/>
        <charset val="134"/>
      </rPr>
      <t>1</t>
    </r>
    <r>
      <rPr>
        <sz val="10"/>
        <color indexed="8"/>
        <rFont val="仿宋_GB2312"/>
        <charset val="134"/>
      </rPr>
      <t>：</t>
    </r>
  </si>
  <si>
    <r>
      <rPr>
        <sz val="10"/>
        <color indexed="8"/>
        <rFont val="仿宋_GB2312"/>
        <charset val="134"/>
      </rPr>
      <t>个人购买的</t>
    </r>
    <r>
      <rPr>
        <sz val="10"/>
        <color indexed="8"/>
        <rFont val="Arial"/>
        <charset val="134"/>
      </rPr>
      <t>2</t>
    </r>
    <r>
      <rPr>
        <sz val="10"/>
        <color indexed="8"/>
        <rFont val="仿宋_GB2312"/>
        <charset val="134"/>
      </rPr>
      <t>年以上的普通住宅（北上广深）</t>
    </r>
  </si>
  <si>
    <r>
      <rPr>
        <sz val="10"/>
        <color indexed="8"/>
        <rFont val="仿宋_GB2312"/>
        <charset val="134"/>
      </rPr>
      <t>免征</t>
    </r>
  </si>
  <si>
    <t>北京普宅标准：</t>
  </si>
  <si>
    <r>
      <rPr>
        <b/>
        <sz val="10"/>
        <color indexed="8"/>
        <rFont val="仿宋_GB2312"/>
        <charset val="134"/>
      </rPr>
      <t>价值时点</t>
    </r>
  </si>
  <si>
    <r>
      <rPr>
        <sz val="10"/>
        <color indexed="8"/>
        <rFont val="仿宋_GB2312"/>
        <charset val="134"/>
      </rPr>
      <t>个人购买的</t>
    </r>
    <r>
      <rPr>
        <sz val="10"/>
        <color indexed="8"/>
        <rFont val="Arial"/>
        <charset val="134"/>
      </rPr>
      <t>2</t>
    </r>
    <r>
      <rPr>
        <sz val="10"/>
        <color indexed="8"/>
        <rFont val="仿宋_GB2312"/>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</si>
  <si>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</si>
  <si>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indexed="8"/>
        <rFont val="仿宋_GB2312"/>
        <charset val="134"/>
      </rPr>
      <t>评估总值</t>
    </r>
  </si>
  <si>
    <r>
      <rPr>
        <sz val="10"/>
        <color indexed="8"/>
        <rFont val="仿宋_GB2312"/>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</si>
  <si>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</si>
  <si>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土地抵押价格</t>
  </si>
  <si>
    <r>
      <rPr>
        <sz val="10"/>
        <color indexed="8"/>
        <rFont val="仿宋_GB2312"/>
        <charset val="134"/>
      </rPr>
      <t>情况</t>
    </r>
    <r>
      <rPr>
        <sz val="10"/>
        <color indexed="8"/>
        <rFont val="Arial"/>
        <charset val="134"/>
      </rPr>
      <t>2</t>
    </r>
    <r>
      <rPr>
        <sz val="10"/>
        <color indexed="8"/>
        <rFont val="仿宋_GB2312"/>
        <charset val="134"/>
      </rPr>
      <t>：</t>
    </r>
  </si>
  <si>
    <r>
      <rPr>
        <sz val="10"/>
        <color indexed="8"/>
        <rFont val="仿宋_GB2312"/>
        <charset val="134"/>
      </rPr>
      <t>个人购买的不足</t>
    </r>
    <r>
      <rPr>
        <sz val="10"/>
        <color indexed="8"/>
        <rFont val="Arial"/>
        <charset val="134"/>
      </rPr>
      <t>2</t>
    </r>
    <r>
      <rPr>
        <sz val="10"/>
        <color indexed="8"/>
        <rFont val="仿宋_GB2312"/>
        <charset val="134"/>
      </rPr>
      <t>年的住宅</t>
    </r>
  </si>
  <si>
    <r>
      <rPr>
        <sz val="10"/>
        <color indexed="8"/>
        <rFont val="仿宋_GB2312"/>
        <charset val="134"/>
      </rPr>
      <t>全额计税</t>
    </r>
  </si>
  <si>
    <r>
      <rPr>
        <sz val="10"/>
        <color indexed="8"/>
        <rFont val="仿宋_GB2312"/>
        <charset val="134"/>
      </rPr>
      <t>情况</t>
    </r>
    <r>
      <rPr>
        <sz val="10"/>
        <color indexed="8"/>
        <rFont val="Arial"/>
        <charset val="134"/>
      </rPr>
      <t>3</t>
    </r>
    <r>
      <rPr>
        <sz val="10"/>
        <color indexed="8"/>
        <rFont val="仿宋_GB2312"/>
        <charset val="134"/>
      </rPr>
      <t>：</t>
    </r>
  </si>
  <si>
    <r>
      <rPr>
        <sz val="10"/>
        <color indexed="8"/>
        <rFont val="仿宋_GB2312"/>
        <charset val="134"/>
      </rPr>
      <t>除情况</t>
    </r>
    <r>
      <rPr>
        <sz val="10"/>
        <color indexed="8"/>
        <rFont val="Arial"/>
        <charset val="134"/>
      </rPr>
      <t>1</t>
    </r>
    <r>
      <rPr>
        <sz val="10"/>
        <color indexed="8"/>
        <rFont val="仿宋_GB2312"/>
        <charset val="134"/>
      </rPr>
      <t>、</t>
    </r>
    <r>
      <rPr>
        <sz val="10"/>
        <color indexed="8"/>
        <rFont val="Arial"/>
        <charset val="134"/>
      </rPr>
      <t>2</t>
    </r>
    <r>
      <rPr>
        <sz val="10"/>
        <color indexed="8"/>
        <rFont val="仿宋_GB2312"/>
        <charset val="134"/>
      </rPr>
      <t>以外的自建房</t>
    </r>
  </si>
  <si>
    <r>
      <rPr>
        <b/>
        <sz val="10"/>
        <color indexed="8"/>
        <rFont val="仿宋_GB2312"/>
        <charset val="134"/>
      </rPr>
      <t>序号</t>
    </r>
  </si>
  <si>
    <r>
      <rPr>
        <b/>
        <sz val="10"/>
        <color indexed="8"/>
        <rFont val="仿宋_GB2312"/>
        <charset val="134"/>
      </rPr>
      <t>金额（元）</t>
    </r>
  </si>
  <si>
    <r>
      <rPr>
        <b/>
        <sz val="10"/>
        <color indexed="8"/>
        <rFont val="仿宋_GB2312"/>
        <charset val="134"/>
      </rPr>
      <t>计算方法</t>
    </r>
  </si>
  <si>
    <r>
      <rPr>
        <sz val="10"/>
        <color indexed="8"/>
        <rFont val="仿宋_GB2312"/>
        <charset val="134"/>
      </rPr>
      <t>情况</t>
    </r>
    <r>
      <rPr>
        <sz val="10"/>
        <color indexed="8"/>
        <rFont val="Arial"/>
        <charset val="134"/>
      </rPr>
      <t>4</t>
    </r>
    <r>
      <rPr>
        <sz val="10"/>
        <color indexed="8"/>
        <rFont val="仿宋_GB2312"/>
        <charset val="134"/>
      </rPr>
      <t>：</t>
    </r>
  </si>
  <si>
    <r>
      <rPr>
        <sz val="10"/>
        <color indexed="8"/>
        <rFont val="仿宋_GB2312"/>
        <charset val="134"/>
      </rPr>
      <t>除情况</t>
    </r>
    <r>
      <rPr>
        <sz val="10"/>
        <color indexed="8"/>
        <rFont val="Arial"/>
        <charset val="134"/>
      </rPr>
      <t>1</t>
    </r>
    <r>
      <rPr>
        <sz val="10"/>
        <color indexed="8"/>
        <rFont val="仿宋_GB2312"/>
        <charset val="134"/>
      </rPr>
      <t>、</t>
    </r>
    <r>
      <rPr>
        <sz val="10"/>
        <color indexed="8"/>
        <rFont val="Arial"/>
        <charset val="134"/>
      </rPr>
      <t>3</t>
    </r>
    <r>
      <rPr>
        <sz val="10"/>
        <color indexed="8"/>
        <rFont val="仿宋_GB2312"/>
        <charset val="134"/>
      </rPr>
      <t>以外的非自建房</t>
    </r>
  </si>
  <si>
    <r>
      <rPr>
        <sz val="10"/>
        <color indexed="8"/>
        <rFont val="仿宋_GB2312"/>
        <charset val="134"/>
      </rPr>
      <t>差额计税</t>
    </r>
  </si>
  <si>
    <r>
      <rPr>
        <sz val="10"/>
        <color indexed="8"/>
        <rFont val="仿宋_GB2312"/>
        <charset val="134"/>
      </rPr>
      <t>增值税及附加</t>
    </r>
  </si>
  <si>
    <r>
      <rPr>
        <sz val="10"/>
        <color indexed="8"/>
        <rFont val="Arial"/>
        <charset val="134"/>
      </rPr>
      <t>2.</t>
    </r>
    <r>
      <rPr>
        <sz val="10"/>
        <color indexed="8"/>
        <rFont val="仿宋_GB2312"/>
        <charset val="134"/>
      </rPr>
      <t>印花税</t>
    </r>
  </si>
  <si>
    <r>
      <rPr>
        <sz val="10"/>
        <color indexed="8"/>
        <rFont val="仿宋_GB2312"/>
        <charset val="134"/>
      </rPr>
      <t>销售额</t>
    </r>
    <r>
      <rPr>
        <sz val="10"/>
        <color indexed="8"/>
        <rFont val="Arial"/>
        <charset val="134"/>
      </rPr>
      <t>×</t>
    </r>
    <r>
      <rPr>
        <sz val="10"/>
        <color indexed="8"/>
        <rFont val="仿宋_GB2312"/>
        <charset val="134"/>
      </rPr>
      <t>税（费）率</t>
    </r>
  </si>
  <si>
    <r>
      <rPr>
        <sz val="10"/>
        <color indexed="8"/>
        <rFont val="仿宋_GB2312"/>
        <charset val="134"/>
      </rPr>
      <t>印花税</t>
    </r>
  </si>
  <si>
    <r>
      <rPr>
        <sz val="10"/>
        <color indexed="8"/>
        <rFont val="Arial"/>
        <charset val="134"/>
      </rPr>
      <t>3.</t>
    </r>
    <r>
      <rPr>
        <sz val="10"/>
        <color indexed="8"/>
        <rFont val="仿宋_GB2312"/>
        <charset val="134"/>
      </rPr>
      <t>土地增值税</t>
    </r>
  </si>
  <si>
    <r>
      <rPr>
        <sz val="10"/>
        <color indexed="8"/>
        <rFont val="仿宋_GB2312"/>
        <charset val="134"/>
      </rPr>
      <t>增值额</t>
    </r>
    <r>
      <rPr>
        <sz val="10"/>
        <color indexed="8"/>
        <rFont val="Arial"/>
        <charset val="134"/>
      </rPr>
      <t>×</t>
    </r>
    <r>
      <rPr>
        <sz val="10"/>
        <color indexed="8"/>
        <rFont val="仿宋_GB2312"/>
        <charset val="134"/>
      </rPr>
      <t>税（费）率</t>
    </r>
  </si>
  <si>
    <r>
      <rPr>
        <sz val="10"/>
        <color indexed="8"/>
        <rFont val="仿宋_GB2312"/>
        <charset val="134"/>
      </rPr>
      <t>土地增值税</t>
    </r>
  </si>
  <si>
    <r>
      <rPr>
        <sz val="10"/>
        <color indexed="8"/>
        <rFont val="仿宋_GB2312"/>
        <charset val="134"/>
      </rPr>
      <t>个人住宅</t>
    </r>
  </si>
  <si>
    <r>
      <rPr>
        <sz val="10"/>
        <color indexed="8"/>
        <rFont val="仿宋_GB2312"/>
        <charset val="134"/>
      </rPr>
      <t>除情况</t>
    </r>
    <r>
      <rPr>
        <sz val="10"/>
        <color indexed="8"/>
        <rFont val="Arial"/>
        <charset val="134"/>
      </rPr>
      <t>1</t>
    </r>
    <r>
      <rPr>
        <sz val="10"/>
        <color indexed="8"/>
        <rFont val="仿宋_GB2312"/>
        <charset val="134"/>
      </rPr>
      <t>以外的其他情形</t>
    </r>
  </si>
  <si>
    <r>
      <rPr>
        <sz val="10"/>
        <color indexed="8"/>
        <rFont val="Arial"/>
        <charset val="134"/>
      </rPr>
      <t>4.</t>
    </r>
    <r>
      <rPr>
        <sz val="10"/>
        <color indexed="8"/>
        <rFont val="仿宋_GB2312"/>
        <charset val="134"/>
      </rPr>
      <t>个人所得税</t>
    </r>
  </si>
  <si>
    <t>北京标准</t>
  </si>
  <si>
    <r>
      <rPr>
        <sz val="10"/>
        <color indexed="8"/>
        <rFont val="仿宋_GB2312"/>
        <charset val="134"/>
      </rPr>
      <t>小写</t>
    </r>
  </si>
  <si>
    <r>
      <rPr>
        <sz val="10"/>
        <color indexed="8"/>
        <rFont val="仿宋_GB2312"/>
        <charset val="134"/>
      </rPr>
      <t>大写</t>
    </r>
  </si>
  <si>
    <r>
      <rPr>
        <b/>
        <sz val="10"/>
        <color indexed="8"/>
        <rFont val="仿宋_GB2312"/>
        <charset val="134"/>
      </rPr>
      <t>销售不动产增值税及附加计算</t>
    </r>
  </si>
  <si>
    <r>
      <rPr>
        <sz val="10"/>
        <color indexed="8"/>
        <rFont val="仿宋_GB2312"/>
        <charset val="134"/>
      </rPr>
      <t>抵押净值</t>
    </r>
  </si>
  <si>
    <r>
      <rPr>
        <b/>
        <sz val="10"/>
        <rFont val="仿宋_GB2312"/>
        <charset val="134"/>
      </rPr>
      <t>项目</t>
    </r>
  </si>
  <si>
    <r>
      <rPr>
        <b/>
        <sz val="10"/>
        <rFont val="仿宋_GB2312"/>
        <charset val="134"/>
      </rPr>
      <t>系数</t>
    </r>
  </si>
  <si>
    <r>
      <rPr>
        <b/>
        <sz val="10"/>
        <rFont val="仿宋_GB2312"/>
        <charset val="134"/>
      </rPr>
      <t>销售额</t>
    </r>
  </si>
  <si>
    <r>
      <rPr>
        <sz val="10"/>
        <color indexed="8"/>
        <rFont val="仿宋_GB2312"/>
        <charset val="134"/>
      </rPr>
      <t>抵押净值单价</t>
    </r>
  </si>
  <si>
    <r>
      <rPr>
        <sz val="10"/>
        <color indexed="8"/>
        <rFont val="宋体"/>
        <charset val="134"/>
      </rPr>
      <t>（</t>
    </r>
    <r>
      <rPr>
        <sz val="10"/>
        <color indexed="8"/>
        <rFont val="Arial"/>
        <charset val="134"/>
      </rPr>
      <t>1</t>
    </r>
    <r>
      <rPr>
        <sz val="10"/>
        <color indexed="8"/>
        <rFont val="宋体"/>
        <charset val="134"/>
      </rPr>
      <t>）</t>
    </r>
  </si>
  <si>
    <r>
      <rPr>
        <sz val="10"/>
        <rFont val="仿宋_GB2312"/>
        <charset val="134"/>
      </rPr>
      <t>全部价款</t>
    </r>
  </si>
  <si>
    <r>
      <rPr>
        <sz val="10"/>
        <color indexed="8"/>
        <rFont val="宋体"/>
        <charset val="134"/>
      </rPr>
      <t>（</t>
    </r>
    <r>
      <rPr>
        <sz val="10"/>
        <color indexed="8"/>
        <rFont val="Arial"/>
        <charset val="134"/>
      </rPr>
      <t>2</t>
    </r>
    <r>
      <rPr>
        <sz val="10"/>
        <color indexed="8"/>
        <rFont val="宋体"/>
        <charset val="134"/>
      </rPr>
      <t>）</t>
    </r>
  </si>
  <si>
    <r>
      <rPr>
        <sz val="10"/>
        <rFont val="仿宋_GB2312"/>
        <charset val="134"/>
      </rPr>
      <t>价外费用</t>
    </r>
  </si>
  <si>
    <t>其他处置费用</t>
  </si>
  <si>
    <t>律师费</t>
  </si>
  <si>
    <r>
      <rPr>
        <b/>
        <sz val="10"/>
        <rFont val="仿宋_GB2312"/>
        <charset val="134"/>
      </rPr>
      <t>原购房价</t>
    </r>
    <r>
      <rPr>
        <b/>
        <sz val="10"/>
        <rFont val="Arial"/>
        <charset val="134"/>
      </rPr>
      <t>/</t>
    </r>
    <r>
      <rPr>
        <b/>
        <sz val="10"/>
        <rFont val="仿宋_GB2312"/>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</si>
  <si>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</si>
  <si>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诉讼费</t>
  </si>
  <si>
    <r>
      <rPr>
        <sz val="10"/>
        <color indexed="8"/>
        <rFont val="楷体_GB2312"/>
        <charset val="134"/>
      </rPr>
      <t>最低</t>
    </r>
    <r>
      <rPr>
        <sz val="10"/>
        <color indexed="8"/>
        <rFont val="Arial"/>
        <charset val="134"/>
      </rPr>
      <t>50</t>
    </r>
    <r>
      <rPr>
        <sz val="10"/>
        <color indexed="8"/>
        <rFont val="楷体_GB2312"/>
        <charset val="134"/>
      </rPr>
      <t>元</t>
    </r>
  </si>
  <si>
    <r>
      <rPr>
        <b/>
        <sz val="10"/>
        <rFont val="仿宋_GB2312"/>
        <charset val="134"/>
      </rPr>
      <t>纳税基数</t>
    </r>
  </si>
  <si>
    <t>执行费</t>
  </si>
  <si>
    <r>
      <rPr>
        <b/>
        <sz val="10"/>
        <rFont val="仿宋_GB2312"/>
        <charset val="134"/>
      </rPr>
      <t>纳税额</t>
    </r>
  </si>
  <si>
    <t>诉讼保全费</t>
  </si>
  <si>
    <r>
      <rPr>
        <sz val="10"/>
        <color indexed="8"/>
        <rFont val="楷体_GB2312"/>
        <charset val="134"/>
      </rPr>
      <t>最高</t>
    </r>
    <r>
      <rPr>
        <sz val="10"/>
        <color indexed="8"/>
        <rFont val="Arial"/>
        <charset val="134"/>
      </rPr>
      <t>5000</t>
    </r>
    <r>
      <rPr>
        <sz val="10"/>
        <color indexed="8"/>
        <rFont val="楷体_GB2312"/>
        <charset val="134"/>
      </rPr>
      <t>元</t>
    </r>
  </si>
  <si>
    <t>评估费</t>
  </si>
  <si>
    <r>
      <rPr>
        <b/>
        <sz val="10"/>
        <rFont val="仿宋_GB2312"/>
        <charset val="134"/>
      </rPr>
      <t>土地增值税（转让取得）</t>
    </r>
  </si>
  <si>
    <t>拍卖费</t>
  </si>
  <si>
    <r>
      <rPr>
        <b/>
        <sz val="10"/>
        <rFont val="仿宋_GB2312"/>
        <charset val="134"/>
      </rPr>
      <t>转让收入</t>
    </r>
  </si>
  <si>
    <r>
      <rPr>
        <b/>
        <sz val="10"/>
        <color indexed="8"/>
        <rFont val="仿宋_GB2312"/>
        <charset val="134"/>
      </rPr>
      <t>扣除项合计</t>
    </r>
  </si>
  <si>
    <r>
      <rPr>
        <sz val="10"/>
        <rFont val="仿宋_GB2312"/>
        <charset val="134"/>
      </rPr>
      <t>原购房价及相关税费</t>
    </r>
  </si>
  <si>
    <r>
      <rPr>
        <sz val="10"/>
        <color indexed="8"/>
        <rFont val="Arial"/>
        <charset val="134"/>
      </rPr>
      <t>1</t>
    </r>
    <r>
      <rPr>
        <sz val="10"/>
        <color indexed="8"/>
        <rFont val="宋体"/>
        <charset val="134"/>
      </rPr>
      <t>）</t>
    </r>
  </si>
  <si>
    <r>
      <rPr>
        <sz val="10"/>
        <rFont val="仿宋_GB2312"/>
        <charset val="134"/>
      </rPr>
      <t>原购房价</t>
    </r>
  </si>
  <si>
    <r>
      <rPr>
        <sz val="11"/>
        <color indexed="8"/>
        <rFont val="仿宋_GB2312"/>
        <charset val="134"/>
      </rPr>
      <t>原购房价依据</t>
    </r>
  </si>
  <si>
    <r>
      <rPr>
        <sz val="11"/>
        <color indexed="8"/>
        <rFont val="仿宋_GB2312"/>
        <charset val="134"/>
      </rPr>
      <t>已购年限</t>
    </r>
  </si>
  <si>
    <r>
      <rPr>
        <sz val="10"/>
        <color indexed="8"/>
        <rFont val="Arial"/>
        <charset val="134"/>
      </rPr>
      <t>2</t>
    </r>
    <r>
      <rPr>
        <sz val="10"/>
        <color indexed="8"/>
        <rFont val="宋体"/>
        <charset val="134"/>
      </rPr>
      <t>）</t>
    </r>
  </si>
  <si>
    <r>
      <rPr>
        <sz val="10"/>
        <rFont val="仿宋_GB2312"/>
        <charset val="134"/>
      </rPr>
      <t>加计扣减项</t>
    </r>
  </si>
  <si>
    <r>
      <rPr>
        <sz val="10"/>
        <color indexed="8"/>
        <rFont val="仿宋_GB2312"/>
        <charset val="134"/>
      </rPr>
      <t>有购房发票的可按发票所载金额并</t>
    </r>
    <r>
      <rPr>
        <b/>
        <sz val="10"/>
        <color indexed="8"/>
        <rFont val="仿宋_GB2312"/>
        <charset val="134"/>
      </rPr>
      <t>从购买年度起至转让年度止</t>
    </r>
    <r>
      <rPr>
        <sz val="10"/>
        <color indexed="8"/>
        <rFont val="仿宋_GB2312"/>
        <charset val="134"/>
      </rPr>
      <t>每年加计</t>
    </r>
    <r>
      <rPr>
        <sz val="10"/>
        <color indexed="8"/>
        <rFont val="Arial"/>
        <charset val="134"/>
      </rPr>
      <t>5%</t>
    </r>
    <r>
      <rPr>
        <sz val="10"/>
        <color indexed="8"/>
        <rFont val="仿宋_GB2312"/>
        <charset val="134"/>
      </rPr>
      <t>计算</t>
    </r>
  </si>
  <si>
    <r>
      <rPr>
        <sz val="10"/>
        <color indexed="8"/>
        <rFont val="Arial"/>
        <charset val="134"/>
      </rPr>
      <t>3</t>
    </r>
    <r>
      <rPr>
        <sz val="10"/>
        <color indexed="8"/>
        <rFont val="宋体"/>
        <charset val="134"/>
      </rPr>
      <t>）</t>
    </r>
  </si>
  <si>
    <r>
      <rPr>
        <sz val="10"/>
        <rFont val="仿宋_GB2312"/>
        <charset val="134"/>
      </rPr>
      <t>相关税费</t>
    </r>
  </si>
  <si>
    <r>
      <rPr>
        <sz val="10"/>
        <color indexed="8"/>
        <rFont val="仿宋_GB2312"/>
        <charset val="134"/>
      </rPr>
      <t>含契税及印花税</t>
    </r>
  </si>
  <si>
    <r>
      <rPr>
        <sz val="10"/>
        <rFont val="仿宋_GB2312"/>
        <charset val="134"/>
      </rPr>
      <t>转让税金支出</t>
    </r>
  </si>
  <si>
    <t>不含增值税，仅附加税</t>
  </si>
  <si>
    <r>
      <rPr>
        <b/>
        <sz val="10"/>
        <rFont val="仿宋_GB2312"/>
        <charset val="134"/>
      </rPr>
      <t>增值额</t>
    </r>
  </si>
  <si>
    <r>
      <rPr>
        <b/>
        <sz val="10"/>
        <rFont val="仿宋_GB2312"/>
        <charset val="134"/>
      </rPr>
      <t>增值额与扣除项比率</t>
    </r>
  </si>
  <si>
    <r>
      <rPr>
        <b/>
        <sz val="10"/>
        <rFont val="仿宋_GB2312"/>
        <charset val="134"/>
      </rPr>
      <t>应纳增值税税额</t>
    </r>
  </si>
  <si>
    <r>
      <rPr>
        <b/>
        <sz val="10"/>
        <rFont val="仿宋_GB2312"/>
        <charset val="134"/>
      </rPr>
      <t>土地增值税（自行开发建设）</t>
    </r>
  </si>
  <si>
    <r>
      <rPr>
        <sz val="10"/>
        <rFont val="仿宋_GB2312"/>
        <charset val="134"/>
      </rPr>
      <t>土地取得成本</t>
    </r>
  </si>
  <si>
    <r>
      <rPr>
        <sz val="10"/>
        <rFont val="仿宋_GB2312"/>
        <charset val="134"/>
      </rPr>
      <t>土地取得费用</t>
    </r>
  </si>
  <si>
    <r>
      <rPr>
        <sz val="10"/>
        <color indexed="8"/>
        <rFont val="仿宋_GB2312"/>
        <charset val="134"/>
      </rPr>
      <t>依据出让合同</t>
    </r>
  </si>
  <si>
    <r>
      <rPr>
        <sz val="9"/>
        <color indexed="8"/>
        <rFont val="仿宋_GB2312"/>
        <charset val="134"/>
      </rPr>
      <t>出让价款内涵：</t>
    </r>
  </si>
  <si>
    <t>★取得土地使用权所支付的金额，是指纳税人为取得土地使用权所支付的地价款和按国家统一规定交纳的有关费用★</t>
  </si>
  <si>
    <r>
      <rPr>
        <sz val="10"/>
        <color indexed="8"/>
        <rFont val="仿宋_GB2312"/>
        <charset val="134"/>
      </rPr>
      <t>契税及印花税</t>
    </r>
  </si>
  <si>
    <r>
      <rPr>
        <sz val="10"/>
        <rFont val="仿宋_GB2312"/>
        <charset val="134"/>
      </rPr>
      <t>土地开发费</t>
    </r>
  </si>
  <si>
    <t>土地征用及拆迁补偿费</t>
  </si>
  <si>
    <t>★土地征用及拆迁补偿费，包括土地征用费、耕地占用税、劳动力安置费及有关地上、地下附着物拆迁补偿的净支出、安置动迁用房支出等★</t>
  </si>
  <si>
    <r>
      <rPr>
        <sz val="10"/>
        <rFont val="仿宋_GB2312"/>
        <charset val="134"/>
      </rPr>
      <t>建造成本</t>
    </r>
  </si>
  <si>
    <r>
      <rPr>
        <sz val="10"/>
        <color indexed="8"/>
        <rFont val="仿宋_GB2312"/>
        <charset val="134"/>
      </rPr>
      <t>包括前期工程费、建筑安装工程费、基础设施费和公共配套费等</t>
    </r>
  </si>
  <si>
    <t>（4）</t>
  </si>
  <si>
    <r>
      <rPr>
        <sz val="10"/>
        <rFont val="仿宋_GB2312"/>
        <charset val="134"/>
      </rPr>
      <t>开发费用扣除</t>
    </r>
  </si>
  <si>
    <r>
      <rPr>
        <sz val="10"/>
        <color indexed="8"/>
        <rFont val="仿宋_GB2312"/>
        <charset val="134"/>
      </rPr>
      <t>凡不能按转让房地产项目计算分摊利息支出或不能提供金融机构证明的，按土地及建筑总投的</t>
    </r>
    <r>
      <rPr>
        <sz val="10"/>
        <color indexed="8"/>
        <rFont val="Arial"/>
        <charset val="134"/>
      </rPr>
      <t>10%</t>
    </r>
    <r>
      <rPr>
        <sz val="10"/>
        <color indexed="8"/>
        <rFont val="仿宋_GB2312"/>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</si>
  <si>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</si>
  <si>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（5）</t>
  </si>
  <si>
    <t>（6）</t>
  </si>
  <si>
    <r>
      <rPr>
        <sz val="10"/>
        <rFont val="仿宋_GB2312"/>
        <charset val="134"/>
      </rPr>
      <t>加计扣除金额</t>
    </r>
  </si>
  <si>
    <r>
      <rPr>
        <sz val="10"/>
        <color indexed="8"/>
        <rFont val="仿宋_GB2312"/>
        <charset val="134"/>
      </rPr>
      <t>对专门从事房地产开发的企业可以按</t>
    </r>
    <r>
      <rPr>
        <sz val="10"/>
        <color indexed="8"/>
        <rFont val="Arial"/>
        <charset val="134"/>
      </rPr>
      <t>20</t>
    </r>
    <r>
      <rPr>
        <sz val="10"/>
        <color indexed="8"/>
        <rFont val="仿宋_GB2312"/>
        <charset val="134"/>
      </rPr>
      <t>％计算扣除；如为土地，则</t>
    </r>
    <r>
      <rPr>
        <sz val="10"/>
        <color rgb="FFFF0000"/>
        <rFont val="仿宋_GB2312"/>
        <charset val="134"/>
      </rPr>
      <t>仅将土地开发费加计</t>
    </r>
    <r>
      <rPr>
        <sz val="10"/>
        <color rgb="FFFF0000"/>
        <rFont val="Arial"/>
        <charset val="134"/>
      </rPr>
      <t>20%</t>
    </r>
    <r>
      <rPr>
        <sz val="10"/>
        <color rgb="FFFF0000"/>
        <rFont val="仿宋_GB2312"/>
        <charset val="134"/>
      </rPr>
      <t>扣减</t>
    </r>
  </si>
  <si>
    <r>
      <rPr>
        <b/>
        <sz val="16"/>
        <color indexed="10"/>
        <rFont val="仿宋_GB2312"/>
        <charset val="134"/>
      </rPr>
      <t>剩余法</t>
    </r>
  </si>
  <si>
    <r>
      <rPr>
        <b/>
        <sz val="12"/>
        <rFont val="仿宋_GB2312"/>
        <charset val="134"/>
      </rPr>
      <t>总价</t>
    </r>
  </si>
  <si>
    <r>
      <rPr>
        <b/>
        <sz val="11"/>
        <rFont val="仿宋_GB2312"/>
        <charset val="134"/>
      </rPr>
      <t>单位面积地价</t>
    </r>
  </si>
  <si>
    <r>
      <rPr>
        <b/>
        <sz val="12"/>
        <color indexed="8"/>
        <rFont val="仿宋_GB2312"/>
        <charset val="134"/>
      </rPr>
      <t>万元</t>
    </r>
    <r>
      <rPr>
        <b/>
        <sz val="12"/>
        <color indexed="8"/>
        <rFont val="Arial"/>
        <charset val="134"/>
      </rPr>
      <t>/</t>
    </r>
    <r>
      <rPr>
        <b/>
        <sz val="12"/>
        <color indexed="8"/>
        <rFont val="仿宋_GB2312"/>
        <charset val="134"/>
      </rPr>
      <t>亩</t>
    </r>
  </si>
  <si>
    <r>
      <rPr>
        <b/>
        <sz val="12"/>
        <color indexed="8"/>
        <rFont val="Arial"/>
        <charset val="134"/>
      </rPr>
      <t>1 .</t>
    </r>
    <r>
      <rPr>
        <b/>
        <sz val="12"/>
        <color indexed="8"/>
        <rFont val="仿宋_GB2312"/>
        <charset val="134"/>
      </rPr>
      <t>开发完成后不动产总价</t>
    </r>
  </si>
  <si>
    <r>
      <rPr>
        <b/>
        <sz val="11"/>
        <color indexed="8"/>
        <rFont val="仿宋_GB2312"/>
        <charset val="134"/>
      </rPr>
      <t>序号</t>
    </r>
  </si>
  <si>
    <r>
      <rPr>
        <b/>
        <sz val="11"/>
        <color indexed="8"/>
        <rFont val="仿宋_GB2312"/>
        <charset val="134"/>
      </rPr>
      <t>项目名称</t>
    </r>
  </si>
  <si>
    <r>
      <rPr>
        <sz val="10"/>
        <color indexed="8"/>
        <rFont val="仿宋_GB2312"/>
        <charset val="134"/>
      </rPr>
      <t>楼面单价</t>
    </r>
  </si>
  <si>
    <r>
      <rPr>
        <sz val="10"/>
        <color indexed="8"/>
        <rFont val="宋体"/>
        <charset val="134"/>
      </rPr>
      <t>（</t>
    </r>
    <r>
      <rPr>
        <sz val="10"/>
        <color indexed="8"/>
        <rFont val="Arial"/>
        <charset val="134"/>
      </rPr>
      <t>3</t>
    </r>
    <r>
      <rPr>
        <sz val="10"/>
        <color indexed="8"/>
        <rFont val="宋体"/>
        <charset val="134"/>
      </rPr>
      <t>）</t>
    </r>
  </si>
  <si>
    <r>
      <rPr>
        <sz val="10"/>
        <color indexed="8"/>
        <rFont val="仿宋_GB2312"/>
        <charset val="134"/>
      </rPr>
      <t>总额</t>
    </r>
  </si>
  <si>
    <r>
      <rPr>
        <b/>
        <sz val="12"/>
        <color indexed="8"/>
        <rFont val="Arial"/>
        <charset val="134"/>
      </rPr>
      <t>2 .</t>
    </r>
    <r>
      <rPr>
        <b/>
        <sz val="12"/>
        <color indexed="8"/>
        <rFont val="仿宋_GB2312"/>
        <charset val="134"/>
      </rPr>
      <t>扣减项</t>
    </r>
  </si>
  <si>
    <r>
      <rPr>
        <b/>
        <sz val="11"/>
        <color indexed="8"/>
        <rFont val="仿宋_GB2312"/>
        <charset val="134"/>
      </rPr>
      <t>总额</t>
    </r>
  </si>
  <si>
    <r>
      <rPr>
        <b/>
        <sz val="11"/>
        <color indexed="8"/>
        <rFont val="仿宋_GB2312"/>
        <charset val="134"/>
      </rPr>
      <t>面积</t>
    </r>
  </si>
  <si>
    <r>
      <rPr>
        <b/>
        <sz val="11"/>
        <color indexed="8"/>
        <rFont val="仿宋_GB2312"/>
        <charset val="134"/>
      </rPr>
      <t>单价</t>
    </r>
  </si>
  <si>
    <r>
      <rPr>
        <b/>
        <sz val="11"/>
        <color indexed="8"/>
        <rFont val="仿宋_GB2312"/>
        <charset val="134"/>
      </rPr>
      <t>相关系数</t>
    </r>
  </si>
  <si>
    <r>
      <rPr>
        <sz val="10"/>
        <color indexed="8"/>
        <rFont val="仿宋_GB2312"/>
        <charset val="134"/>
      </rPr>
      <t>建安费用</t>
    </r>
  </si>
  <si>
    <r>
      <rPr>
        <sz val="10"/>
        <color indexed="8"/>
        <rFont val="Arial"/>
        <charset val="134"/>
      </rPr>
      <t>2）</t>
    </r>
  </si>
  <si>
    <r>
      <rPr>
        <sz val="10"/>
        <color indexed="8"/>
        <rFont val="仿宋_GB2312"/>
        <charset val="134"/>
      </rPr>
      <t>勘察设计和前期工程费</t>
    </r>
  </si>
  <si>
    <r>
      <rPr>
        <b/>
        <sz val="11"/>
        <color indexed="8"/>
        <rFont val="仿宋_GB2312"/>
        <charset val="134"/>
      </rPr>
      <t>以建安费用为基数计取</t>
    </r>
  </si>
  <si>
    <r>
      <rPr>
        <sz val="10"/>
        <color indexed="8"/>
        <rFont val="Arial"/>
        <charset val="134"/>
      </rPr>
      <t>3）</t>
    </r>
  </si>
  <si>
    <r>
      <rPr>
        <sz val="10"/>
        <color indexed="8"/>
        <rFont val="仿宋_GB2312"/>
        <charset val="134"/>
      </rPr>
      <t>公共配套设施费用</t>
    </r>
  </si>
  <si>
    <r>
      <rPr>
        <b/>
        <sz val="11"/>
        <color indexed="8"/>
        <rFont val="仿宋_GB2312"/>
        <charset val="134"/>
      </rPr>
      <t>以住宅用房建安费用为基数计取</t>
    </r>
  </si>
  <si>
    <r>
      <rPr>
        <sz val="10"/>
        <color indexed="8"/>
        <rFont val="Arial"/>
        <charset val="134"/>
      </rPr>
      <t>4）</t>
    </r>
  </si>
  <si>
    <r>
      <rPr>
        <sz val="10"/>
        <color indexed="8"/>
        <rFont val="仿宋_GB2312"/>
        <charset val="134"/>
      </rPr>
      <t>红线内市政费用</t>
    </r>
  </si>
  <si>
    <r>
      <rPr>
        <sz val="10"/>
        <color indexed="8"/>
        <rFont val="Arial"/>
        <charset val="134"/>
      </rPr>
      <t>5）</t>
    </r>
  </si>
  <si>
    <r>
      <rPr>
        <sz val="10"/>
        <color indexed="8"/>
        <rFont val="仿宋_GB2312"/>
        <charset val="134"/>
      </rPr>
      <t>相关税费</t>
    </r>
  </si>
  <si>
    <r>
      <rPr>
        <sz val="10"/>
        <color indexed="8"/>
        <rFont val="仿宋_GB2312"/>
        <charset val="134"/>
      </rPr>
      <t>以建安费用为基数计取</t>
    </r>
  </si>
  <si>
    <r>
      <rPr>
        <b/>
        <sz val="11"/>
        <color indexed="8"/>
        <rFont val="宋体"/>
        <charset val="134"/>
      </rPr>
      <t>（</t>
    </r>
    <r>
      <rPr>
        <b/>
        <sz val="11"/>
        <color indexed="8"/>
        <rFont val="Arial"/>
        <charset val="134"/>
      </rPr>
      <t>1</t>
    </r>
    <r>
      <rPr>
        <b/>
        <sz val="11"/>
        <color indexed="8"/>
        <rFont val="宋体"/>
        <charset val="134"/>
      </rPr>
      <t>）</t>
    </r>
  </si>
  <si>
    <r>
      <rPr>
        <b/>
        <sz val="11"/>
        <color indexed="8"/>
        <rFont val="仿宋_GB2312"/>
        <charset val="134"/>
      </rPr>
      <t>房屋建造成本</t>
    </r>
  </si>
  <si>
    <r>
      <rPr>
        <sz val="11"/>
        <color indexed="8"/>
        <rFont val="仿宋_GB2312"/>
        <charset val="134"/>
      </rPr>
      <t>前述</t>
    </r>
    <r>
      <rPr>
        <sz val="11"/>
        <color indexed="8"/>
        <rFont val="Arial"/>
        <charset val="134"/>
      </rPr>
      <t>5</t>
    </r>
    <r>
      <rPr>
        <sz val="11"/>
        <color indexed="8"/>
        <rFont val="仿宋_GB2312"/>
        <charset val="134"/>
      </rPr>
      <t>项之和</t>
    </r>
  </si>
  <si>
    <r>
      <rPr>
        <b/>
        <sz val="11"/>
        <color indexed="8"/>
        <rFont val="宋体"/>
        <charset val="134"/>
      </rPr>
      <t>（</t>
    </r>
    <r>
      <rPr>
        <b/>
        <sz val="11"/>
        <color indexed="8"/>
        <rFont val="Arial"/>
        <charset val="134"/>
      </rPr>
      <t>2）</t>
    </r>
  </si>
  <si>
    <r>
      <rPr>
        <b/>
        <sz val="11"/>
        <color indexed="8"/>
        <rFont val="仿宋_GB2312"/>
        <charset val="134"/>
      </rPr>
      <t>红线外市政费用（土地开发费用）</t>
    </r>
  </si>
  <si>
    <r>
      <rPr>
        <b/>
        <sz val="11"/>
        <color indexed="8"/>
        <rFont val="仿宋_GB2312"/>
        <charset val="134"/>
      </rPr>
      <t>按实际情况计取</t>
    </r>
  </si>
  <si>
    <r>
      <rPr>
        <b/>
        <sz val="11"/>
        <color indexed="8"/>
        <rFont val="宋体"/>
        <charset val="134"/>
      </rPr>
      <t>（</t>
    </r>
    <r>
      <rPr>
        <b/>
        <sz val="11"/>
        <color indexed="8"/>
        <rFont val="Arial"/>
        <charset val="134"/>
      </rPr>
      <t>3）</t>
    </r>
  </si>
  <si>
    <r>
      <rPr>
        <b/>
        <sz val="11"/>
        <color indexed="8"/>
        <rFont val="仿宋_GB2312"/>
        <charset val="134"/>
      </rPr>
      <t>城市基础设施建设费（行政收费）</t>
    </r>
  </si>
  <si>
    <r>
      <rPr>
        <sz val="10"/>
        <color indexed="8"/>
        <rFont val="仿宋_GB2312"/>
        <charset val="134"/>
      </rPr>
      <t>住宅</t>
    </r>
  </si>
  <si>
    <r>
      <rPr>
        <sz val="10"/>
        <color indexed="8"/>
        <rFont val="仿宋_GB2312"/>
        <charset val="134"/>
      </rPr>
      <t>非住宅</t>
    </r>
  </si>
  <si>
    <r>
      <rPr>
        <b/>
        <sz val="11"/>
        <color indexed="8"/>
        <rFont val="宋体"/>
        <charset val="134"/>
      </rPr>
      <t>（</t>
    </r>
    <r>
      <rPr>
        <b/>
        <sz val="11"/>
        <color indexed="8"/>
        <rFont val="Arial"/>
        <charset val="134"/>
      </rPr>
      <t>4</t>
    </r>
    <r>
      <rPr>
        <b/>
        <sz val="11"/>
        <color indexed="8"/>
        <rFont val="宋体"/>
        <charset val="134"/>
      </rPr>
      <t>）</t>
    </r>
  </si>
  <si>
    <t>管理费用</t>
  </si>
  <si>
    <r>
      <rPr>
        <b/>
        <sz val="11"/>
        <color indexed="8"/>
        <rFont val="仿宋_GB2312"/>
        <charset val="134"/>
      </rPr>
      <t>以</t>
    </r>
    <r>
      <rPr>
        <b/>
        <sz val="11"/>
        <color indexed="8"/>
        <rFont val="Arial"/>
        <charset val="134"/>
      </rPr>
      <t>“</t>
    </r>
    <r>
      <rPr>
        <b/>
        <sz val="11"/>
        <color indexed="8"/>
        <rFont val="仿宋_GB2312"/>
        <charset val="134"/>
      </rPr>
      <t>（1）-（3）</t>
    </r>
    <r>
      <rPr>
        <b/>
        <sz val="11"/>
        <color indexed="8"/>
        <rFont val="Arial"/>
        <charset val="134"/>
      </rPr>
      <t>”</t>
    </r>
    <r>
      <rPr>
        <b/>
        <sz val="11"/>
        <color indexed="8"/>
        <rFont val="仿宋_GB2312"/>
        <charset val="134"/>
      </rPr>
      <t>为基数计算</t>
    </r>
  </si>
  <si>
    <r>
      <rPr>
        <b/>
        <sz val="11"/>
        <color indexed="8"/>
        <rFont val="宋体"/>
        <charset val="134"/>
      </rPr>
      <t>（</t>
    </r>
    <r>
      <rPr>
        <b/>
        <sz val="11"/>
        <color indexed="8"/>
        <rFont val="Arial"/>
        <charset val="134"/>
      </rPr>
      <t>5）</t>
    </r>
  </si>
  <si>
    <r>
      <rPr>
        <b/>
        <sz val="10"/>
        <color indexed="8"/>
        <rFont val="楷体_GB2312"/>
        <charset val="134"/>
      </rPr>
      <t>销售费用</t>
    </r>
  </si>
  <si>
    <r>
      <rPr>
        <sz val="10"/>
        <color indexed="8"/>
        <rFont val="仿宋_GB2312"/>
        <charset val="134"/>
      </rPr>
      <t>以</t>
    </r>
    <r>
      <rPr>
        <sz val="10"/>
        <color indexed="8"/>
        <rFont val="Arial"/>
        <charset val="134"/>
      </rPr>
      <t>“</t>
    </r>
    <r>
      <rPr>
        <sz val="10"/>
        <color indexed="8"/>
        <rFont val="仿宋_GB2312"/>
        <charset val="134"/>
      </rPr>
      <t>开发完成后不动产总价</t>
    </r>
    <r>
      <rPr>
        <sz val="10"/>
        <color indexed="8"/>
        <rFont val="Arial"/>
        <charset val="134"/>
      </rPr>
      <t>“</t>
    </r>
    <r>
      <rPr>
        <sz val="10"/>
        <color indexed="8"/>
        <rFont val="仿宋_GB2312"/>
        <charset val="134"/>
      </rPr>
      <t>为基数计取</t>
    </r>
  </si>
  <si>
    <r>
      <rPr>
        <b/>
        <sz val="11"/>
        <color indexed="8"/>
        <rFont val="宋体"/>
        <charset val="134"/>
      </rPr>
      <t>（</t>
    </r>
    <r>
      <rPr>
        <b/>
        <sz val="11"/>
        <color indexed="8"/>
        <rFont val="Arial"/>
        <charset val="134"/>
      </rPr>
      <t>6）</t>
    </r>
  </si>
  <si>
    <t>购地税费</t>
  </si>
  <si>
    <r>
      <rPr>
        <b/>
        <sz val="11"/>
        <color indexed="8"/>
        <rFont val="Arial"/>
        <charset val="134"/>
      </rPr>
      <t>P</t>
    </r>
    <r>
      <rPr>
        <b/>
        <vertAlign val="subscript"/>
        <sz val="11"/>
        <color indexed="8"/>
        <rFont val="仿宋_GB2312"/>
        <charset val="134"/>
      </rPr>
      <t>土</t>
    </r>
  </si>
  <si>
    <t>以估价对象土地价格/(1+5%)为基数记取</t>
  </si>
  <si>
    <r>
      <rPr>
        <b/>
        <sz val="11"/>
        <color indexed="8"/>
        <rFont val="宋体"/>
        <charset val="134"/>
      </rPr>
      <t>（</t>
    </r>
    <r>
      <rPr>
        <b/>
        <sz val="11"/>
        <color indexed="8"/>
        <rFont val="Arial"/>
        <charset val="134"/>
      </rPr>
      <t>7</t>
    </r>
    <r>
      <rPr>
        <b/>
        <sz val="11"/>
        <color indexed="8"/>
        <rFont val="宋体"/>
        <charset val="134"/>
      </rPr>
      <t>）</t>
    </r>
  </si>
  <si>
    <t>投资利息</t>
  </si>
  <si>
    <r>
      <rPr>
        <sz val="10"/>
        <color indexed="8"/>
        <rFont val="仿宋_GB2312"/>
        <charset val="134"/>
      </rPr>
      <t>土地购买价格及购地税费产生的利息</t>
    </r>
  </si>
  <si>
    <r>
      <rPr>
        <sz val="10"/>
        <color indexed="8"/>
        <rFont val="仿宋_GB2312"/>
        <charset val="134"/>
      </rPr>
      <t>（</t>
    </r>
    <r>
      <rPr>
        <sz val="10"/>
        <color indexed="8"/>
        <rFont val="Arial"/>
        <charset val="134"/>
      </rPr>
      <t>1</t>
    </r>
    <r>
      <rPr>
        <sz val="10"/>
        <color indexed="8"/>
        <rFont val="仿宋_GB2312"/>
        <charset val="134"/>
      </rPr>
      <t>）</t>
    </r>
    <r>
      <rPr>
        <sz val="10"/>
        <color indexed="8"/>
        <rFont val="Arial"/>
        <charset val="134"/>
      </rPr>
      <t>-</t>
    </r>
    <r>
      <rPr>
        <sz val="10"/>
        <color indexed="8"/>
        <rFont val="仿宋_GB2312"/>
        <charset val="134"/>
      </rPr>
      <t>（</t>
    </r>
    <r>
      <rPr>
        <sz val="10"/>
        <color indexed="8"/>
        <rFont val="Arial"/>
        <charset val="134"/>
      </rPr>
      <t>5</t>
    </r>
    <r>
      <rPr>
        <sz val="10"/>
        <color indexed="8"/>
        <rFont val="仿宋_GB2312"/>
        <charset val="134"/>
      </rPr>
      <t>）项产生的利息</t>
    </r>
  </si>
  <si>
    <r>
      <rPr>
        <b/>
        <sz val="11"/>
        <color indexed="8"/>
        <rFont val="宋体"/>
        <charset val="134"/>
      </rPr>
      <t>（</t>
    </r>
    <r>
      <rPr>
        <b/>
        <sz val="11"/>
        <color indexed="8"/>
        <rFont val="Arial"/>
        <charset val="134"/>
      </rPr>
      <t>8</t>
    </r>
    <r>
      <rPr>
        <b/>
        <sz val="11"/>
        <color indexed="8"/>
        <rFont val="宋体"/>
        <charset val="134"/>
      </rPr>
      <t>）</t>
    </r>
  </si>
  <si>
    <r>
      <rPr>
        <b/>
        <sz val="11"/>
        <color indexed="8"/>
        <rFont val="仿宋_GB2312"/>
        <charset val="134"/>
      </rPr>
      <t>销售税费</t>
    </r>
  </si>
  <si>
    <r>
      <rPr>
        <sz val="10"/>
        <color indexed="8"/>
        <rFont val="仿宋_GB2312"/>
        <charset val="134"/>
      </rPr>
      <t>以</t>
    </r>
    <r>
      <rPr>
        <sz val="10"/>
        <color indexed="8"/>
        <rFont val="Arial"/>
        <charset val="134"/>
      </rPr>
      <t>“</t>
    </r>
    <r>
      <rPr>
        <sz val="10"/>
        <color indexed="8"/>
        <rFont val="仿宋_GB2312"/>
        <charset val="134"/>
      </rPr>
      <t>开发完成后不动产总价</t>
    </r>
    <r>
      <rPr>
        <sz val="10"/>
        <color indexed="8"/>
        <rFont val="Arial"/>
        <charset val="134"/>
      </rPr>
      <t>/</t>
    </r>
    <r>
      <rPr>
        <sz val="10"/>
        <color indexed="8"/>
        <rFont val="仿宋_GB2312"/>
        <charset val="134"/>
      </rPr>
      <t>（</t>
    </r>
    <r>
      <rPr>
        <sz val="10"/>
        <color indexed="8"/>
        <rFont val="Arial"/>
        <charset val="134"/>
      </rPr>
      <t>1+5%</t>
    </r>
    <r>
      <rPr>
        <sz val="10"/>
        <color indexed="8"/>
        <rFont val="仿宋_GB2312"/>
        <charset val="134"/>
      </rPr>
      <t>）</t>
    </r>
    <r>
      <rPr>
        <sz val="10"/>
        <color indexed="8"/>
        <rFont val="Arial"/>
        <charset val="134"/>
      </rPr>
      <t>”</t>
    </r>
    <r>
      <rPr>
        <sz val="10"/>
        <color indexed="8"/>
        <rFont val="仿宋_GB2312"/>
        <charset val="134"/>
      </rPr>
      <t>为基数计取</t>
    </r>
  </si>
  <si>
    <r>
      <rPr>
        <b/>
        <sz val="11"/>
        <color indexed="8"/>
        <rFont val="宋体"/>
        <charset val="134"/>
      </rPr>
      <t>（</t>
    </r>
    <r>
      <rPr>
        <b/>
        <sz val="11"/>
        <color indexed="8"/>
        <rFont val="Arial"/>
        <charset val="134"/>
      </rPr>
      <t>9</t>
    </r>
    <r>
      <rPr>
        <b/>
        <sz val="11"/>
        <color indexed="8"/>
        <rFont val="宋体"/>
        <charset val="134"/>
      </rPr>
      <t>）</t>
    </r>
  </si>
  <si>
    <r>
      <rPr>
        <b/>
        <sz val="11"/>
        <color indexed="8"/>
        <rFont val="仿宋_GB2312"/>
        <charset val="134"/>
      </rPr>
      <t>开发成本</t>
    </r>
  </si>
  <si>
    <t>前8项之和</t>
  </si>
  <si>
    <t>（10）</t>
  </si>
  <si>
    <t>投资利润</t>
  </si>
  <si>
    <r>
      <rPr>
        <sz val="10"/>
        <color indexed="8"/>
        <rFont val="仿宋_GB2312"/>
        <charset val="134"/>
      </rPr>
      <t>土地购买价格及购地税费应计的利润</t>
    </r>
  </si>
  <si>
    <r>
      <rPr>
        <sz val="10"/>
        <color indexed="8"/>
        <rFont val="仿宋_GB2312"/>
        <charset val="134"/>
      </rPr>
      <t>（</t>
    </r>
    <r>
      <rPr>
        <sz val="10"/>
        <color indexed="8"/>
        <rFont val="Arial"/>
        <charset val="134"/>
      </rPr>
      <t>P+P*</t>
    </r>
    <r>
      <rPr>
        <sz val="10"/>
        <color indexed="8"/>
        <rFont val="仿宋_GB2312"/>
        <charset val="134"/>
      </rPr>
      <t>取得税费</t>
    </r>
    <r>
      <rPr>
        <sz val="10"/>
        <color indexed="8"/>
        <rFont val="Arial"/>
        <charset val="134"/>
      </rPr>
      <t>/(1+5%)</t>
    </r>
    <r>
      <rPr>
        <sz val="10"/>
        <color indexed="8"/>
        <rFont val="仿宋_GB2312"/>
        <charset val="134"/>
      </rPr>
      <t>）</t>
    </r>
    <r>
      <rPr>
        <sz val="10"/>
        <color indexed="8"/>
        <rFont val="Arial"/>
        <charset val="134"/>
      </rPr>
      <t>*</t>
    </r>
    <r>
      <rPr>
        <sz val="10"/>
        <color indexed="8"/>
        <rFont val="仿宋_GB2312"/>
        <charset val="134"/>
      </rPr>
      <t>利润率</t>
    </r>
  </si>
  <si>
    <t>（1）-（5）项及销售费用产生的利息</t>
  </si>
  <si>
    <r>
      <rPr>
        <b/>
        <sz val="11"/>
        <color indexed="8"/>
        <rFont val="Arial"/>
        <charset val="134"/>
      </rPr>
      <t>3 .</t>
    </r>
    <r>
      <rPr>
        <b/>
        <sz val="11"/>
        <color indexed="8"/>
        <rFont val="仿宋_GB2312"/>
        <charset val="134"/>
      </rPr>
      <t>土地价格</t>
    </r>
  </si>
  <si>
    <r>
      <rPr>
        <b/>
        <sz val="12"/>
        <color indexed="8"/>
        <rFont val="仿宋_GB2312"/>
        <charset val="134"/>
      </rPr>
      <t>开发完成后的不动产总价</t>
    </r>
    <r>
      <rPr>
        <b/>
        <sz val="12"/>
        <color indexed="8"/>
        <rFont val="Arial"/>
        <charset val="134"/>
      </rPr>
      <t>(1)-</t>
    </r>
    <r>
      <rPr>
        <b/>
        <sz val="12"/>
        <color indexed="8"/>
        <rFont val="仿宋_GB2312"/>
        <charset val="134"/>
      </rPr>
      <t>开发成本</t>
    </r>
    <r>
      <rPr>
        <b/>
        <sz val="12"/>
        <color indexed="8"/>
        <rFont val="Arial"/>
        <charset val="134"/>
      </rPr>
      <t>(9)-</t>
    </r>
    <r>
      <rPr>
        <b/>
        <sz val="12"/>
        <color indexed="8"/>
        <rFont val="仿宋_GB2312"/>
        <charset val="134"/>
      </rPr>
      <t>利润</t>
    </r>
    <r>
      <rPr>
        <b/>
        <sz val="12"/>
        <color indexed="8"/>
        <rFont val="Arial"/>
        <charset val="134"/>
      </rPr>
      <t>(10)</t>
    </r>
  </si>
  <si>
    <r>
      <rPr>
        <b/>
        <sz val="12"/>
        <color indexed="8"/>
        <rFont val="Arial"/>
        <charset val="134"/>
      </rPr>
      <t>1 .</t>
    </r>
    <r>
      <rPr>
        <b/>
        <sz val="12"/>
        <color indexed="8"/>
        <rFont val="仿宋_GB2312"/>
        <charset val="134"/>
      </rPr>
      <t>不动产总价</t>
    </r>
  </si>
  <si>
    <r>
      <rPr>
        <b/>
        <sz val="12"/>
        <color indexed="8"/>
        <rFont val="Arial"/>
        <charset val="134"/>
      </rPr>
      <t xml:space="preserve">2. </t>
    </r>
    <r>
      <rPr>
        <b/>
        <sz val="12"/>
        <color indexed="8"/>
        <rFont val="仿宋_GB2312"/>
        <charset val="134"/>
      </rPr>
      <t>房屋现值</t>
    </r>
  </si>
  <si>
    <r>
      <rPr>
        <b/>
        <sz val="10"/>
        <rFont val="仿宋_GB2312"/>
        <charset val="134"/>
      </rPr>
      <t>前述</t>
    </r>
    <r>
      <rPr>
        <b/>
        <sz val="10"/>
        <rFont val="Arial"/>
        <charset val="134"/>
      </rPr>
      <t>5</t>
    </r>
    <r>
      <rPr>
        <b/>
        <sz val="10"/>
        <rFont val="仿宋_GB2312"/>
        <charset val="134"/>
      </rPr>
      <t>项之和</t>
    </r>
  </si>
  <si>
    <r>
      <rPr>
        <b/>
        <sz val="11"/>
        <color indexed="8"/>
        <rFont val="仿宋_GB2312"/>
        <charset val="134"/>
      </rPr>
      <t>管理费用</t>
    </r>
  </si>
  <si>
    <r>
      <rPr>
        <b/>
        <sz val="11"/>
        <color indexed="8"/>
        <rFont val="仿宋_GB2312"/>
        <charset val="134"/>
      </rPr>
      <t>以建造成本为基数计取</t>
    </r>
  </si>
  <si>
    <r>
      <rPr>
        <b/>
        <sz val="11"/>
        <color indexed="8"/>
        <rFont val="仿宋_GB2312"/>
        <charset val="134"/>
      </rPr>
      <t>投资利息</t>
    </r>
  </si>
  <si>
    <r>
      <rPr>
        <b/>
        <sz val="11"/>
        <color indexed="8"/>
        <rFont val="宋体"/>
        <charset val="134"/>
      </rPr>
      <t>（</t>
    </r>
    <r>
      <rPr>
        <b/>
        <sz val="11"/>
        <color indexed="8"/>
        <rFont val="Arial"/>
        <charset val="134"/>
      </rPr>
      <t>4）</t>
    </r>
  </si>
  <si>
    <r>
      <rPr>
        <sz val="11"/>
        <color indexed="10"/>
        <rFont val="宋体"/>
        <charset val="134"/>
      </rPr>
      <t>开发期≤</t>
    </r>
    <r>
      <rPr>
        <sz val="11"/>
        <color indexed="10"/>
        <rFont val="Arial"/>
        <charset val="134"/>
      </rPr>
      <t>1</t>
    </r>
    <r>
      <rPr>
        <sz val="11"/>
        <color indexed="10"/>
        <rFont val="宋体"/>
        <charset val="134"/>
      </rPr>
      <t>年，单利计息；＞</t>
    </r>
    <r>
      <rPr>
        <sz val="11"/>
        <color indexed="10"/>
        <rFont val="Arial"/>
        <charset val="134"/>
      </rPr>
      <t>1</t>
    </r>
    <r>
      <rPr>
        <sz val="11"/>
        <color indexed="10"/>
        <rFont val="宋体"/>
        <charset val="134"/>
      </rPr>
      <t>年，复利计息</t>
    </r>
  </si>
  <si>
    <r>
      <rPr>
        <b/>
        <sz val="11"/>
        <color indexed="8"/>
        <rFont val="仿宋_GB2312"/>
        <charset val="134"/>
      </rPr>
      <t>成新率</t>
    </r>
  </si>
  <si>
    <t>重置成新价(不含税）</t>
  </si>
  <si>
    <r>
      <rPr>
        <b/>
        <sz val="11"/>
        <color theme="1"/>
        <rFont val="Arial"/>
        <charset val="134"/>
      </rPr>
      <t>3 .</t>
    </r>
    <r>
      <rPr>
        <b/>
        <sz val="11"/>
        <color indexed="8"/>
        <rFont val="仿宋_GB2312"/>
        <charset val="134"/>
      </rPr>
      <t>交易税费</t>
    </r>
  </si>
  <si>
    <t>4.销售费用</t>
  </si>
  <si>
    <t>5.购地税费</t>
  </si>
  <si>
    <r>
      <rPr>
        <b/>
        <sz val="11"/>
        <color indexed="8"/>
        <rFont val="Arial"/>
        <charset val="134"/>
      </rPr>
      <t xml:space="preserve">6. </t>
    </r>
    <r>
      <rPr>
        <b/>
        <sz val="11"/>
        <color indexed="8"/>
        <rFont val="仿宋_GB2312"/>
        <charset val="134"/>
      </rPr>
      <t>土地价格</t>
    </r>
  </si>
  <si>
    <t>(1-2-3)/[(1+（(1+利率）^建设期-1）+利润）*（1+契税及印花税率）]</t>
  </si>
  <si>
    <r>
      <rPr>
        <b/>
        <sz val="16"/>
        <color indexed="10"/>
        <rFont val="仿宋_GB2312"/>
        <charset val="134"/>
      </rPr>
      <t>套用比较法</t>
    </r>
  </si>
  <si>
    <r>
      <rPr>
        <b/>
        <sz val="16"/>
        <rFont val="仿宋_GB2312"/>
        <charset val="134"/>
      </rPr>
      <t>住宅、综合</t>
    </r>
  </si>
  <si>
    <r>
      <rPr>
        <b/>
        <sz val="14"/>
        <color indexed="10"/>
        <rFont val="仿宋_GB2312"/>
        <charset val="134"/>
      </rPr>
      <t>录入顺序：主表的空白区域</t>
    </r>
    <r>
      <rPr>
        <b/>
        <sz val="14"/>
        <color indexed="10"/>
        <rFont val="Arial"/>
        <charset val="134"/>
      </rPr>
      <t>-</t>
    </r>
    <r>
      <rPr>
        <b/>
        <sz val="14"/>
        <color indexed="10"/>
        <rFont val="仿宋_GB2312"/>
        <charset val="134"/>
      </rPr>
      <t>因素表空白区域</t>
    </r>
    <r>
      <rPr>
        <b/>
        <sz val="14"/>
        <color indexed="10"/>
        <rFont val="Arial"/>
        <charset val="134"/>
      </rPr>
      <t>-</t>
    </r>
    <r>
      <rPr>
        <b/>
        <sz val="14"/>
        <color indexed="10"/>
        <rFont val="仿宋_GB2312"/>
        <charset val="134"/>
      </rPr>
      <t>主表黄色选项区域</t>
    </r>
    <r>
      <rPr>
        <b/>
        <sz val="14"/>
        <color indexed="10"/>
        <rFont val="Arial"/>
        <charset val="134"/>
      </rPr>
      <t>-</t>
    </r>
    <r>
      <rPr>
        <b/>
        <sz val="14"/>
        <color indexed="10"/>
        <rFont val="仿宋_GB2312"/>
        <charset val="134"/>
      </rPr>
      <t>调节修正幅度</t>
    </r>
    <r>
      <rPr>
        <b/>
        <sz val="14"/>
        <color indexed="10"/>
        <rFont val="Arial"/>
        <charset val="134"/>
      </rPr>
      <t>-</t>
    </r>
    <r>
      <rPr>
        <b/>
        <sz val="14"/>
        <color indexed="10"/>
        <rFont val="仿宋_GB2312"/>
        <charset val="134"/>
      </rPr>
      <t>完成</t>
    </r>
  </si>
  <si>
    <r>
      <rPr>
        <b/>
        <sz val="12"/>
        <rFont val="仿宋_GB2312"/>
        <charset val="134"/>
      </rPr>
      <t>单位面积地价</t>
    </r>
  </si>
  <si>
    <r>
      <rPr>
        <b/>
        <sz val="11"/>
        <rFont val="仿宋_GB2312"/>
        <charset val="134"/>
      </rPr>
      <t>比较因素</t>
    </r>
  </si>
  <si>
    <r>
      <rPr>
        <sz val="11"/>
        <rFont val="仿宋_GB2312"/>
        <charset val="134"/>
      </rPr>
      <t>估价对象</t>
    </r>
  </si>
  <si>
    <r>
      <rPr>
        <sz val="11"/>
        <rFont val="仿宋_GB2312"/>
        <charset val="134"/>
      </rPr>
      <t>案例</t>
    </r>
    <r>
      <rPr>
        <sz val="11"/>
        <rFont val="Arial"/>
        <charset val="134"/>
      </rPr>
      <t>A</t>
    </r>
  </si>
  <si>
    <r>
      <rPr>
        <sz val="11"/>
        <rFont val="仿宋_GB2312"/>
        <charset val="134"/>
      </rPr>
      <t>案例</t>
    </r>
    <r>
      <rPr>
        <sz val="11"/>
        <rFont val="Arial"/>
        <charset val="134"/>
      </rPr>
      <t>B</t>
    </r>
  </si>
  <si>
    <r>
      <rPr>
        <sz val="11"/>
        <rFont val="仿宋_GB2312"/>
        <charset val="134"/>
      </rPr>
      <t>案例</t>
    </r>
    <r>
      <rPr>
        <sz val="11"/>
        <rFont val="Arial"/>
        <charset val="134"/>
      </rPr>
      <t>C</t>
    </r>
  </si>
  <si>
    <r>
      <rPr>
        <sz val="11"/>
        <color indexed="8"/>
        <rFont val="仿宋_GB2312"/>
        <charset val="134"/>
      </rPr>
      <t>修正幅度</t>
    </r>
  </si>
  <si>
    <r>
      <rPr>
        <sz val="11"/>
        <rFont val="仿宋_GB2312"/>
        <charset val="134"/>
      </rPr>
      <t>比较因素</t>
    </r>
  </si>
  <si>
    <r>
      <rPr>
        <sz val="11"/>
        <color theme="9" tint="-0.249977111117893"/>
        <rFont val="仿宋_GB2312"/>
        <charset val="134"/>
      </rPr>
      <t>估价对象名称</t>
    </r>
  </si>
  <si>
    <r>
      <rPr>
        <sz val="11"/>
        <color theme="9" tint="-0.249977111117893"/>
        <rFont val="仿宋_GB2312"/>
        <charset val="134"/>
      </rPr>
      <t>案例</t>
    </r>
    <r>
      <rPr>
        <sz val="11"/>
        <color theme="9" tint="-0.249977111117893"/>
        <rFont val="Arial"/>
        <charset val="134"/>
      </rPr>
      <t>A</t>
    </r>
    <r>
      <rPr>
        <sz val="11"/>
        <color theme="9" tint="-0.249977111117893"/>
        <rFont val="仿宋_GB2312"/>
        <charset val="134"/>
      </rPr>
      <t>名称</t>
    </r>
  </si>
  <si>
    <r>
      <rPr>
        <sz val="11"/>
        <color theme="9" tint="-0.249977111117893"/>
        <rFont val="仿宋_GB2312"/>
        <charset val="134"/>
      </rPr>
      <t>案例</t>
    </r>
    <r>
      <rPr>
        <sz val="11"/>
        <color theme="9" tint="-0.249977111117893"/>
        <rFont val="Arial"/>
        <charset val="134"/>
      </rPr>
      <t>B</t>
    </r>
    <r>
      <rPr>
        <sz val="11"/>
        <color theme="9" tint="-0.249977111117893"/>
        <rFont val="仿宋_GB2312"/>
        <charset val="134"/>
      </rPr>
      <t>名称</t>
    </r>
  </si>
  <si>
    <r>
      <rPr>
        <sz val="11"/>
        <color theme="9" tint="-0.249977111117893"/>
        <rFont val="仿宋_GB2312"/>
        <charset val="134"/>
      </rPr>
      <t>案例</t>
    </r>
    <r>
      <rPr>
        <sz val="11"/>
        <color theme="9" tint="-0.249977111117893"/>
        <rFont val="Arial"/>
        <charset val="134"/>
      </rPr>
      <t>C</t>
    </r>
    <r>
      <rPr>
        <sz val="11"/>
        <color theme="9" tint="-0.249977111117893"/>
        <rFont val="仿宋_GB2312"/>
        <charset val="134"/>
      </rPr>
      <t>名称</t>
    </r>
  </si>
  <si>
    <r>
      <rPr>
        <sz val="11"/>
        <color theme="9" tint="-0.249977111117893"/>
        <rFont val="仿宋_GB2312"/>
        <charset val="134"/>
      </rPr>
      <t>项目位置</t>
    </r>
  </si>
  <si>
    <r>
      <rPr>
        <sz val="11"/>
        <color indexed="8"/>
        <rFont val="仿宋_GB2312"/>
        <charset val="134"/>
      </rPr>
      <t>系数</t>
    </r>
    <r>
      <rPr>
        <sz val="11"/>
        <color indexed="8"/>
        <rFont val="Arial"/>
        <charset val="134"/>
      </rPr>
      <t>%</t>
    </r>
  </si>
  <si>
    <r>
      <rPr>
        <b/>
        <sz val="11"/>
        <color indexed="8"/>
        <rFont val="仿宋_GB2312"/>
        <charset val="134"/>
      </rPr>
      <t>交易时间</t>
    </r>
  </si>
  <si>
    <r>
      <rPr>
        <sz val="11"/>
        <color indexed="8"/>
        <rFont val="仿宋_GB2312"/>
        <charset val="134"/>
      </rPr>
      <t>交易时间</t>
    </r>
  </si>
  <si>
    <t>100/</t>
  </si>
  <si>
    <r>
      <rPr>
        <b/>
        <sz val="11"/>
        <color indexed="8"/>
        <rFont val="仿宋_GB2312"/>
        <charset val="134"/>
      </rPr>
      <t>交易情况</t>
    </r>
  </si>
  <si>
    <r>
      <rPr>
        <sz val="11"/>
        <color indexed="8"/>
        <rFont val="仿宋_GB2312"/>
        <charset val="134"/>
      </rPr>
      <t>正常</t>
    </r>
  </si>
  <si>
    <r>
      <rPr>
        <sz val="11"/>
        <color indexed="8"/>
        <rFont val="仿宋_GB2312"/>
        <charset val="134"/>
      </rPr>
      <t>交易情况</t>
    </r>
  </si>
  <si>
    <r>
      <rPr>
        <b/>
        <sz val="11"/>
        <color indexed="8"/>
        <rFont val="仿宋_GB2312"/>
        <charset val="134"/>
      </rPr>
      <t>用途</t>
    </r>
  </si>
  <si>
    <r>
      <rPr>
        <sz val="11"/>
        <rFont val="仿宋_GB2312"/>
        <charset val="134"/>
      </rPr>
      <t>权益状况</t>
    </r>
  </si>
  <si>
    <r>
      <rPr>
        <sz val="11"/>
        <color indexed="8"/>
        <rFont val="仿宋_GB2312"/>
        <charset val="134"/>
      </rPr>
      <t>权益状况</t>
    </r>
  </si>
  <si>
    <r>
      <rPr>
        <b/>
        <sz val="11"/>
        <color indexed="8"/>
        <rFont val="仿宋_GB2312"/>
        <charset val="134"/>
      </rPr>
      <t>土地使用年限（年）</t>
    </r>
  </si>
  <si>
    <r>
      <rPr>
        <b/>
        <sz val="11"/>
        <color indexed="8"/>
        <rFont val="仿宋_GB2312"/>
        <charset val="134"/>
      </rPr>
      <t>容积率</t>
    </r>
  </si>
  <si>
    <r>
      <rPr>
        <b/>
        <sz val="11"/>
        <color indexed="8"/>
        <rFont val="仿宋_GB2312"/>
        <charset val="134"/>
      </rPr>
      <t>配建</t>
    </r>
  </si>
  <si>
    <t>区域因素</t>
  </si>
  <si>
    <r>
      <rPr>
        <sz val="11"/>
        <rFont val="仿宋_GB2312"/>
        <charset val="134"/>
      </rPr>
      <t>区位状况</t>
    </r>
  </si>
  <si>
    <r>
      <rPr>
        <sz val="11"/>
        <color indexed="8"/>
        <rFont val="仿宋_GB2312"/>
        <charset val="134"/>
      </rPr>
      <t>自然及人文环境状况</t>
    </r>
  </si>
  <si>
    <r>
      <rPr>
        <sz val="11"/>
        <color indexed="8"/>
        <rFont val="仿宋_GB2312"/>
        <charset val="134"/>
      </rPr>
      <t>毗邻道路的类型与等级</t>
    </r>
  </si>
  <si>
    <r>
      <rPr>
        <sz val="11"/>
        <color indexed="8"/>
        <rFont val="仿宋_GB2312"/>
        <charset val="134"/>
      </rPr>
      <t>土地级别</t>
    </r>
  </si>
  <si>
    <r>
      <rPr>
        <sz val="11"/>
        <rFont val="仿宋_GB2312"/>
        <charset val="134"/>
      </rPr>
      <t>实物状况</t>
    </r>
  </si>
  <si>
    <t>个别因素</t>
  </si>
  <si>
    <r>
      <rPr>
        <sz val="11"/>
        <color indexed="8"/>
        <rFont val="仿宋_GB2312"/>
        <charset val="134"/>
      </rPr>
      <t>宗地面积</t>
    </r>
  </si>
  <si>
    <r>
      <rPr>
        <sz val="11"/>
        <color indexed="8"/>
        <rFont val="仿宋_GB2312"/>
        <charset val="134"/>
      </rPr>
      <t>宗地形状</t>
    </r>
  </si>
  <si>
    <r>
      <rPr>
        <sz val="11"/>
        <color indexed="8"/>
        <rFont val="仿宋_GB2312"/>
        <charset val="134"/>
      </rPr>
      <t>临街宽度及深度</t>
    </r>
  </si>
  <si>
    <t>宗地开发程度</t>
  </si>
  <si>
    <r>
      <rPr>
        <sz val="11"/>
        <color indexed="8"/>
        <rFont val="仿宋_GB2312"/>
        <charset val="134"/>
      </rPr>
      <t>工程地质条件</t>
    </r>
  </si>
  <si>
    <r>
      <rPr>
        <b/>
        <sz val="11"/>
        <rFont val="仿宋_GB2312"/>
        <charset val="134"/>
      </rPr>
      <t>成交单价</t>
    </r>
  </si>
  <si>
    <t>单价内涵</t>
  </si>
  <si>
    <r>
      <rPr>
        <b/>
        <sz val="11"/>
        <rFont val="仿宋_GB2312"/>
        <charset val="134"/>
      </rPr>
      <t>比较价格（元</t>
    </r>
    <r>
      <rPr>
        <b/>
        <sz val="11"/>
        <rFont val="Arial"/>
        <charset val="134"/>
      </rPr>
      <t>/</t>
    </r>
    <r>
      <rPr>
        <b/>
        <sz val="11"/>
        <rFont val="仿宋_GB2312"/>
        <charset val="134"/>
      </rPr>
      <t>平方米）</t>
    </r>
  </si>
  <si>
    <t>简单平均</t>
  </si>
  <si>
    <r>
      <rPr>
        <b/>
        <sz val="11"/>
        <rFont val="仿宋_GB2312"/>
        <charset val="134"/>
      </rPr>
      <t>估价对象</t>
    </r>
    <r>
      <rPr>
        <b/>
        <sz val="11"/>
        <color theme="9" tint="-0.249977111117893"/>
        <rFont val="Arial"/>
        <charset val="134"/>
      </rPr>
      <t>XX</t>
    </r>
    <r>
      <rPr>
        <b/>
        <sz val="11"/>
        <color theme="9" tint="-0.249977111117893"/>
        <rFont val="仿宋_GB2312"/>
        <charset val="134"/>
      </rPr>
      <t>用房的</t>
    </r>
    <r>
      <rPr>
        <b/>
        <sz val="11"/>
        <rFont val="仿宋_GB2312"/>
        <charset val="134"/>
      </rPr>
      <t>比较价格（楼面单价，元</t>
    </r>
    <r>
      <rPr>
        <b/>
        <sz val="11"/>
        <rFont val="Arial"/>
        <charset val="134"/>
      </rPr>
      <t>/</t>
    </r>
    <r>
      <rPr>
        <b/>
        <sz val="11"/>
        <rFont val="仿宋_GB2312"/>
        <charset val="134"/>
      </rPr>
      <t>平方米）</t>
    </r>
  </si>
  <si>
    <r>
      <rPr>
        <b/>
        <sz val="11"/>
        <rFont val="仿宋_GB2312"/>
        <charset val="134"/>
      </rPr>
      <t>总修正幅度不超过</t>
    </r>
    <r>
      <rPr>
        <b/>
        <sz val="11"/>
        <color indexed="10"/>
        <rFont val="Arial"/>
        <charset val="134"/>
      </rPr>
      <t>30%</t>
    </r>
  </si>
  <si>
    <r>
      <rPr>
        <b/>
        <sz val="11"/>
        <rFont val="仿宋_GB2312"/>
        <charset val="134"/>
      </rPr>
      <t>各修正结果之间不超过</t>
    </r>
    <r>
      <rPr>
        <b/>
        <sz val="11"/>
        <color indexed="10"/>
        <rFont val="Arial"/>
        <charset val="134"/>
      </rPr>
      <t>20%</t>
    </r>
  </si>
  <si>
    <r>
      <rPr>
        <b/>
        <sz val="11"/>
        <rFont val="仿宋_GB2312"/>
        <charset val="134"/>
      </rPr>
      <t>各案例间不超过</t>
    </r>
    <r>
      <rPr>
        <b/>
        <sz val="11"/>
        <color indexed="10"/>
        <rFont val="Arial"/>
        <charset val="134"/>
      </rPr>
      <t>30%</t>
    </r>
  </si>
  <si>
    <r>
      <rPr>
        <sz val="11"/>
        <rFont val="仿宋_GB2312"/>
        <charset val="134"/>
      </rPr>
      <t>用途</t>
    </r>
    <r>
      <rPr>
        <sz val="11"/>
        <rFont val="Arial"/>
        <charset val="134"/>
      </rPr>
      <t>/</t>
    </r>
    <r>
      <rPr>
        <sz val="11"/>
        <rFont val="仿宋_GB2312"/>
        <charset val="134"/>
      </rPr>
      <t>位置</t>
    </r>
  </si>
  <si>
    <r>
      <rPr>
        <sz val="11"/>
        <rFont val="仿宋_GB2312"/>
        <charset val="134"/>
      </rPr>
      <t>修正单价</t>
    </r>
  </si>
  <si>
    <t>北京市系数</t>
  </si>
  <si>
    <t>政府土地出让收益比例</t>
  </si>
  <si>
    <r>
      <rPr>
        <sz val="11"/>
        <rFont val="仿宋_GB2312"/>
        <charset val="134"/>
      </rPr>
      <t>建筑面积</t>
    </r>
  </si>
  <si>
    <r>
      <rPr>
        <sz val="11"/>
        <rFont val="仿宋_GB2312"/>
        <charset val="134"/>
      </rPr>
      <t>总价</t>
    </r>
  </si>
  <si>
    <t>对应的地上用途及土地级别（北京市）</t>
  </si>
  <si>
    <t>外省市地下修正系数请自行录入</t>
  </si>
  <si>
    <r>
      <rPr>
        <sz val="10"/>
        <rFont val="仿宋_GB2312"/>
        <charset val="134"/>
      </rPr>
      <t>地上</t>
    </r>
  </si>
  <si>
    <r>
      <rPr>
        <sz val="10"/>
        <rFont val="仿宋_GB2312"/>
        <charset val="134"/>
      </rPr>
      <t>地下商业（</t>
    </r>
    <r>
      <rPr>
        <sz val="10"/>
        <rFont val="Arial"/>
        <charset val="134"/>
      </rPr>
      <t>-1</t>
    </r>
    <r>
      <rPr>
        <sz val="10"/>
        <rFont val="仿宋_GB2312"/>
        <charset val="134"/>
      </rPr>
      <t>）</t>
    </r>
  </si>
  <si>
    <t>对应商业级别</t>
  </si>
  <si>
    <r>
      <rPr>
        <sz val="10"/>
        <rFont val="仿宋_GB2312"/>
        <charset val="134"/>
      </rPr>
      <t>地下商业（</t>
    </r>
    <r>
      <rPr>
        <sz val="10"/>
        <rFont val="Arial"/>
        <charset val="134"/>
      </rPr>
      <t>-2</t>
    </r>
    <r>
      <rPr>
        <sz val="10"/>
        <rFont val="仿宋_GB2312"/>
        <charset val="134"/>
      </rPr>
      <t>）</t>
    </r>
  </si>
  <si>
    <r>
      <rPr>
        <sz val="10"/>
        <rFont val="仿宋_GB2312"/>
        <charset val="134"/>
      </rPr>
      <t>地下商业（</t>
    </r>
    <r>
      <rPr>
        <sz val="10"/>
        <rFont val="Arial"/>
        <charset val="134"/>
      </rPr>
      <t>-3</t>
    </r>
    <r>
      <rPr>
        <sz val="10"/>
        <rFont val="仿宋_GB2312"/>
        <charset val="134"/>
      </rPr>
      <t>）</t>
    </r>
  </si>
  <si>
    <r>
      <rPr>
        <sz val="10"/>
        <rFont val="仿宋_GB2312"/>
        <charset val="134"/>
      </rPr>
      <t>地下商业（</t>
    </r>
    <r>
      <rPr>
        <sz val="10"/>
        <rFont val="Arial"/>
        <charset val="134"/>
      </rPr>
      <t>-4</t>
    </r>
    <r>
      <rPr>
        <sz val="10"/>
        <rFont val="仿宋_GB2312"/>
        <charset val="134"/>
      </rPr>
      <t>）</t>
    </r>
  </si>
  <si>
    <t>对应办公级别</t>
  </si>
  <si>
    <r>
      <rPr>
        <sz val="10"/>
        <rFont val="仿宋_GB2312"/>
        <charset val="134"/>
      </rPr>
      <t>地下仓储</t>
    </r>
  </si>
  <si>
    <r>
      <rPr>
        <sz val="10"/>
        <rFont val="仿宋_GB2312"/>
        <charset val="134"/>
      </rPr>
      <t>地下车库</t>
    </r>
  </si>
  <si>
    <r>
      <rPr>
        <sz val="10"/>
        <rFont val="仿宋_GB2312"/>
        <charset val="134"/>
      </rPr>
      <t>地下车库</t>
    </r>
    <r>
      <rPr>
        <sz val="10"/>
        <rFont val="Arial"/>
        <charset val="134"/>
      </rPr>
      <t>-</t>
    </r>
    <r>
      <rPr>
        <sz val="10"/>
        <rFont val="仿宋_GB2312"/>
        <charset val="134"/>
      </rPr>
      <t>商业</t>
    </r>
  </si>
  <si>
    <r>
      <rPr>
        <sz val="10"/>
        <rFont val="仿宋_GB2312"/>
        <charset val="134"/>
      </rPr>
      <t>地下车库</t>
    </r>
    <r>
      <rPr>
        <sz val="10"/>
        <rFont val="Arial"/>
        <charset val="134"/>
      </rPr>
      <t>-</t>
    </r>
    <r>
      <rPr>
        <sz val="10"/>
        <rFont val="仿宋_GB2312"/>
        <charset val="134"/>
      </rPr>
      <t>办公</t>
    </r>
  </si>
  <si>
    <r>
      <rPr>
        <b/>
        <sz val="10"/>
        <rFont val="仿宋_GB2312"/>
        <charset val="134"/>
      </rPr>
      <t>土地购买价格</t>
    </r>
  </si>
  <si>
    <t>-</t>
  </si>
  <si>
    <r>
      <rPr>
        <b/>
        <sz val="16"/>
        <color indexed="8"/>
        <rFont val="仿宋_GB2312"/>
        <charset val="134"/>
      </rPr>
      <t>各因素等级说明（</t>
    </r>
    <r>
      <rPr>
        <b/>
        <sz val="16"/>
        <color indexed="10"/>
        <rFont val="仿宋_GB2312"/>
        <charset val="134"/>
      </rPr>
      <t>手工录入的系数取值除建筑面积外，均应自高至低排序</t>
    </r>
    <r>
      <rPr>
        <b/>
        <sz val="16"/>
        <color indexed="8"/>
        <rFont val="仿宋_GB2312"/>
        <charset val="134"/>
      </rPr>
      <t>）</t>
    </r>
  </si>
  <si>
    <t>交易时间（按季度修正）</t>
  </si>
  <si>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</si>
  <si>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仿宋_GB2312"/>
        <charset val="134"/>
      </rPr>
      <t>权益状况</t>
    </r>
  </si>
  <si>
    <r>
      <rPr>
        <sz val="11"/>
        <color indexed="8"/>
        <rFont val="仿宋_GB2312"/>
        <charset val="134"/>
      </rPr>
      <t>用途</t>
    </r>
  </si>
  <si>
    <r>
      <rPr>
        <sz val="11"/>
        <color indexed="8"/>
        <rFont val="仿宋_GB2312"/>
        <charset val="134"/>
      </rPr>
      <t>土地使用年限（年）</t>
    </r>
  </si>
  <si>
    <r>
      <rPr>
        <sz val="11"/>
        <color indexed="8"/>
        <rFont val="仿宋_GB2312"/>
        <charset val="134"/>
      </rPr>
      <t>容积率</t>
    </r>
  </si>
  <si>
    <r>
      <rPr>
        <b/>
        <sz val="11"/>
        <rFont val="仿宋_GB2312"/>
        <charset val="134"/>
      </rPr>
      <t>区位状况</t>
    </r>
  </si>
  <si>
    <r>
      <rPr>
        <sz val="11"/>
        <rFont val="仿宋_GB2312"/>
        <charset val="134"/>
      </rPr>
      <t>多面临街</t>
    </r>
  </si>
  <si>
    <r>
      <rPr>
        <sz val="11"/>
        <rFont val="仿宋_GB2312"/>
        <charset val="134"/>
      </rPr>
      <t>双面临街</t>
    </r>
  </si>
  <si>
    <r>
      <rPr>
        <sz val="11"/>
        <rFont val="仿宋_GB2312"/>
        <charset val="134"/>
      </rPr>
      <t>单面临街</t>
    </r>
  </si>
  <si>
    <r>
      <rPr>
        <sz val="11"/>
        <rFont val="仿宋_GB2312"/>
        <charset val="134"/>
      </rPr>
      <t>不临街</t>
    </r>
  </si>
  <si>
    <r>
      <rPr>
        <b/>
        <sz val="11"/>
        <rFont val="仿宋_GB2312"/>
        <charset val="134"/>
      </rPr>
      <t>实物状况</t>
    </r>
  </si>
  <si>
    <r>
      <rPr>
        <b/>
        <sz val="16"/>
        <rFont val="仿宋_GB2312"/>
        <charset val="134"/>
      </rPr>
      <t>工业</t>
    </r>
  </si>
  <si>
    <r>
      <rPr>
        <sz val="11"/>
        <color indexed="8"/>
        <rFont val="仿宋_GB2312"/>
        <charset val="134"/>
      </rPr>
      <t>环境状况</t>
    </r>
  </si>
  <si>
    <t>交易时间（按季度调整）</t>
  </si>
  <si>
    <r>
      <rPr>
        <b/>
        <sz val="11"/>
        <color indexed="8"/>
        <rFont val="仿宋_GB2312"/>
        <charset val="134"/>
      </rPr>
      <t>官方公布的价格指数</t>
    </r>
    <r>
      <rPr>
        <b/>
        <sz val="11"/>
        <color indexed="8"/>
        <rFont val="Arial"/>
        <charset val="134"/>
      </rPr>
      <t>/</t>
    </r>
    <r>
      <rPr>
        <b/>
        <sz val="11"/>
        <color indexed="8"/>
        <rFont val="仿宋_GB2312"/>
        <charset val="134"/>
      </rPr>
      <t>增幅</t>
    </r>
  </si>
  <si>
    <r>
      <rPr>
        <b/>
        <sz val="16"/>
        <color indexed="10"/>
        <rFont val="仿宋_GB2312"/>
        <charset val="134"/>
      </rPr>
      <t>收益法</t>
    </r>
    <r>
      <rPr>
        <b/>
        <sz val="12"/>
        <rFont val="仿宋_GB2312"/>
        <charset val="134"/>
      </rPr>
      <t>（无租约及租期内）</t>
    </r>
  </si>
  <si>
    <r>
      <rPr>
        <b/>
        <sz val="12"/>
        <rFont val="仿宋_GB2312"/>
        <charset val="134"/>
      </rPr>
      <t>楼面单价</t>
    </r>
  </si>
  <si>
    <r>
      <rPr>
        <b/>
        <sz val="16"/>
        <rFont val="仿宋_GB2312"/>
        <charset val="134"/>
      </rPr>
      <t>租约外</t>
    </r>
  </si>
  <si>
    <r>
      <rPr>
        <sz val="10"/>
        <color indexed="8"/>
        <rFont val="仿宋_GB2312"/>
        <charset val="134"/>
      </rPr>
      <t>序号</t>
    </r>
  </si>
  <si>
    <r>
      <rPr>
        <sz val="10"/>
        <color indexed="8"/>
        <rFont val="仿宋_GB2312"/>
        <charset val="134"/>
      </rPr>
      <t>项目</t>
    </r>
  </si>
  <si>
    <r>
      <rPr>
        <sz val="10"/>
        <color indexed="8"/>
        <rFont val="仿宋_GB2312"/>
        <charset val="134"/>
      </rPr>
      <t>数额</t>
    </r>
  </si>
  <si>
    <r>
      <rPr>
        <sz val="10"/>
        <color indexed="8"/>
        <rFont val="仿宋_GB2312"/>
        <charset val="134"/>
      </rPr>
      <t>计算公式</t>
    </r>
  </si>
  <si>
    <r>
      <rPr>
        <sz val="10"/>
        <color indexed="8"/>
        <rFont val="仿宋_GB2312"/>
        <charset val="134"/>
      </rPr>
      <t>取费标准</t>
    </r>
  </si>
  <si>
    <r>
      <rPr>
        <b/>
        <sz val="10"/>
        <color indexed="8"/>
        <rFont val="楷体_GB2312"/>
        <charset val="134"/>
      </rPr>
      <t>未来第一年年总收益</t>
    </r>
  </si>
  <si>
    <t>年租金收入+押金利息收入+其他收入</t>
  </si>
  <si>
    <t>年租金收入（年经营收入）</t>
  </si>
  <si>
    <t>租金×月数×（1-空置率）</t>
  </si>
  <si>
    <r>
      <rPr>
        <sz val="10"/>
        <color indexed="8"/>
        <rFont val="仿宋_GB2312"/>
        <charset val="134"/>
      </rPr>
      <t>租金</t>
    </r>
  </si>
  <si>
    <r>
      <rPr>
        <sz val="10"/>
        <color indexed="8"/>
        <rFont val="仿宋_GB2312"/>
        <charset val="134"/>
      </rPr>
      <t>租金</t>
    </r>
    <r>
      <rPr>
        <sz val="10"/>
        <color indexed="8"/>
        <rFont val="Arial"/>
        <charset val="134"/>
      </rPr>
      <t>×</t>
    </r>
    <r>
      <rPr>
        <sz val="10"/>
        <color indexed="8"/>
        <rFont val="仿宋_GB2312"/>
        <charset val="134"/>
      </rPr>
      <t>月数</t>
    </r>
    <r>
      <rPr>
        <sz val="10"/>
        <color indexed="8"/>
        <rFont val="Arial"/>
        <charset val="134"/>
      </rPr>
      <t>×</t>
    </r>
    <r>
      <rPr>
        <sz val="10"/>
        <color indexed="8"/>
        <rFont val="仿宋_GB2312"/>
        <charset val="134"/>
      </rPr>
      <t>（</t>
    </r>
    <r>
      <rPr>
        <sz val="10"/>
        <color indexed="8"/>
        <rFont val="Arial"/>
        <charset val="134"/>
      </rPr>
      <t>1-</t>
    </r>
    <r>
      <rPr>
        <sz val="10"/>
        <color indexed="8"/>
        <rFont val="仿宋_GB2312"/>
        <charset val="134"/>
      </rPr>
      <t>空置率）</t>
    </r>
  </si>
  <si>
    <r>
      <rPr>
        <sz val="10"/>
        <color indexed="8"/>
        <rFont val="仿宋_GB2312"/>
        <charset val="134"/>
      </rPr>
      <t>面积</t>
    </r>
    <r>
      <rPr>
        <sz val="10"/>
        <color indexed="8"/>
        <rFont val="Arial"/>
        <charset val="134"/>
      </rPr>
      <t>/</t>
    </r>
    <r>
      <rPr>
        <sz val="10"/>
        <color indexed="8"/>
        <rFont val="仿宋_GB2312"/>
        <charset val="134"/>
      </rPr>
      <t>个数</t>
    </r>
  </si>
  <si>
    <r>
      <rPr>
        <sz val="10"/>
        <color indexed="8"/>
        <rFont val="仿宋_GB2312"/>
        <charset val="134"/>
      </rPr>
      <t>天</t>
    </r>
    <r>
      <rPr>
        <sz val="10"/>
        <color indexed="8"/>
        <rFont val="Arial"/>
        <charset val="134"/>
      </rPr>
      <t>/</t>
    </r>
    <r>
      <rPr>
        <sz val="10"/>
        <color indexed="8"/>
        <rFont val="仿宋_GB2312"/>
        <charset val="134"/>
      </rPr>
      <t>月</t>
    </r>
  </si>
  <si>
    <r>
      <rPr>
        <sz val="10"/>
        <color indexed="8"/>
        <rFont val="仿宋_GB2312"/>
        <charset val="134"/>
      </rPr>
      <t>空置率（</t>
    </r>
    <r>
      <rPr>
        <sz val="10"/>
        <color indexed="8"/>
        <rFont val="Arial"/>
        <charset val="134"/>
      </rPr>
      <t>%</t>
    </r>
    <r>
      <rPr>
        <sz val="10"/>
        <color indexed="8"/>
        <rFont val="仿宋_GB2312"/>
        <charset val="134"/>
      </rPr>
      <t>）</t>
    </r>
  </si>
  <si>
    <t>押金利息收入</t>
  </si>
  <si>
    <t>押金*一年期存款利率</t>
  </si>
  <si>
    <t>押金方式</t>
  </si>
  <si>
    <t>押一</t>
  </si>
  <si>
    <r>
      <rPr>
        <i/>
        <sz val="10"/>
        <color indexed="8"/>
        <rFont val="宋体"/>
        <charset val="134"/>
      </rPr>
      <t>（自定义押金）</t>
    </r>
    <r>
      <rPr>
        <b/>
        <i/>
        <sz val="10"/>
        <color rgb="FFFF0000"/>
        <rFont val="宋体"/>
        <charset val="134"/>
      </rPr>
      <t>单位：元</t>
    </r>
  </si>
  <si>
    <t>其他收入</t>
  </si>
  <si>
    <r>
      <rPr>
        <b/>
        <sz val="10"/>
        <color indexed="8"/>
        <rFont val="仿宋_GB2312"/>
        <charset val="134"/>
      </rPr>
      <t>建筑物现值</t>
    </r>
  </si>
  <si>
    <r>
      <rPr>
        <sz val="10"/>
        <color indexed="8"/>
        <rFont val="仿宋_GB2312"/>
        <charset val="134"/>
      </rPr>
      <t>建筑物重置价格</t>
    </r>
    <r>
      <rPr>
        <sz val="10"/>
        <color indexed="8"/>
        <rFont val="Arial"/>
        <charset val="134"/>
      </rPr>
      <t>×</t>
    </r>
    <r>
      <rPr>
        <sz val="10"/>
        <color indexed="8"/>
        <rFont val="仿宋_GB2312"/>
        <charset val="134"/>
      </rPr>
      <t>成新度</t>
    </r>
  </si>
  <si>
    <r>
      <rPr>
        <sz val="10"/>
        <color indexed="8"/>
        <rFont val="仿宋_GB2312"/>
        <charset val="134"/>
      </rPr>
      <t>成新度（</t>
    </r>
    <r>
      <rPr>
        <sz val="10"/>
        <color indexed="8"/>
        <rFont val="Arial"/>
        <charset val="134"/>
      </rPr>
      <t>%</t>
    </r>
    <r>
      <rPr>
        <sz val="10"/>
        <color indexed="8"/>
        <rFont val="仿宋_GB2312"/>
        <charset val="134"/>
      </rPr>
      <t>）</t>
    </r>
  </si>
  <si>
    <r>
      <rPr>
        <sz val="10"/>
        <color indexed="8"/>
        <rFont val="仿宋_GB2312"/>
        <charset val="134"/>
      </rPr>
      <t>建筑物重置价值</t>
    </r>
    <r>
      <rPr>
        <sz val="10"/>
        <color indexed="8"/>
        <rFont val="Arial"/>
        <charset val="134"/>
      </rPr>
      <t>×</t>
    </r>
    <r>
      <rPr>
        <sz val="10"/>
        <color indexed="8"/>
        <rFont val="仿宋_GB2312"/>
        <charset val="134"/>
      </rPr>
      <t>成新度</t>
    </r>
  </si>
  <si>
    <r>
      <rPr>
        <sz val="10"/>
        <color indexed="8"/>
        <rFont val="仿宋_GB2312"/>
        <charset val="134"/>
      </rPr>
      <t>建安单价</t>
    </r>
    <r>
      <rPr>
        <sz val="10"/>
        <color indexed="8"/>
        <rFont val="Arial"/>
        <charset val="134"/>
      </rPr>
      <t>×</t>
    </r>
    <r>
      <rPr>
        <sz val="10"/>
        <color indexed="8"/>
        <rFont val="仿宋_GB2312"/>
        <charset val="134"/>
      </rPr>
      <t>建筑面积</t>
    </r>
  </si>
  <si>
    <t>建筑物重置价格</t>
  </si>
  <si>
    <r>
      <rPr>
        <sz val="10"/>
        <color indexed="8"/>
        <rFont val="仿宋_GB2312"/>
        <charset val="134"/>
      </rPr>
      <t>建安费用</t>
    </r>
    <r>
      <rPr>
        <sz val="10"/>
        <color indexed="8"/>
        <rFont val="Arial"/>
        <charset val="134"/>
      </rPr>
      <t>×</t>
    </r>
    <r>
      <rPr>
        <sz val="10"/>
        <color indexed="8"/>
        <rFont val="仿宋_GB2312"/>
        <charset val="134"/>
      </rPr>
      <t>费率</t>
    </r>
  </si>
  <si>
    <r>
      <rPr>
        <sz val="10"/>
        <color indexed="8"/>
        <rFont val="仿宋_GB2312"/>
        <charset val="134"/>
      </rPr>
      <t>费率（</t>
    </r>
    <r>
      <rPr>
        <sz val="10"/>
        <color indexed="8"/>
        <rFont val="Arial"/>
        <charset val="134"/>
      </rPr>
      <t>%</t>
    </r>
    <r>
      <rPr>
        <sz val="10"/>
        <color indexed="8"/>
        <rFont val="仿宋_GB2312"/>
        <charset val="134"/>
      </rPr>
      <t>）</t>
    </r>
  </si>
  <si>
    <t>3</t>
  </si>
  <si>
    <r>
      <rPr>
        <b/>
        <sz val="10"/>
        <color indexed="8"/>
        <rFont val="仿宋_GB2312"/>
        <charset val="134"/>
      </rPr>
      <t>年经营费用</t>
    </r>
  </si>
  <si>
    <r>
      <rPr>
        <sz val="10"/>
        <color indexed="8"/>
        <rFont val="仿宋_GB2312"/>
        <charset val="134"/>
      </rPr>
      <t>税费</t>
    </r>
    <r>
      <rPr>
        <sz val="10"/>
        <color indexed="8"/>
        <rFont val="Arial"/>
        <charset val="134"/>
      </rPr>
      <t>+</t>
    </r>
    <r>
      <rPr>
        <sz val="10"/>
        <color indexed="8"/>
        <rFont val="仿宋_GB2312"/>
        <charset val="134"/>
      </rPr>
      <t>维修费</t>
    </r>
    <r>
      <rPr>
        <sz val="10"/>
        <color indexed="8"/>
        <rFont val="Arial"/>
        <charset val="134"/>
      </rPr>
      <t>+</t>
    </r>
    <r>
      <rPr>
        <sz val="10"/>
        <color indexed="8"/>
        <rFont val="仿宋_GB2312"/>
        <charset val="134"/>
      </rPr>
      <t>保险费</t>
    </r>
    <r>
      <rPr>
        <sz val="10"/>
        <color indexed="8"/>
        <rFont val="Arial"/>
        <charset val="134"/>
      </rPr>
      <t>+</t>
    </r>
    <r>
      <rPr>
        <sz val="10"/>
        <color indexed="8"/>
        <rFont val="仿宋_GB2312"/>
        <charset val="134"/>
      </rPr>
      <t>管理费</t>
    </r>
  </si>
  <si>
    <r>
      <rPr>
        <sz val="10"/>
        <color indexed="8"/>
        <rFont val="Arial"/>
        <charset val="134"/>
      </rPr>
      <t>4</t>
    </r>
    <r>
      <rPr>
        <sz val="10"/>
        <color indexed="8"/>
        <rFont val="宋体"/>
        <charset val="134"/>
      </rPr>
      <t>）</t>
    </r>
  </si>
  <si>
    <r>
      <rPr>
        <sz val="10"/>
        <color indexed="8"/>
        <rFont val="仿宋_GB2312"/>
        <charset val="134"/>
      </rPr>
      <t>基础设施建设费</t>
    </r>
  </si>
  <si>
    <r>
      <rPr>
        <sz val="10"/>
        <color indexed="8"/>
        <rFont val="仿宋_GB2312"/>
        <charset val="134"/>
      </rPr>
      <t>建筑面积</t>
    </r>
    <r>
      <rPr>
        <sz val="10"/>
        <color indexed="8"/>
        <rFont val="Arial"/>
        <charset val="134"/>
      </rPr>
      <t>×</t>
    </r>
    <r>
      <rPr>
        <sz val="10"/>
        <color indexed="8"/>
        <rFont val="仿宋_GB2312"/>
        <charset val="134"/>
      </rPr>
      <t>取费标准</t>
    </r>
  </si>
  <si>
    <r>
      <rPr>
        <sz val="10"/>
        <color indexed="8"/>
        <rFont val="仿宋_GB2312"/>
        <charset val="134"/>
      </rPr>
      <t>市政费用（元</t>
    </r>
    <r>
      <rPr>
        <sz val="10"/>
        <color indexed="8"/>
        <rFont val="Arial"/>
        <charset val="134"/>
      </rPr>
      <t>/</t>
    </r>
    <r>
      <rPr>
        <sz val="10"/>
        <color indexed="8"/>
        <rFont val="仿宋_GB2312"/>
        <charset val="134"/>
      </rPr>
      <t>㎡）</t>
    </r>
  </si>
  <si>
    <r>
      <rPr>
        <sz val="10"/>
        <color indexed="8"/>
        <rFont val="仿宋_GB2312"/>
        <charset val="134"/>
      </rPr>
      <t>税</t>
    </r>
    <r>
      <rPr>
        <sz val="10"/>
        <color indexed="8"/>
        <rFont val="Arial"/>
        <charset val="134"/>
      </rPr>
      <t xml:space="preserve">  </t>
    </r>
    <r>
      <rPr>
        <sz val="10"/>
        <color indexed="8"/>
        <rFont val="仿宋_GB2312"/>
        <charset val="134"/>
      </rPr>
      <t>费</t>
    </r>
  </si>
  <si>
    <r>
      <rPr>
        <sz val="10"/>
        <color indexed="8"/>
        <rFont val="仿宋_GB2312"/>
        <charset val="134"/>
      </rPr>
      <t>两税一费</t>
    </r>
    <r>
      <rPr>
        <sz val="10"/>
        <color indexed="8"/>
        <rFont val="Arial"/>
        <charset val="134"/>
      </rPr>
      <t>+</t>
    </r>
    <r>
      <rPr>
        <sz val="10"/>
        <color indexed="8"/>
        <rFont val="仿宋_GB2312"/>
        <charset val="134"/>
      </rPr>
      <t>房产税</t>
    </r>
    <r>
      <rPr>
        <sz val="10"/>
        <color indexed="8"/>
        <rFont val="Arial"/>
        <charset val="134"/>
      </rPr>
      <t>+</t>
    </r>
    <r>
      <rPr>
        <sz val="10"/>
        <color indexed="8"/>
        <rFont val="仿宋_GB2312"/>
        <charset val="134"/>
      </rPr>
      <t>城镇土地使用税</t>
    </r>
  </si>
  <si>
    <r>
      <rPr>
        <sz val="10"/>
        <color indexed="8"/>
        <rFont val="仿宋_GB2312"/>
        <charset val="134"/>
      </rPr>
      <t>综合税率</t>
    </r>
  </si>
  <si>
    <r>
      <rPr>
        <sz val="10"/>
        <color indexed="8"/>
        <rFont val="Arial"/>
        <charset val="134"/>
      </rPr>
      <t>5</t>
    </r>
    <r>
      <rPr>
        <sz val="10"/>
        <color indexed="8"/>
        <rFont val="宋体"/>
        <charset val="134"/>
      </rPr>
      <t>）</t>
    </r>
  </si>
  <si>
    <r>
      <rPr>
        <sz val="10"/>
        <color indexed="8"/>
        <rFont val="仿宋_GB2312"/>
        <charset val="134"/>
      </rPr>
      <t>两税两费</t>
    </r>
  </si>
  <si>
    <r>
      <rPr>
        <sz val="10"/>
        <color indexed="8"/>
        <rFont val="仿宋_GB2312"/>
        <charset val="134"/>
      </rPr>
      <t>年总收益</t>
    </r>
    <r>
      <rPr>
        <sz val="10"/>
        <color indexed="8"/>
        <rFont val="Arial"/>
        <charset val="134"/>
      </rPr>
      <t>×</t>
    </r>
    <r>
      <rPr>
        <sz val="10"/>
        <color indexed="8"/>
        <rFont val="仿宋_GB2312"/>
        <charset val="134"/>
      </rPr>
      <t>费率</t>
    </r>
    <r>
      <rPr>
        <sz val="10"/>
        <color indexed="8"/>
        <rFont val="Arial"/>
        <charset val="134"/>
      </rPr>
      <t>/(1+5%)</t>
    </r>
  </si>
  <si>
    <r>
      <rPr>
        <sz val="10"/>
        <color indexed="8"/>
        <rFont val="仿宋_GB2312"/>
        <charset val="134"/>
      </rPr>
      <t>建造成本</t>
    </r>
  </si>
  <si>
    <r>
      <rPr>
        <sz val="10"/>
        <color indexed="8"/>
        <rFont val="仿宋_GB2312"/>
        <charset val="134"/>
      </rPr>
      <t>建安费用</t>
    </r>
    <r>
      <rPr>
        <sz val="10"/>
        <color indexed="8"/>
        <rFont val="Arial"/>
        <charset val="134"/>
      </rPr>
      <t>+</t>
    </r>
    <r>
      <rPr>
        <sz val="10"/>
        <color indexed="8"/>
        <rFont val="仿宋_GB2312"/>
        <charset val="134"/>
      </rPr>
      <t>公共配套设施费用</t>
    </r>
    <r>
      <rPr>
        <sz val="10"/>
        <color indexed="8"/>
        <rFont val="Arial"/>
        <charset val="134"/>
      </rPr>
      <t>+</t>
    </r>
    <r>
      <rPr>
        <sz val="10"/>
        <color indexed="8"/>
        <rFont val="仿宋_GB2312"/>
        <charset val="134"/>
      </rPr>
      <t>基础设施建设费</t>
    </r>
    <r>
      <rPr>
        <sz val="10"/>
        <color indexed="8"/>
        <rFont val="Arial"/>
        <charset val="134"/>
      </rPr>
      <t>+</t>
    </r>
    <r>
      <rPr>
        <sz val="10"/>
        <color indexed="8"/>
        <rFont val="仿宋_GB2312"/>
        <charset val="134"/>
      </rPr>
      <t>相关税费</t>
    </r>
  </si>
  <si>
    <r>
      <rPr>
        <sz val="10"/>
        <color indexed="8"/>
        <rFont val="仿宋_GB2312"/>
        <charset val="134"/>
      </rPr>
      <t>房产税</t>
    </r>
  </si>
  <si>
    <r>
      <rPr>
        <sz val="10"/>
        <color indexed="8"/>
        <rFont val="仿宋_GB2312"/>
        <charset val="134"/>
      </rPr>
      <t>按房产原值计税</t>
    </r>
  </si>
  <si>
    <r>
      <rPr>
        <sz val="10"/>
        <color indexed="8"/>
        <rFont val="仿宋_GB2312"/>
        <charset val="134"/>
      </rPr>
      <t>管理费用</t>
    </r>
  </si>
  <si>
    <r>
      <rPr>
        <sz val="10"/>
        <color indexed="8"/>
        <rFont val="仿宋_GB2312"/>
        <charset val="134"/>
      </rPr>
      <t>建造成本</t>
    </r>
    <r>
      <rPr>
        <sz val="10"/>
        <color indexed="8"/>
        <rFont val="Arial"/>
        <charset val="134"/>
      </rPr>
      <t>×</t>
    </r>
    <r>
      <rPr>
        <sz val="10"/>
        <color indexed="8"/>
        <rFont val="仿宋_GB2312"/>
        <charset val="134"/>
      </rPr>
      <t>费率</t>
    </r>
  </si>
  <si>
    <r>
      <rPr>
        <sz val="10"/>
        <color indexed="8"/>
        <rFont val="仿宋_GB2312"/>
        <charset val="134"/>
      </rPr>
      <t>城镇土地使用税</t>
    </r>
  </si>
  <si>
    <r>
      <rPr>
        <sz val="10"/>
        <color indexed="8"/>
        <rFont val="仿宋_GB2312"/>
        <charset val="134"/>
      </rPr>
      <t>土地面积</t>
    </r>
    <r>
      <rPr>
        <sz val="10"/>
        <color indexed="8"/>
        <rFont val="Arial"/>
        <charset val="134"/>
      </rPr>
      <t>×</t>
    </r>
    <r>
      <rPr>
        <sz val="10"/>
        <color indexed="8"/>
        <rFont val="仿宋_GB2312"/>
        <charset val="134"/>
      </rPr>
      <t>取费标准</t>
    </r>
  </si>
  <si>
    <r>
      <rPr>
        <sz val="10"/>
        <color indexed="8"/>
        <rFont val="仿宋_GB2312"/>
        <charset val="134"/>
      </rPr>
      <t>纳税标准（元</t>
    </r>
    <r>
      <rPr>
        <sz val="10"/>
        <color indexed="8"/>
        <rFont val="Arial"/>
        <charset val="134"/>
      </rPr>
      <t>/</t>
    </r>
    <r>
      <rPr>
        <sz val="10"/>
        <color indexed="8"/>
        <rFont val="仿宋_GB2312"/>
        <charset val="134"/>
      </rPr>
      <t>㎡）</t>
    </r>
  </si>
  <si>
    <r>
      <rPr>
        <sz val="10"/>
        <color indexed="8"/>
        <rFont val="仿宋_GB2312"/>
        <charset val="134"/>
      </rPr>
      <t>销售费用</t>
    </r>
  </si>
  <si>
    <r>
      <rPr>
        <sz val="10"/>
        <color indexed="8"/>
        <rFont val="仿宋_GB2312"/>
        <charset val="134"/>
      </rPr>
      <t>建筑物重置价格</t>
    </r>
    <r>
      <rPr>
        <sz val="10"/>
        <color indexed="8"/>
        <rFont val="Arial"/>
        <charset val="134"/>
      </rPr>
      <t>×</t>
    </r>
    <r>
      <rPr>
        <sz val="10"/>
        <color indexed="8"/>
        <rFont val="仿宋_GB2312"/>
        <charset val="134"/>
      </rPr>
      <t>费率</t>
    </r>
  </si>
  <si>
    <r>
      <rPr>
        <sz val="10"/>
        <color indexed="8"/>
        <rFont val="仿宋_GB2312"/>
        <charset val="134"/>
      </rPr>
      <t>销售费率（</t>
    </r>
    <r>
      <rPr>
        <sz val="10"/>
        <color indexed="8"/>
        <rFont val="Arial"/>
        <charset val="134"/>
      </rPr>
      <t>%</t>
    </r>
    <r>
      <rPr>
        <sz val="10"/>
        <color indexed="8"/>
        <rFont val="仿宋_GB2312"/>
        <charset val="134"/>
      </rPr>
      <t>）</t>
    </r>
  </si>
  <si>
    <r>
      <rPr>
        <sz val="10"/>
        <color indexed="8"/>
        <rFont val="仿宋_GB2312"/>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</si>
  <si>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</si>
  <si>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仿宋_GB2312"/>
        <charset val="134"/>
      </rPr>
      <t>贷款利息</t>
    </r>
  </si>
  <si>
    <r>
      <rPr>
        <sz val="10"/>
        <color indexed="8"/>
        <rFont val="仿宋_GB2312"/>
        <charset val="134"/>
      </rPr>
      <t>维修费</t>
    </r>
  </si>
  <si>
    <r>
      <rPr>
        <sz val="10"/>
        <color indexed="8"/>
        <rFont val="仿宋_GB2312"/>
        <charset val="134"/>
      </rPr>
      <t>建筑物重置价值</t>
    </r>
    <r>
      <rPr>
        <sz val="10"/>
        <color indexed="8"/>
        <rFont val="Arial"/>
        <charset val="134"/>
      </rPr>
      <t>×</t>
    </r>
    <r>
      <rPr>
        <sz val="10"/>
        <color indexed="8"/>
        <rFont val="仿宋_GB2312"/>
        <charset val="134"/>
      </rPr>
      <t>维修费率</t>
    </r>
  </si>
  <si>
    <r>
      <rPr>
        <sz val="10"/>
        <color indexed="8"/>
        <rFont val="仿宋_GB2312"/>
        <charset val="134"/>
      </rPr>
      <t>（</t>
    </r>
    <r>
      <rPr>
        <sz val="10"/>
        <color indexed="8"/>
        <rFont val="Arial"/>
        <charset val="134"/>
      </rPr>
      <t>1</t>
    </r>
    <r>
      <rPr>
        <sz val="10"/>
        <color indexed="8"/>
        <rFont val="仿宋_GB2312"/>
        <charset val="134"/>
      </rPr>
      <t>）及（</t>
    </r>
    <r>
      <rPr>
        <sz val="10"/>
        <color indexed="8"/>
        <rFont val="Arial"/>
        <charset val="134"/>
      </rPr>
      <t>2</t>
    </r>
    <r>
      <rPr>
        <sz val="10"/>
        <color indexed="8"/>
        <rFont val="仿宋_GB2312"/>
        <charset val="134"/>
      </rPr>
      <t>）</t>
    </r>
    <r>
      <rPr>
        <sz val="10"/>
        <color indexed="8"/>
        <rFont val="仿宋_GB2312"/>
        <charset val="134"/>
      </rPr>
      <t>项产生的利息</t>
    </r>
  </si>
  <si>
    <r>
      <rPr>
        <sz val="10"/>
        <color indexed="8"/>
        <rFont val="仿宋_GB2312"/>
        <charset val="134"/>
      </rPr>
      <t>建设周期（年）</t>
    </r>
  </si>
  <si>
    <r>
      <rPr>
        <sz val="10"/>
        <color indexed="8"/>
        <rFont val="仿宋_GB2312"/>
        <charset val="134"/>
      </rPr>
      <t>保险费</t>
    </r>
  </si>
  <si>
    <r>
      <rPr>
        <sz val="10"/>
        <color indexed="8"/>
        <rFont val="仿宋_GB2312"/>
        <charset val="134"/>
      </rPr>
      <t>现值</t>
    </r>
    <r>
      <rPr>
        <sz val="10"/>
        <color indexed="8"/>
        <rFont val="Arial"/>
        <charset val="134"/>
      </rPr>
      <t>×</t>
    </r>
    <r>
      <rPr>
        <sz val="10"/>
        <color indexed="8"/>
        <rFont val="仿宋_GB2312"/>
        <charset val="134"/>
      </rPr>
      <t>保险费率</t>
    </r>
  </si>
  <si>
    <r>
      <rPr>
        <sz val="10"/>
        <color indexed="8"/>
        <rFont val="仿宋_GB2312"/>
        <charset val="134"/>
      </rPr>
      <t>销售费用产生的利息</t>
    </r>
  </si>
  <si>
    <r>
      <rPr>
        <sz val="10"/>
        <color indexed="8"/>
        <rFont val="仿宋_GB2312"/>
        <charset val="134"/>
      </rPr>
      <t>利息（</t>
    </r>
    <r>
      <rPr>
        <sz val="10"/>
        <color indexed="8"/>
        <rFont val="Arial"/>
        <charset val="134"/>
      </rPr>
      <t>%</t>
    </r>
    <r>
      <rPr>
        <sz val="10"/>
        <color indexed="8"/>
        <rFont val="仿宋_GB2312"/>
        <charset val="134"/>
      </rPr>
      <t>）</t>
    </r>
  </si>
  <si>
    <r>
      <rPr>
        <sz val="10"/>
        <color indexed="8"/>
        <rFont val="仿宋_GB2312"/>
        <charset val="134"/>
      </rPr>
      <t>年总收益</t>
    </r>
    <r>
      <rPr>
        <sz val="10"/>
        <color indexed="8"/>
        <rFont val="Arial"/>
        <charset val="134"/>
      </rPr>
      <t>×</t>
    </r>
    <r>
      <rPr>
        <sz val="10"/>
        <color indexed="8"/>
        <rFont val="仿宋_GB2312"/>
        <charset val="134"/>
      </rPr>
      <t>费率</t>
    </r>
  </si>
  <si>
    <r>
      <rPr>
        <sz val="10"/>
        <color indexed="8"/>
        <rFont val="仿宋_GB2312"/>
        <charset val="134"/>
      </rPr>
      <t>利润</t>
    </r>
  </si>
  <si>
    <r>
      <rPr>
        <sz val="10"/>
        <color indexed="8"/>
        <rFont val="仿宋_GB2312"/>
        <charset val="134"/>
      </rPr>
      <t>（建造成本</t>
    </r>
    <r>
      <rPr>
        <sz val="10"/>
        <color indexed="8"/>
        <rFont val="Arial"/>
        <charset val="134"/>
      </rPr>
      <t>+</t>
    </r>
    <r>
      <rPr>
        <sz val="10"/>
        <color indexed="8"/>
        <rFont val="仿宋_GB2312"/>
        <charset val="134"/>
      </rPr>
      <t>管理费用</t>
    </r>
    <r>
      <rPr>
        <sz val="10"/>
        <color indexed="8"/>
        <rFont val="Arial"/>
        <charset val="134"/>
      </rPr>
      <t>+</t>
    </r>
    <r>
      <rPr>
        <sz val="10"/>
        <color indexed="8"/>
        <rFont val="仿宋_GB2312"/>
        <charset val="134"/>
      </rPr>
      <t>销售费用）</t>
    </r>
    <r>
      <rPr>
        <sz val="10"/>
        <color indexed="8"/>
        <rFont val="Arial"/>
        <charset val="134"/>
      </rPr>
      <t>×</t>
    </r>
    <r>
      <rPr>
        <sz val="10"/>
        <color indexed="8"/>
        <rFont val="仿宋_GB2312"/>
        <charset val="134"/>
      </rPr>
      <t>利润率</t>
    </r>
  </si>
  <si>
    <t>4</t>
  </si>
  <si>
    <t>不动产未来第一年净收益</t>
  </si>
  <si>
    <r>
      <rPr>
        <sz val="10"/>
        <color indexed="8"/>
        <rFont val="仿宋_GB2312"/>
        <charset val="134"/>
      </rPr>
      <t>年总收益</t>
    </r>
    <r>
      <rPr>
        <sz val="10"/>
        <color indexed="8"/>
        <rFont val="Arial"/>
        <charset val="134"/>
      </rPr>
      <t>-</t>
    </r>
    <r>
      <rPr>
        <sz val="10"/>
        <color indexed="8"/>
        <rFont val="仿宋_GB2312"/>
        <charset val="134"/>
      </rPr>
      <t>年经营费用</t>
    </r>
  </si>
  <si>
    <r>
      <rPr>
        <sz val="10"/>
        <color indexed="8"/>
        <rFont val="仿宋_GB2312"/>
        <charset val="134"/>
      </rPr>
      <t>（</t>
    </r>
    <r>
      <rPr>
        <sz val="10"/>
        <color indexed="8"/>
        <rFont val="Arial"/>
        <charset val="134"/>
      </rPr>
      <t>1</t>
    </r>
    <r>
      <rPr>
        <sz val="10"/>
        <color indexed="8"/>
        <rFont val="仿宋_GB2312"/>
        <charset val="134"/>
      </rPr>
      <t>）及（</t>
    </r>
    <r>
      <rPr>
        <sz val="10"/>
        <color indexed="8"/>
        <rFont val="Arial"/>
        <charset val="134"/>
      </rPr>
      <t>2</t>
    </r>
    <r>
      <rPr>
        <sz val="10"/>
        <color indexed="8"/>
        <rFont val="仿宋_GB2312"/>
        <charset val="134"/>
      </rPr>
      <t>）项产生的利润</t>
    </r>
  </si>
  <si>
    <r>
      <rPr>
        <sz val="10"/>
        <color indexed="8"/>
        <rFont val="仿宋_GB2312"/>
        <charset val="134"/>
      </rPr>
      <t>（建造成本</t>
    </r>
    <r>
      <rPr>
        <sz val="10"/>
        <color indexed="8"/>
        <rFont val="Arial"/>
        <charset val="134"/>
      </rPr>
      <t>+</t>
    </r>
    <r>
      <rPr>
        <sz val="10"/>
        <color indexed="8"/>
        <rFont val="仿宋_GB2312"/>
        <charset val="134"/>
      </rPr>
      <t>管理费用）</t>
    </r>
    <r>
      <rPr>
        <sz val="10"/>
        <color indexed="8"/>
        <rFont val="Arial"/>
        <charset val="134"/>
      </rPr>
      <t>×</t>
    </r>
    <r>
      <rPr>
        <sz val="10"/>
        <color indexed="8"/>
        <rFont val="仿宋_GB2312"/>
        <charset val="134"/>
      </rPr>
      <t>利润率</t>
    </r>
  </si>
  <si>
    <r>
      <rPr>
        <sz val="10"/>
        <color indexed="8"/>
        <rFont val="仿宋_GB2312"/>
        <charset val="134"/>
      </rPr>
      <t>利润率（</t>
    </r>
    <r>
      <rPr>
        <sz val="10"/>
        <color indexed="8"/>
        <rFont val="Arial"/>
        <charset val="134"/>
      </rPr>
      <t>%</t>
    </r>
    <r>
      <rPr>
        <sz val="10"/>
        <color indexed="8"/>
        <rFont val="仿宋_GB2312"/>
        <charset val="134"/>
      </rPr>
      <t>）</t>
    </r>
  </si>
  <si>
    <t>5</t>
  </si>
  <si>
    <t>租约外不动产总价</t>
  </si>
  <si>
    <r>
      <rPr>
        <sz val="10"/>
        <color indexed="8"/>
        <rFont val="仿宋_GB2312"/>
        <charset val="134"/>
      </rPr>
      <t>房地产未来第一年净收益</t>
    </r>
    <r>
      <rPr>
        <sz val="10"/>
        <color indexed="8"/>
        <rFont val="Arial"/>
        <charset val="134"/>
      </rPr>
      <t>×</t>
    </r>
  </si>
  <si>
    <r>
      <rPr>
        <sz val="10"/>
        <color indexed="8"/>
        <rFont val="仿宋_GB2312"/>
        <charset val="134"/>
      </rPr>
      <t>还原率（</t>
    </r>
    <r>
      <rPr>
        <sz val="10"/>
        <color indexed="8"/>
        <rFont val="Arial"/>
        <charset val="134"/>
      </rPr>
      <t>Y</t>
    </r>
    <r>
      <rPr>
        <sz val="10"/>
        <color indexed="8"/>
        <rFont val="仿宋_GB2312"/>
        <charset val="134"/>
      </rPr>
      <t>）</t>
    </r>
  </si>
  <si>
    <r>
      <rPr>
        <sz val="10"/>
        <color indexed="8"/>
        <rFont val="仿宋_GB2312"/>
        <charset val="134"/>
      </rPr>
      <t>销售费用产生的利润</t>
    </r>
  </si>
  <si>
    <r>
      <rPr>
        <sz val="10"/>
        <color indexed="8"/>
        <rFont val="仿宋_GB2312"/>
        <charset val="134"/>
      </rPr>
      <t>销售费用</t>
    </r>
    <r>
      <rPr>
        <sz val="10"/>
        <color indexed="8"/>
        <rFont val="Arial"/>
        <charset val="134"/>
      </rPr>
      <t>×</t>
    </r>
    <r>
      <rPr>
        <sz val="10"/>
        <color indexed="8"/>
        <rFont val="仿宋_GB2312"/>
        <charset val="134"/>
      </rPr>
      <t>利润率</t>
    </r>
  </si>
  <si>
    <r>
      <rPr>
        <sz val="10"/>
        <color indexed="8"/>
        <rFont val="Arial"/>
        <charset val="134"/>
      </rPr>
      <t>[1-</t>
    </r>
    <r>
      <rPr>
        <sz val="10"/>
        <color indexed="8"/>
        <rFont val="仿宋_GB2312"/>
        <charset val="134"/>
      </rPr>
      <t>（</t>
    </r>
    <r>
      <rPr>
        <sz val="10"/>
        <color indexed="8"/>
        <rFont val="Arial"/>
        <charset val="134"/>
      </rPr>
      <t>(1+g)/(1+Y)</t>
    </r>
    <r>
      <rPr>
        <sz val="10"/>
        <color indexed="8"/>
        <rFont val="仿宋_GB2312"/>
        <charset val="134"/>
      </rPr>
      <t>）</t>
    </r>
    <r>
      <rPr>
        <sz val="10"/>
        <color indexed="8"/>
        <rFont val="Arial"/>
        <charset val="134"/>
      </rPr>
      <t xml:space="preserve"> ^n ]/(Y-g)</t>
    </r>
  </si>
  <si>
    <r>
      <rPr>
        <sz val="10"/>
        <color indexed="8"/>
        <rFont val="仿宋_GB2312"/>
        <charset val="134"/>
      </rPr>
      <t>收益年期</t>
    </r>
    <r>
      <rPr>
        <sz val="10"/>
        <color indexed="8"/>
        <rFont val="Arial"/>
        <charset val="134"/>
      </rPr>
      <t>(n)</t>
    </r>
  </si>
  <si>
    <r>
      <rPr>
        <sz val="10"/>
        <color indexed="8"/>
        <rFont val="仿宋_GB2312"/>
        <charset val="134"/>
      </rPr>
      <t>销售税费</t>
    </r>
  </si>
  <si>
    <r>
      <rPr>
        <sz val="10"/>
        <color indexed="8"/>
        <rFont val="仿宋_GB2312"/>
        <charset val="134"/>
      </rPr>
      <t>建筑物重置价格</t>
    </r>
    <r>
      <rPr>
        <sz val="10"/>
        <color indexed="8"/>
        <rFont val="Arial"/>
        <charset val="134"/>
      </rPr>
      <t>×</t>
    </r>
    <r>
      <rPr>
        <sz val="10"/>
        <color indexed="8"/>
        <rFont val="仿宋_GB2312"/>
        <charset val="134"/>
      </rPr>
      <t>费率</t>
    </r>
    <r>
      <rPr>
        <sz val="10"/>
        <color indexed="8"/>
        <rFont val="Arial"/>
        <charset val="134"/>
      </rPr>
      <t>/(1+5%)</t>
    </r>
  </si>
  <si>
    <r>
      <rPr>
        <sz val="10"/>
        <color indexed="8"/>
        <rFont val="仿宋_GB2312"/>
        <charset val="134"/>
      </rPr>
      <t>年增长比率</t>
    </r>
    <r>
      <rPr>
        <sz val="10"/>
        <color indexed="8"/>
        <rFont val="Arial"/>
        <charset val="134"/>
      </rPr>
      <t>(g)</t>
    </r>
  </si>
  <si>
    <t>（7）</t>
  </si>
  <si>
    <r>
      <rPr>
        <sz val="10"/>
        <color indexed="8"/>
        <rFont val="仿宋_GB2312"/>
        <charset val="134"/>
      </rPr>
      <t>建筑物重置价格（P</t>
    </r>
    <r>
      <rPr>
        <vertAlign val="subscript"/>
        <sz val="10"/>
        <color indexed="8"/>
        <rFont val="仿宋_GB2312"/>
        <charset val="134"/>
      </rPr>
      <t>建</t>
    </r>
    <r>
      <rPr>
        <sz val="10"/>
        <color indexed="8"/>
        <rFont val="仿宋_GB2312"/>
        <charset val="134"/>
      </rPr>
      <t>）</t>
    </r>
  </si>
  <si>
    <t>6</t>
  </si>
  <si>
    <r>
      <rPr>
        <b/>
        <sz val="10"/>
        <color indexed="8"/>
        <rFont val="仿宋_GB2312"/>
        <charset val="134"/>
      </rPr>
      <t>折现价值</t>
    </r>
  </si>
  <si>
    <r>
      <rPr>
        <sz val="10"/>
        <color indexed="8"/>
        <rFont val="仿宋_GB2312"/>
        <charset val="134"/>
      </rPr>
      <t>房地产价值</t>
    </r>
    <r>
      <rPr>
        <sz val="10"/>
        <color indexed="8"/>
        <rFont val="Arial"/>
        <charset val="134"/>
      </rPr>
      <t>÷</t>
    </r>
    <r>
      <rPr>
        <sz val="10"/>
        <color indexed="8"/>
        <rFont val="仿宋_GB2312"/>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</si>
  <si>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</si>
  <si>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</si>
  <si>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1"/>
        <color indexed="8"/>
        <rFont val="仿宋_GB2312"/>
        <charset val="134"/>
      </rPr>
      <t>分摊土地</t>
    </r>
    <r>
      <rPr>
        <sz val="11"/>
        <color indexed="8"/>
        <rFont val="Arial"/>
        <charset val="134"/>
      </rPr>
      <t>/</t>
    </r>
    <r>
      <rPr>
        <sz val="11"/>
        <color indexed="8"/>
        <rFont val="仿宋_GB2312"/>
        <charset val="134"/>
      </rPr>
      <t>建筑物价值</t>
    </r>
  </si>
  <si>
    <r>
      <rPr>
        <sz val="10"/>
        <rFont val="仿宋_GB2312"/>
        <charset val="134"/>
      </rPr>
      <t>房屋年纯收益</t>
    </r>
  </si>
  <si>
    <r>
      <rPr>
        <sz val="10"/>
        <color indexed="8"/>
        <rFont val="仿宋_GB2312"/>
        <charset val="134"/>
      </rPr>
      <t>建筑物重置价格</t>
    </r>
    <r>
      <rPr>
        <sz val="10"/>
        <color indexed="8"/>
        <rFont val="Arial"/>
        <charset val="134"/>
      </rPr>
      <t>×</t>
    </r>
    <r>
      <rPr>
        <sz val="10"/>
        <color indexed="8"/>
        <rFont val="仿宋_GB2312"/>
        <charset val="134"/>
      </rPr>
      <t>维修费率</t>
    </r>
  </si>
  <si>
    <r>
      <rPr>
        <sz val="10"/>
        <rFont val="仿宋_GB2312"/>
        <charset val="134"/>
      </rPr>
      <t>建筑物资本化率</t>
    </r>
  </si>
  <si>
    <r>
      <rPr>
        <b/>
        <sz val="10"/>
        <color indexed="8"/>
        <rFont val="仿宋_GB2312"/>
        <charset val="134"/>
      </rPr>
      <t>确定合理的建筑物与土地价值比例</t>
    </r>
  </si>
  <si>
    <r>
      <rPr>
        <b/>
        <sz val="10"/>
        <color indexed="10"/>
        <rFont val="Arial"/>
        <charset val="134"/>
      </rPr>
      <t>1.</t>
    </r>
    <r>
      <rPr>
        <b/>
        <sz val="10"/>
        <color indexed="10"/>
        <rFont val="仿宋_GB2312"/>
        <charset val="134"/>
      </rPr>
      <t>收益比率</t>
    </r>
  </si>
  <si>
    <r>
      <rPr>
        <sz val="10"/>
        <rFont val="仿宋_GB2312"/>
        <charset val="134"/>
      </rPr>
      <t>建筑物年收益比率</t>
    </r>
  </si>
  <si>
    <t>不动产总价</t>
  </si>
  <si>
    <r>
      <rPr>
        <sz val="10"/>
        <rFont val="仿宋_GB2312"/>
        <charset val="134"/>
      </rPr>
      <t>土地年收益比率</t>
    </r>
  </si>
  <si>
    <r>
      <rPr>
        <b/>
        <sz val="10"/>
        <color indexed="10"/>
        <rFont val="Arial"/>
        <charset val="134"/>
      </rPr>
      <t>2.</t>
    </r>
    <r>
      <rPr>
        <b/>
        <sz val="10"/>
        <color indexed="10"/>
        <rFont val="仿宋_GB2312"/>
        <charset val="134"/>
      </rPr>
      <t>成本比率</t>
    </r>
  </si>
  <si>
    <r>
      <rPr>
        <sz val="10"/>
        <color indexed="8"/>
        <rFont val="仿宋_GB2312"/>
        <charset val="134"/>
      </rPr>
      <t>建筑物价值比率</t>
    </r>
  </si>
  <si>
    <r>
      <rPr>
        <b/>
        <sz val="10"/>
        <color indexed="8"/>
        <rFont val="仿宋_GB2312"/>
        <charset val="134"/>
      </rPr>
      <t>单价</t>
    </r>
    <r>
      <rPr>
        <b/>
        <sz val="10"/>
        <color indexed="8"/>
        <rFont val="Arial"/>
        <charset val="134"/>
      </rPr>
      <t>(</t>
    </r>
    <r>
      <rPr>
        <b/>
        <sz val="10"/>
        <color indexed="8"/>
        <rFont val="仿宋_GB2312"/>
        <charset val="134"/>
      </rPr>
      <t>元</t>
    </r>
    <r>
      <rPr>
        <b/>
        <sz val="10"/>
        <color indexed="8"/>
        <rFont val="Arial"/>
        <charset val="134"/>
      </rPr>
      <t>/</t>
    </r>
    <r>
      <rPr>
        <b/>
        <sz val="10"/>
        <color indexed="8"/>
        <rFont val="仿宋_GB2312"/>
        <charset val="134"/>
      </rPr>
      <t>平方米</t>
    </r>
    <r>
      <rPr>
        <b/>
        <sz val="10"/>
        <color indexed="8"/>
        <rFont val="Arial"/>
        <charset val="134"/>
      </rPr>
      <t>)</t>
    </r>
  </si>
  <si>
    <r>
      <rPr>
        <sz val="10"/>
        <color indexed="8"/>
        <rFont val="仿宋_GB2312"/>
        <charset val="134"/>
      </rPr>
      <t>收益价值</t>
    </r>
    <r>
      <rPr>
        <sz val="10"/>
        <color indexed="8"/>
        <rFont val="Arial"/>
        <charset val="134"/>
      </rPr>
      <t>÷</t>
    </r>
    <r>
      <rPr>
        <sz val="10"/>
        <color indexed="8"/>
        <rFont val="仿宋_GB2312"/>
        <charset val="134"/>
      </rPr>
      <t>建筑面积</t>
    </r>
  </si>
  <si>
    <r>
      <rPr>
        <sz val="10"/>
        <color indexed="8"/>
        <rFont val="仿宋_GB2312"/>
        <charset val="134"/>
      </rPr>
      <t>建筑面积（㎡）</t>
    </r>
  </si>
  <si>
    <r>
      <rPr>
        <sz val="10"/>
        <color indexed="8"/>
        <rFont val="仿宋_GB2312"/>
        <charset val="134"/>
      </rPr>
      <t>土地价值比率</t>
    </r>
  </si>
  <si>
    <t>承租人权益价值</t>
  </si>
  <si>
    <t>超出收益期的土地使用年限或建筑物价值折现计算</t>
  </si>
  <si>
    <t>计算建筑物剩余价格折现</t>
  </si>
  <si>
    <r>
      <rPr>
        <b/>
        <sz val="10"/>
        <color indexed="8"/>
        <rFont val="仿宋_GB2312"/>
        <charset val="134"/>
      </rPr>
      <t>未来第一年年总收益</t>
    </r>
  </si>
  <si>
    <t>建筑物结构</t>
  </si>
  <si>
    <t>钢混</t>
  </si>
  <si>
    <t>土地使用年限</t>
  </si>
  <si>
    <t>序号</t>
  </si>
  <si>
    <t>项目</t>
  </si>
  <si>
    <t>数额</t>
  </si>
  <si>
    <t>计算公式</t>
  </si>
  <si>
    <t>租金收入</t>
  </si>
  <si>
    <t>市场租金</t>
  </si>
  <si>
    <t>建筑使用方向</t>
  </si>
  <si>
    <t>非生产用房</t>
  </si>
  <si>
    <t>剩余土地使用年限</t>
  </si>
  <si>
    <t>A</t>
  </si>
  <si>
    <t>收益期内收益价格（万元）</t>
  </si>
  <si>
    <t>依前述测算</t>
  </si>
  <si>
    <t>建成年代</t>
  </si>
  <si>
    <t>比较法土地结果</t>
  </si>
  <si>
    <t>B</t>
  </si>
  <si>
    <t>建筑物在收益期结束时的价格折现到估价期日的价格（万元）</t>
  </si>
  <si>
    <r>
      <rPr>
        <sz val="12"/>
        <color theme="1"/>
        <rFont val="楷体_GB2312"/>
        <charset val="134"/>
      </rPr>
      <t>建筑物重置价值</t>
    </r>
    <r>
      <rPr>
        <sz val="12"/>
        <color theme="1"/>
        <rFont val="Arial"/>
        <charset val="134"/>
      </rPr>
      <t>×</t>
    </r>
    <r>
      <rPr>
        <sz val="12"/>
        <color theme="1"/>
        <rFont val="楷体_GB2312"/>
        <charset val="134"/>
      </rPr>
      <t>成新率/（1+建筑物报酬率）</t>
    </r>
    <r>
      <rPr>
        <vertAlign val="superscript"/>
        <sz val="12"/>
        <color theme="1"/>
        <rFont val="楷体_GB2312"/>
        <charset val="134"/>
      </rPr>
      <t>折现年期</t>
    </r>
  </si>
  <si>
    <t>建筑物耐用年限</t>
  </si>
  <si>
    <t>基准地价土地结果</t>
  </si>
  <si>
    <t>(A)</t>
  </si>
  <si>
    <t>建筑物重置价格（万元）</t>
  </si>
  <si>
    <t>建筑物剩余耐用年限</t>
  </si>
  <si>
    <t>收益还原法土地结果</t>
  </si>
  <si>
    <t>(B)</t>
  </si>
  <si>
    <t>成新率（%）</t>
  </si>
  <si>
    <r>
      <rPr>
        <b/>
        <sz val="10"/>
        <color indexed="8"/>
        <rFont val="宋体"/>
        <charset val="134"/>
      </rPr>
      <t>（</t>
    </r>
    <r>
      <rPr>
        <b/>
        <sz val="10"/>
        <color indexed="8"/>
        <rFont val="Arial"/>
        <charset val="134"/>
      </rPr>
      <t>2</t>
    </r>
    <r>
      <rPr>
        <b/>
        <sz val="10"/>
        <color indexed="8"/>
        <rFont val="宋体"/>
        <charset val="134"/>
      </rPr>
      <t>）</t>
    </r>
  </si>
  <si>
    <t>建筑物还原率</t>
  </si>
  <si>
    <t>(C)</t>
  </si>
  <si>
    <t>建筑物报酬率（%）</t>
  </si>
  <si>
    <t>收益期（按照规范取最低值，住宅取高）</t>
  </si>
  <si>
    <r>
      <rPr>
        <sz val="10"/>
        <color rgb="FFFF0000"/>
        <rFont val="宋体"/>
        <charset val="134"/>
      </rPr>
      <t>★当剩余土地短于建筑物耐用年限时，</t>
    </r>
    <r>
      <rPr>
        <sz val="10"/>
        <color rgb="FFFF0000"/>
        <rFont val="宋体"/>
        <charset val="134"/>
      </rPr>
      <t>未建项目的收益期计算公式为：剩余土地年限</t>
    </r>
    <r>
      <rPr>
        <sz val="10"/>
        <color rgb="FFFF0000"/>
        <rFont val="Arial"/>
        <charset val="134"/>
      </rPr>
      <t>-</t>
    </r>
    <r>
      <rPr>
        <sz val="10"/>
        <color rgb="FFFF0000"/>
        <rFont val="宋体"/>
        <charset val="134"/>
      </rPr>
      <t>建设期</t>
    </r>
  </si>
  <si>
    <t>(D)</t>
  </si>
  <si>
    <t>折现年期（年）</t>
  </si>
  <si>
    <t>即收益年期</t>
  </si>
  <si>
    <t>C</t>
  </si>
  <si>
    <t>收益价格（万元）</t>
  </si>
  <si>
    <t>A+B</t>
  </si>
  <si>
    <t>建筑物计算</t>
  </si>
  <si>
    <t>土地使用权计算</t>
  </si>
  <si>
    <r>
      <rPr>
        <b/>
        <sz val="12"/>
        <color rgb="FFFF0000"/>
        <rFont val="宋体"/>
        <charset val="134"/>
      </rPr>
      <t>计算土地剩余价格折现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</si>
  <si>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t>是否约定土地使用期结束后无偿收回房地产（非住宅）</t>
  </si>
  <si>
    <t>建筑物耐用年限结束后剩余土地使用年限</t>
  </si>
  <si>
    <t>土地使用年限结束后建筑物耐用年期</t>
  </si>
  <si>
    <t>价值时点下的土地价值（土地购买价格）</t>
  </si>
  <si>
    <t>土地使用年限结束后建筑物成新度</t>
  </si>
  <si>
    <t>剩余土地使用年期下的土地年期修正系数</t>
  </si>
  <si>
    <t>剩余土地价格折现到估价期日的价格（万元）</t>
  </si>
  <si>
    <r>
      <rPr>
        <sz val="12"/>
        <color theme="1"/>
        <rFont val="Arial"/>
        <charset val="134"/>
      </rPr>
      <t>P</t>
    </r>
    <r>
      <rPr>
        <vertAlign val="subscript"/>
        <sz val="12"/>
        <color theme="1"/>
        <rFont val="Arial"/>
        <charset val="134"/>
      </rPr>
      <t>n</t>
    </r>
    <r>
      <rPr>
        <sz val="12"/>
        <color theme="1"/>
        <rFont val="Arial"/>
        <charset val="134"/>
      </rPr>
      <t>×</t>
    </r>
    <r>
      <rPr>
        <sz val="12"/>
        <color theme="1"/>
        <rFont val="楷体_GB2312"/>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楷体_GB2312"/>
        <charset val="134"/>
      </rPr>
      <t>）</t>
    </r>
  </si>
  <si>
    <t>土地使用年限结束后建筑物现值</t>
  </si>
  <si>
    <r>
      <rPr>
        <sz val="12"/>
        <color theme="1"/>
        <rFont val="楷体_GB2312"/>
        <charset val="134"/>
      </rPr>
      <t>剩余土地使用年限下的土地价格</t>
    </r>
    <r>
      <rPr>
        <sz val="12"/>
        <color theme="1"/>
        <rFont val="Arial"/>
        <charset val="134"/>
      </rPr>
      <t>P</t>
    </r>
    <r>
      <rPr>
        <vertAlign val="subscript"/>
        <sz val="12"/>
        <color theme="1"/>
        <rFont val="Arial"/>
        <charset val="134"/>
      </rPr>
      <t>n</t>
    </r>
    <r>
      <rPr>
        <sz val="12"/>
        <color theme="1"/>
        <rFont val="楷体_GB2312"/>
        <charset val="134"/>
      </rPr>
      <t>（万元）</t>
    </r>
  </si>
  <si>
    <t>建筑物剩余价值折现值</t>
  </si>
  <si>
    <t>剩余土地价值折现值</t>
  </si>
  <si>
    <r>
      <rPr>
        <sz val="12"/>
        <color theme="1"/>
        <rFont val="楷体_GB2312"/>
        <charset val="134"/>
      </rPr>
      <t>土地报酬率</t>
    </r>
    <r>
      <rPr>
        <sz val="12"/>
        <color theme="1"/>
        <rFont val="Arial"/>
        <charset val="134"/>
      </rPr>
      <t>r</t>
    </r>
    <r>
      <rPr>
        <sz val="12"/>
        <color theme="1"/>
        <rFont val="楷体_GB2312"/>
        <charset val="134"/>
      </rPr>
      <t>（</t>
    </r>
    <r>
      <rPr>
        <sz val="12"/>
        <color theme="1"/>
        <rFont val="Arial"/>
        <charset val="134"/>
      </rPr>
      <t>%</t>
    </r>
    <r>
      <rPr>
        <sz val="12"/>
        <color theme="1"/>
        <rFont val="楷体_GB2312"/>
        <charset val="134"/>
      </rPr>
      <t>）</t>
    </r>
  </si>
  <si>
    <r>
      <rPr>
        <sz val="12"/>
        <color theme="1"/>
        <rFont val="楷体_GB2312"/>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</si>
  <si>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楷体_GB2312"/>
        <charset val="134"/>
      </rPr>
      <t>－</t>
    </r>
    <r>
      <rPr>
        <sz val="12"/>
        <color theme="1"/>
        <rFont val="Arial"/>
        <charset val="134"/>
      </rPr>
      <t>1÷(1+r) N]</t>
    </r>
  </si>
  <si>
    <t>结构类型</t>
  </si>
  <si>
    <t>生产用房</t>
  </si>
  <si>
    <t>受腐蚀的生产用房</t>
  </si>
  <si>
    <t>残值率</t>
  </si>
  <si>
    <r>
      <rPr>
        <sz val="12"/>
        <color theme="1"/>
        <rFont val="Arial"/>
        <charset val="134"/>
      </rPr>
      <t>[1</t>
    </r>
    <r>
      <rPr>
        <sz val="12"/>
        <color theme="1"/>
        <rFont val="楷体_GB2312"/>
        <charset val="134"/>
      </rPr>
      <t>－</t>
    </r>
    <r>
      <rPr>
        <sz val="12"/>
        <color theme="1"/>
        <rFont val="Arial"/>
        <charset val="134"/>
      </rPr>
      <t>1÷(1+r) n]</t>
    </r>
  </si>
  <si>
    <t>钢</t>
  </si>
  <si>
    <r>
      <rPr>
        <b/>
        <sz val="12"/>
        <color rgb="FFFF0000"/>
        <rFont val="宋体"/>
        <charset val="134"/>
      </rPr>
      <t>计算土地剩余价格折现</t>
    </r>
    <r>
      <rPr>
        <b/>
        <sz val="12"/>
        <color rgb="FFFF0000"/>
        <rFont val="Arial"/>
        <charset val="134"/>
      </rPr>
      <t>-</t>
    </r>
    <r>
      <rPr>
        <b/>
        <sz val="12"/>
        <color rgb="FFFF0000"/>
        <rFont val="宋体"/>
        <charset val="134"/>
      </rPr>
      <t>收益法</t>
    </r>
  </si>
  <si>
    <t>砖混</t>
  </si>
  <si>
    <r>
      <rPr>
        <sz val="10"/>
        <color indexed="8"/>
        <rFont val="仿宋_GB2312"/>
        <charset val="134"/>
      </rPr>
      <t>报酬率（</t>
    </r>
    <r>
      <rPr>
        <sz val="10"/>
        <color indexed="8"/>
        <rFont val="Arial"/>
        <charset val="134"/>
      </rPr>
      <t>Y</t>
    </r>
    <r>
      <rPr>
        <sz val="10"/>
        <color indexed="8"/>
        <rFont val="仿宋_GB2312"/>
        <charset val="134"/>
      </rPr>
      <t>）</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</si>
  <si>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</si>
  <si>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r>
      <rPr>
        <sz val="12"/>
        <color rgb="FF000000"/>
        <rFont val="楷体_GB2312"/>
        <charset val="134"/>
      </rPr>
      <t>土地纯收益</t>
    </r>
    <r>
      <rPr>
        <sz val="12"/>
        <color theme="1"/>
        <rFont val="Arial"/>
        <charset val="134"/>
      </rPr>
      <t>a</t>
    </r>
    <r>
      <rPr>
        <vertAlign val="subscript"/>
        <sz val="12"/>
        <color theme="1"/>
        <rFont val="Arial"/>
        <charset val="134"/>
      </rPr>
      <t>t</t>
    </r>
    <r>
      <rPr>
        <sz val="12"/>
        <color theme="1"/>
        <rFont val="楷体_GB2312"/>
        <charset val="134"/>
      </rPr>
      <t>（万元）</t>
    </r>
  </si>
  <si>
    <t>a</t>
  </si>
  <si>
    <t>房地纯收益（万元）</t>
  </si>
  <si>
    <t>b</t>
  </si>
  <si>
    <t>建筑物现值（万元）</t>
  </si>
  <si>
    <t>c</t>
  </si>
  <si>
    <r>
      <rPr>
        <sz val="12"/>
        <color rgb="FF000000"/>
        <rFont val="楷体_GB2312"/>
        <charset val="134"/>
      </rPr>
      <t>建筑物资本化率</t>
    </r>
    <r>
      <rPr>
        <sz val="12"/>
        <color rgb="FF000000"/>
        <rFont val="Arial"/>
        <charset val="134"/>
      </rPr>
      <t>g</t>
    </r>
    <r>
      <rPr>
        <sz val="12"/>
        <color rgb="FF000000"/>
        <rFont val="楷体_GB2312"/>
        <charset val="134"/>
      </rPr>
      <t>（</t>
    </r>
    <r>
      <rPr>
        <sz val="12"/>
        <color rgb="FF000000"/>
        <rFont val="Arial"/>
        <charset val="134"/>
      </rPr>
      <t>%</t>
    </r>
    <r>
      <rPr>
        <sz val="12"/>
        <color rgb="FF000000"/>
        <rFont val="楷体_GB2312"/>
        <charset val="134"/>
      </rPr>
      <t>）</t>
    </r>
  </si>
  <si>
    <t>(E)</t>
  </si>
  <si>
    <r>
      <rPr>
        <b/>
        <sz val="16"/>
        <color indexed="10"/>
        <rFont val="仿宋_GB2312"/>
        <charset val="134"/>
      </rPr>
      <t>比较法</t>
    </r>
  </si>
  <si>
    <r>
      <rPr>
        <b/>
        <sz val="16"/>
        <rFont val="仿宋_GB2312"/>
        <charset val="134"/>
      </rPr>
      <t>办公</t>
    </r>
  </si>
  <si>
    <r>
      <rPr>
        <b/>
        <sz val="16"/>
        <rFont val="仿宋_GB2312"/>
        <charset val="134"/>
      </rPr>
      <t>─</t>
    </r>
  </si>
  <si>
    <r>
      <rPr>
        <b/>
        <sz val="16"/>
        <color indexed="10"/>
        <rFont val="仿宋_GB2312"/>
        <charset val="134"/>
      </rPr>
      <t>录入顺序：主表的空白区域</t>
    </r>
    <r>
      <rPr>
        <b/>
        <sz val="16"/>
        <color indexed="10"/>
        <rFont val="Arial"/>
        <charset val="134"/>
      </rPr>
      <t>-</t>
    </r>
    <r>
      <rPr>
        <b/>
        <sz val="16"/>
        <color indexed="10"/>
        <rFont val="仿宋_GB2312"/>
        <charset val="134"/>
      </rPr>
      <t>因素表空白区域</t>
    </r>
    <r>
      <rPr>
        <b/>
        <sz val="16"/>
        <color indexed="10"/>
        <rFont val="Arial"/>
        <charset val="134"/>
      </rPr>
      <t>-</t>
    </r>
    <r>
      <rPr>
        <b/>
        <sz val="16"/>
        <color indexed="10"/>
        <rFont val="仿宋_GB2312"/>
        <charset val="134"/>
      </rPr>
      <t>主表黄色选项区域</t>
    </r>
    <r>
      <rPr>
        <b/>
        <sz val="16"/>
        <color indexed="10"/>
        <rFont val="Arial"/>
        <charset val="134"/>
      </rPr>
      <t>-</t>
    </r>
    <r>
      <rPr>
        <b/>
        <sz val="16"/>
        <color indexed="10"/>
        <rFont val="仿宋_GB2312"/>
        <charset val="134"/>
      </rPr>
      <t>调节修正幅度</t>
    </r>
    <r>
      <rPr>
        <b/>
        <sz val="16"/>
        <color indexed="10"/>
        <rFont val="Arial"/>
        <charset val="134"/>
      </rPr>
      <t>-</t>
    </r>
    <r>
      <rPr>
        <b/>
        <sz val="16"/>
        <color indexed="10"/>
        <rFont val="仿宋_GB2312"/>
        <charset val="134"/>
      </rPr>
      <t>完成</t>
    </r>
  </si>
  <si>
    <r>
      <rPr>
        <b/>
        <sz val="12"/>
        <rFont val="仿宋_GB2312"/>
        <charset val="134"/>
      </rPr>
      <t>建筑面积</t>
    </r>
  </si>
  <si>
    <t>绿地中央广场</t>
  </si>
  <si>
    <t>翠湖科技园云中心</t>
  </si>
  <si>
    <t>联动天翼</t>
  </si>
  <si>
    <t>正常</t>
  </si>
  <si>
    <t>办公科研</t>
  </si>
  <si>
    <r>
      <rPr>
        <sz val="11"/>
        <color indexed="8"/>
        <rFont val="仿宋_GB2312"/>
        <charset val="134"/>
      </rPr>
      <t>楼层</t>
    </r>
  </si>
  <si>
    <t>中楼层</t>
  </si>
  <si>
    <r>
      <rPr>
        <sz val="11"/>
        <color indexed="8"/>
        <rFont val="仿宋_GB2312"/>
        <charset val="134"/>
      </rPr>
      <t>朝向</t>
    </r>
  </si>
  <si>
    <r>
      <rPr>
        <sz val="11"/>
        <color indexed="8"/>
        <rFont val="仿宋_GB2312"/>
        <charset val="134"/>
      </rPr>
      <t>建筑类型</t>
    </r>
  </si>
  <si>
    <t>科研办公楼</t>
  </si>
  <si>
    <r>
      <rPr>
        <sz val="11"/>
        <color indexed="8"/>
        <rFont val="仿宋_GB2312"/>
        <charset val="134"/>
      </rPr>
      <t>项目建筑规模</t>
    </r>
  </si>
  <si>
    <r>
      <rPr>
        <sz val="11"/>
        <color indexed="8"/>
        <rFont val="仿宋_GB2312"/>
        <charset val="134"/>
      </rPr>
      <t>建筑结构</t>
    </r>
  </si>
  <si>
    <r>
      <rPr>
        <sz val="11"/>
        <color indexed="8"/>
        <rFont val="仿宋_GB2312"/>
        <charset val="134"/>
      </rPr>
      <t>公共部分装修</t>
    </r>
  </si>
  <si>
    <t>精装修</t>
  </si>
  <si>
    <r>
      <rPr>
        <sz val="11"/>
        <color indexed="8"/>
        <rFont val="仿宋_GB2312"/>
        <charset val="134"/>
      </rPr>
      <t>成新度</t>
    </r>
  </si>
  <si>
    <r>
      <rPr>
        <sz val="11"/>
        <color indexed="8"/>
        <rFont val="仿宋_GB2312"/>
        <charset val="134"/>
      </rPr>
      <t>写字楼等级</t>
    </r>
  </si>
  <si>
    <r>
      <rPr>
        <sz val="11"/>
        <color indexed="8"/>
        <rFont val="仿宋_GB2312"/>
        <charset val="134"/>
      </rPr>
      <t>物业管理</t>
    </r>
  </si>
  <si>
    <t>市政基础设施</t>
  </si>
  <si>
    <r>
      <rPr>
        <sz val="11"/>
        <color indexed="8"/>
        <rFont val="仿宋_GB2312"/>
        <charset val="134"/>
      </rPr>
      <t>层高</t>
    </r>
  </si>
  <si>
    <r>
      <rPr>
        <sz val="11"/>
        <rFont val="仿宋_GB2312"/>
        <charset val="134"/>
      </rPr>
      <t>单套建筑面积</t>
    </r>
  </si>
  <si>
    <r>
      <rPr>
        <sz val="11"/>
        <color indexed="8"/>
        <rFont val="仿宋_GB2312"/>
        <charset val="134"/>
      </rPr>
      <t>内部装修</t>
    </r>
  </si>
  <si>
    <t>简单装修</t>
  </si>
  <si>
    <t>毛坯</t>
  </si>
  <si>
    <r>
      <rPr>
        <b/>
        <sz val="11"/>
        <rFont val="仿宋_GB2312"/>
        <charset val="134"/>
      </rPr>
      <t>成交单价（元</t>
    </r>
    <r>
      <rPr>
        <b/>
        <sz val="11"/>
        <rFont val="Arial"/>
        <charset val="134"/>
      </rPr>
      <t>/</t>
    </r>
    <r>
      <rPr>
        <b/>
        <sz val="11"/>
        <rFont val="仿宋_GB2312"/>
        <charset val="134"/>
      </rPr>
      <t>平方米）</t>
    </r>
  </si>
  <si>
    <r>
      <rPr>
        <sz val="11"/>
        <rFont val="Arial"/>
        <charset val="134"/>
      </rPr>
      <t>60-70</t>
    </r>
    <r>
      <rPr>
        <sz val="11"/>
        <rFont val="仿宋_GB2312"/>
        <charset val="134"/>
      </rPr>
      <t>（含）</t>
    </r>
  </si>
  <si>
    <r>
      <rPr>
        <sz val="11"/>
        <rFont val="Arial"/>
        <charset val="134"/>
      </rPr>
      <t>50-60</t>
    </r>
    <r>
      <rPr>
        <sz val="11"/>
        <rFont val="仿宋_GB2312"/>
        <charset val="134"/>
      </rPr>
      <t>（含）</t>
    </r>
  </si>
  <si>
    <r>
      <rPr>
        <sz val="11"/>
        <rFont val="Arial"/>
        <charset val="134"/>
      </rPr>
      <t>40-50</t>
    </r>
    <r>
      <rPr>
        <sz val="11"/>
        <rFont val="仿宋_GB2312"/>
        <charset val="134"/>
      </rPr>
      <t>（含）</t>
    </r>
  </si>
  <si>
    <r>
      <rPr>
        <sz val="11"/>
        <rFont val="Arial"/>
        <charset val="134"/>
      </rPr>
      <t>30-40</t>
    </r>
    <r>
      <rPr>
        <sz val="11"/>
        <rFont val="仿宋_GB2312"/>
        <charset val="134"/>
      </rPr>
      <t>（含）</t>
    </r>
  </si>
  <si>
    <r>
      <rPr>
        <sz val="11"/>
        <rFont val="Arial"/>
        <charset val="134"/>
      </rPr>
      <t>20-30</t>
    </r>
    <r>
      <rPr>
        <sz val="11"/>
        <rFont val="仿宋_GB2312"/>
        <charset val="134"/>
      </rPr>
      <t>（含）</t>
    </r>
  </si>
  <si>
    <r>
      <rPr>
        <sz val="11"/>
        <rFont val="Arial"/>
        <charset val="134"/>
      </rPr>
      <t>10-20</t>
    </r>
    <r>
      <rPr>
        <sz val="11"/>
        <rFont val="仿宋_GB2312"/>
        <charset val="134"/>
      </rPr>
      <t>（含）</t>
    </r>
  </si>
  <si>
    <r>
      <rPr>
        <sz val="11"/>
        <rFont val="Arial"/>
        <charset val="134"/>
      </rPr>
      <t>0-10</t>
    </r>
    <r>
      <rPr>
        <sz val="11"/>
        <rFont val="仿宋_GB2312"/>
        <charset val="134"/>
      </rPr>
      <t>（含）</t>
    </r>
  </si>
  <si>
    <t>高楼层</t>
  </si>
  <si>
    <t>低楼层</t>
  </si>
  <si>
    <r>
      <rPr>
        <sz val="11"/>
        <rFont val="仿宋_GB2312"/>
        <charset val="134"/>
      </rPr>
      <t>层高</t>
    </r>
  </si>
  <si>
    <r>
      <rPr>
        <sz val="11"/>
        <color indexed="8"/>
        <rFont val="仿宋_GB2312"/>
        <charset val="134"/>
      </rPr>
      <t>单套建筑面积</t>
    </r>
  </si>
  <si>
    <t>差</t>
  </si>
  <si>
    <t>通热</t>
  </si>
  <si>
    <t>北京市基准地价用途修正系数表</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</si>
  <si>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</si>
  <si>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</si>
  <si>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</si>
  <si>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</si>
  <si>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</si>
  <si>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</si>
  <si>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</si>
  <si>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</si>
  <si>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</si>
  <si>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</si>
  <si>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</si>
  <si>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</si>
  <si>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</si>
  <si>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</si>
  <si>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</si>
  <si>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</si>
  <si>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</si>
  <si>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</si>
  <si>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</si>
  <si>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</si>
  <si>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</si>
  <si>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</si>
  <si>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</si>
  <si>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</si>
  <si>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</si>
  <si>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</si>
  <si>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</si>
  <si>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</si>
  <si>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</si>
  <si>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</si>
  <si>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</si>
  <si>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</si>
  <si>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</si>
  <si>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</si>
  <si>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</si>
  <si>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</si>
  <si>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</si>
  <si>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</si>
  <si>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</si>
  <si>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</si>
  <si>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</si>
  <si>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</si>
  <si>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</si>
  <si>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</si>
  <si>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</si>
  <si>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</si>
  <si>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t>
  </si>
  <si>
    <t>北京市商业路线价加价幅度表</t>
  </si>
  <si>
    <t>区县</t>
  </si>
  <si>
    <t>商业街名称</t>
  </si>
  <si>
    <t>起止点</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</si>
  <si>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</si>
  <si>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</si>
  <si>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</si>
  <si>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</si>
  <si>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</si>
  <si>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</si>
  <si>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</si>
  <si>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</si>
  <si>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</si>
  <si>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</si>
  <si>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</si>
  <si>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</si>
  <si>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</si>
  <si>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</si>
  <si>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</si>
  <si>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</si>
  <si>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</si>
  <si>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</si>
  <si>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</si>
  <si>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</si>
  <si>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</si>
  <si>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</si>
  <si>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</si>
  <si>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</si>
  <si>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</si>
  <si>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</si>
  <si>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</si>
  <si>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</si>
  <si>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</si>
  <si>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</si>
  <si>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</si>
  <si>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</si>
  <si>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</si>
  <si>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</si>
  <si>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</si>
  <si>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</si>
  <si>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</si>
  <si>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</si>
  <si>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</si>
  <si>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</si>
  <si>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</si>
  <si>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</si>
  <si>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</si>
  <si>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</si>
  <si>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</si>
  <si>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</si>
  <si>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</si>
  <si>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</si>
  <si>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</si>
  <si>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</si>
  <si>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</si>
  <si>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</si>
  <si>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</si>
  <si>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</si>
  <si>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</si>
  <si>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</si>
  <si>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</si>
  <si>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</si>
  <si>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</si>
  <si>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</si>
  <si>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</si>
  <si>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</si>
  <si>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</si>
  <si>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</si>
  <si>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</si>
  <si>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</si>
  <si>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</si>
  <si>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</si>
  <si>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</si>
  <si>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</si>
  <si>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</si>
  <si>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</si>
  <si>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</si>
  <si>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</si>
  <si>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</si>
  <si>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</si>
  <si>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</si>
  <si>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</si>
  <si>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</si>
  <si>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</si>
  <si>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</si>
  <si>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</si>
  <si>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</si>
  <si>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</si>
  <si>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</si>
  <si>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</si>
  <si>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</si>
  <si>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</si>
  <si>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</si>
  <si>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</si>
  <si>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</si>
  <si>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</si>
  <si>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</si>
  <si>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</si>
  <si>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</si>
  <si>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</si>
  <si>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</si>
  <si>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</si>
  <si>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</si>
  <si>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</si>
  <si>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</si>
  <si>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</si>
  <si>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</si>
  <si>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</si>
  <si>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</si>
  <si>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</si>
  <si>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</si>
  <si>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</si>
  <si>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</si>
  <si>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</si>
  <si>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</si>
  <si>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</si>
  <si>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</si>
  <si>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</si>
  <si>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</si>
  <si>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</si>
  <si>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</si>
  <si>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</si>
  <si>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</si>
  <si>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</si>
  <si>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</si>
  <si>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</si>
  <si>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</si>
  <si>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</si>
  <si>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</si>
  <si>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</si>
  <si>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</si>
  <si>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</si>
  <si>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</si>
  <si>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</si>
  <si>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</si>
  <si>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</si>
  <si>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</si>
  <si>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</si>
  <si>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</si>
  <si>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</si>
  <si>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</si>
  <si>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</si>
  <si>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</si>
  <si>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</si>
  <si>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</si>
  <si>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</si>
  <si>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</si>
  <si>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</si>
  <si>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</si>
  <si>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</si>
  <si>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</si>
  <si>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</si>
  <si>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</si>
  <si>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</si>
  <si>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</si>
  <si>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</si>
  <si>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</si>
  <si>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</si>
  <si>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Ⅸ-02</t>
  </si>
  <si>
    <t>Ⅹ-02</t>
  </si>
  <si>
    <t>Ⅺ-门斋</t>
  </si>
  <si>
    <t>Ⅻ-房1</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</si>
  <si>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</si>
  <si>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</si>
  <si>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</si>
  <si>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</si>
  <si>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</si>
  <si>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</si>
  <si>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</si>
  <si>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</si>
  <si>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</si>
  <si>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</si>
  <si>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</si>
  <si>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</si>
  <si>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</si>
  <si>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</si>
  <si>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</si>
  <si>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</si>
  <si>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</si>
  <si>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</si>
  <si>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</si>
  <si>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</si>
  <si>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</si>
  <si>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</si>
  <si>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</si>
  <si>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</si>
  <si>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</si>
  <si>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</si>
  <si>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</si>
  <si>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</si>
  <si>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</si>
  <si>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</si>
  <si>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</si>
  <si>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</si>
  <si>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</si>
  <si>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</si>
  <si>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</si>
  <si>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</si>
  <si>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</si>
  <si>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</si>
  <si>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</si>
  <si>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</si>
  <si>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</si>
  <si>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</si>
  <si>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</si>
  <si>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</si>
  <si>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</si>
  <si>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</si>
  <si>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</si>
  <si>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</si>
  <si>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</si>
  <si>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</si>
  <si>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</si>
  <si>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</si>
  <si>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</si>
  <si>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</si>
  <si>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</si>
  <si>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</si>
  <si>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</si>
  <si>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</si>
  <si>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</si>
  <si>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</si>
  <si>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</si>
  <si>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</si>
  <si>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</si>
  <si>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</si>
  <si>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</si>
  <si>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</si>
  <si>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</si>
  <si>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</si>
  <si>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</si>
  <si>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</si>
  <si>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</si>
  <si>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</si>
  <si>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</si>
  <si>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</si>
  <si>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</si>
  <si>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</si>
  <si>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</si>
  <si>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</si>
  <si>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</si>
  <si>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</si>
  <si>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</si>
  <si>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</si>
  <si>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</si>
  <si>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</si>
  <si>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</si>
  <si>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</si>
  <si>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</si>
  <si>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</si>
  <si>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</si>
  <si>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</si>
  <si>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</si>
  <si>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</si>
  <si>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</si>
  <si>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</si>
  <si>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</si>
  <si>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</si>
  <si>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</si>
  <si>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</si>
  <si>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</si>
  <si>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</si>
  <si>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</si>
  <si>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</si>
  <si>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</si>
  <si>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</si>
  <si>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</si>
  <si>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</si>
  <si>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</si>
  <si>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</si>
  <si>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</si>
  <si>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</si>
  <si>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</si>
  <si>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</si>
  <si>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</si>
  <si>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</si>
  <si>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</si>
  <si>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</si>
  <si>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</si>
  <si>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</si>
  <si>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</si>
  <si>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</si>
  <si>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</si>
  <si>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</si>
  <si>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</si>
  <si>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</si>
  <si>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</si>
  <si>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</si>
  <si>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</si>
  <si>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</si>
  <si>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</si>
  <si>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</si>
  <si>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</si>
  <si>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</si>
  <si>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</si>
  <si>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</si>
  <si>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</si>
  <si>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</si>
  <si>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</si>
  <si>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</si>
  <si>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</si>
  <si>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</si>
  <si>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</si>
  <si>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</si>
  <si>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</si>
  <si>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</si>
  <si>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</si>
  <si>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</si>
  <si>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</si>
  <si>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</si>
  <si>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</si>
  <si>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</si>
  <si>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</si>
  <si>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</si>
  <si>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</si>
  <si>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</si>
  <si>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</si>
  <si>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</si>
  <si>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</si>
  <si>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</si>
  <si>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</si>
  <si>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</si>
  <si>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</si>
  <si>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</si>
  <si>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</si>
  <si>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</si>
  <si>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</si>
  <si>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</si>
  <si>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</si>
  <si>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</si>
  <si>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</si>
  <si>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</si>
  <si>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</si>
  <si>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</si>
  <si>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</si>
  <si>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</si>
  <si>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</si>
  <si>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</si>
  <si>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</si>
  <si>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</si>
  <si>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</si>
  <si>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</si>
  <si>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</si>
  <si>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</si>
  <si>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</si>
  <si>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</si>
  <si>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</si>
  <si>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</si>
  <si>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</si>
  <si>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</si>
  <si>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</si>
  <si>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</si>
  <si>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</si>
  <si>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</si>
  <si>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</si>
  <si>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</si>
  <si>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</si>
  <si>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</si>
  <si>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</si>
  <si>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</si>
  <si>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</si>
  <si>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</si>
  <si>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</si>
  <si>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</si>
  <si>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</si>
  <si>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</si>
  <si>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</si>
  <si>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</si>
  <si>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</si>
  <si>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</si>
  <si>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</si>
  <si>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</si>
  <si>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</si>
  <si>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</si>
  <si>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</si>
  <si>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</si>
  <si>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</si>
  <si>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</si>
  <si>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</si>
  <si>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</si>
  <si>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</si>
  <si>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</si>
  <si>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</si>
  <si>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</si>
  <si>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</si>
  <si>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</si>
  <si>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</si>
  <si>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</si>
  <si>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</si>
  <si>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</si>
  <si>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</si>
  <si>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</si>
  <si>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</si>
  <si>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</si>
  <si>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</si>
  <si>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</si>
  <si>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</si>
  <si>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</si>
  <si>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</si>
  <si>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</si>
  <si>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</si>
  <si>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</si>
  <si>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</si>
  <si>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</si>
  <si>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</si>
  <si>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</si>
  <si>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</si>
  <si>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</si>
  <si>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</si>
  <si>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</si>
  <si>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</si>
  <si>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</si>
  <si>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</si>
  <si>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</si>
  <si>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</si>
  <si>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</si>
  <si>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</si>
  <si>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</si>
  <si>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</si>
  <si>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</si>
  <si>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</si>
  <si>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</si>
  <si>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</si>
  <si>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</si>
  <si>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</si>
  <si>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</si>
  <si>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</si>
  <si>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</si>
  <si>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</si>
  <si>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</si>
  <si>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</si>
  <si>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</si>
  <si>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</si>
  <si>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</si>
  <si>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</si>
  <si>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</si>
  <si>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</si>
  <si>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</si>
  <si>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</si>
  <si>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</si>
  <si>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</si>
  <si>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</si>
  <si>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</si>
  <si>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</si>
  <si>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</si>
  <si>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</si>
  <si>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</si>
  <si>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</si>
  <si>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</si>
  <si>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</si>
  <si>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</si>
  <si>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</si>
  <si>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</si>
  <si>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</si>
  <si>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</si>
  <si>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</si>
  <si>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</si>
  <si>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</si>
  <si>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</si>
  <si>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</si>
  <si>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</si>
  <si>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</si>
  <si>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</si>
  <si>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</si>
  <si>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</si>
  <si>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</si>
  <si>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</si>
  <si>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</si>
  <si>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</si>
  <si>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</si>
  <si>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</si>
  <si>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</si>
  <si>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</si>
  <si>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</si>
  <si>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</si>
  <si>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</si>
  <si>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</si>
  <si>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</si>
  <si>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</si>
  <si>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北京市基准地价容积率修正系数表（商业）</t>
  </si>
  <si>
    <t>北京市基准地价容积率修正系数表（办公）</t>
  </si>
  <si>
    <t>北京市基准地价容积率修正系数表（居住）</t>
  </si>
  <si>
    <t>北京市基准地价容积率修正系数表（工业）</t>
  </si>
  <si>
    <t>北京市区片基准地价因素总修正幅度表</t>
  </si>
  <si>
    <t>Ⅷ-廷1</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</si>
  <si>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</si>
  <si>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</si>
  <si>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</si>
  <si>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</si>
  <si>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</si>
  <si>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</si>
  <si>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</si>
  <si>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</si>
  <si>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</si>
  <si>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</si>
  <si>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</si>
  <si>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</si>
  <si>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</si>
  <si>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</si>
  <si>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</si>
  <si>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</si>
  <si>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</si>
  <si>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</si>
  <si>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</si>
  <si>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</si>
  <si>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</si>
  <si>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</si>
  <si>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</si>
  <si>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</si>
  <si>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</si>
  <si>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</si>
  <si>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</si>
  <si>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</si>
  <si>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</si>
  <si>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</si>
  <si>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</si>
  <si>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</si>
  <si>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</si>
  <si>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</si>
  <si>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</si>
  <si>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</si>
  <si>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</si>
  <si>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</si>
  <si>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</si>
  <si>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</si>
  <si>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</si>
  <si>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</si>
  <si>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</si>
  <si>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</si>
  <si>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</si>
  <si>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</si>
  <si>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</si>
  <si>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</si>
  <si>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</si>
  <si>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</si>
  <si>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</si>
  <si>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</si>
  <si>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</si>
  <si>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</si>
  <si>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</si>
  <si>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</si>
  <si>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</si>
  <si>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</si>
  <si>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</si>
  <si>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</si>
  <si>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</si>
  <si>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</si>
  <si>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</si>
  <si>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</si>
  <si>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</si>
  <si>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</si>
  <si>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</si>
  <si>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</si>
  <si>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</si>
  <si>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</si>
  <si>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</si>
  <si>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</si>
  <si>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</si>
  <si>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</si>
  <si>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</si>
  <si>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</si>
  <si>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</si>
  <si>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</si>
  <si>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</si>
  <si>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</si>
  <si>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</si>
  <si>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</si>
  <si>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</si>
  <si>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</si>
  <si>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</si>
  <si>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</si>
  <si>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</si>
  <si>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</si>
  <si>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</si>
  <si>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</si>
  <si>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</si>
  <si>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</si>
  <si>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</si>
  <si>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</si>
  <si>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</si>
  <si>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</si>
  <si>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</si>
  <si>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</si>
  <si>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</si>
  <si>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</si>
  <si>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汇总建筑面积</t>
  </si>
  <si>
    <t>汇总土地面积</t>
  </si>
  <si>
    <t>本次评估所采用的基准地价系数修正法</t>
  </si>
  <si>
    <t>估价结果</t>
  </si>
  <si>
    <r>
      <rPr>
        <b/>
        <sz val="16"/>
        <color indexed="10"/>
        <rFont val="仿宋_GB2312"/>
        <charset val="134"/>
      </rPr>
      <t>收益还原法</t>
    </r>
  </si>
  <si>
    <r>
      <rPr>
        <sz val="10"/>
        <color indexed="8"/>
        <rFont val="仿宋_GB2312"/>
        <charset val="134"/>
      </rPr>
      <t>租金</t>
    </r>
    <r>
      <rPr>
        <sz val="10"/>
        <color indexed="8"/>
        <rFont val="Arial"/>
        <charset val="134"/>
      </rPr>
      <t>×</t>
    </r>
    <r>
      <rPr>
        <sz val="10"/>
        <color indexed="8"/>
        <rFont val="仿宋_GB2312"/>
        <charset val="134"/>
      </rPr>
      <t>月数</t>
    </r>
    <r>
      <rPr>
        <sz val="10"/>
        <color indexed="8"/>
        <rFont val="Arial"/>
        <charset val="134"/>
      </rPr>
      <t>/</t>
    </r>
    <r>
      <rPr>
        <sz val="10"/>
        <color indexed="8"/>
        <rFont val="仿宋_GB2312"/>
        <charset val="134"/>
      </rPr>
      <t>天数</t>
    </r>
    <r>
      <rPr>
        <sz val="10"/>
        <color indexed="8"/>
        <rFont val="Arial"/>
        <charset val="134"/>
      </rPr>
      <t>×</t>
    </r>
    <r>
      <rPr>
        <sz val="10"/>
        <color indexed="8"/>
        <rFont val="仿宋_GB2312"/>
        <charset val="134"/>
      </rPr>
      <t>（</t>
    </r>
    <r>
      <rPr>
        <sz val="10"/>
        <color indexed="8"/>
        <rFont val="Arial"/>
        <charset val="134"/>
      </rPr>
      <t>1-</t>
    </r>
    <r>
      <rPr>
        <sz val="10"/>
        <color indexed="8"/>
        <rFont val="仿宋_GB2312"/>
        <charset val="134"/>
      </rPr>
      <t>空置率）</t>
    </r>
  </si>
  <si>
    <r>
      <rPr>
        <b/>
        <sz val="10"/>
        <color indexed="8"/>
        <rFont val="仿宋_GB2312"/>
        <charset val="134"/>
      </rPr>
      <t>建筑物价格</t>
    </r>
  </si>
  <si>
    <r>
      <rPr>
        <sz val="10"/>
        <color indexed="8"/>
        <rFont val="宋体"/>
        <charset val="134"/>
      </rPr>
      <t>（</t>
    </r>
    <r>
      <rPr>
        <sz val="10"/>
        <color indexed="8"/>
        <rFont val="Arial"/>
        <charset val="134"/>
      </rPr>
      <t>2）</t>
    </r>
  </si>
  <si>
    <r>
      <rPr>
        <sz val="10"/>
        <color indexed="8"/>
        <rFont val="宋体"/>
        <charset val="134"/>
      </rPr>
      <t>（</t>
    </r>
    <r>
      <rPr>
        <sz val="10"/>
        <color indexed="8"/>
        <rFont val="Arial"/>
        <charset val="134"/>
      </rPr>
      <t>3）</t>
    </r>
  </si>
  <si>
    <r>
      <rPr>
        <sz val="10"/>
        <color indexed="8"/>
        <rFont val="仿宋_GB2312"/>
        <charset val="134"/>
      </rPr>
      <t>建筑物重置价值</t>
    </r>
    <r>
      <rPr>
        <sz val="10"/>
        <color indexed="8"/>
        <rFont val="Arial"/>
        <charset val="134"/>
      </rPr>
      <t>×</t>
    </r>
    <r>
      <rPr>
        <sz val="10"/>
        <color indexed="8"/>
        <rFont val="仿宋_GB2312"/>
        <charset val="134"/>
      </rPr>
      <t>费率</t>
    </r>
  </si>
  <si>
    <r>
      <rPr>
        <sz val="10"/>
        <color indexed="8"/>
        <rFont val="宋体"/>
        <charset val="134"/>
      </rPr>
      <t>（</t>
    </r>
    <r>
      <rPr>
        <sz val="10"/>
        <color indexed="8"/>
        <rFont val="Arial"/>
        <charset val="134"/>
      </rPr>
      <t>4）</t>
    </r>
  </si>
  <si>
    <r>
      <rPr>
        <sz val="10"/>
        <color indexed="8"/>
        <rFont val="宋体"/>
        <charset val="134"/>
      </rPr>
      <t>（</t>
    </r>
    <r>
      <rPr>
        <sz val="10"/>
        <color indexed="8"/>
        <rFont val="Arial"/>
        <charset val="134"/>
      </rPr>
      <t>5</t>
    </r>
    <r>
      <rPr>
        <sz val="10"/>
        <color indexed="8"/>
        <rFont val="宋体"/>
        <charset val="134"/>
      </rPr>
      <t>）</t>
    </r>
  </si>
  <si>
    <r>
      <rPr>
        <b/>
        <sz val="10"/>
        <color indexed="8"/>
        <rFont val="仿宋_GB2312"/>
        <charset val="134"/>
      </rPr>
      <t>租约外房地产收益价值</t>
    </r>
  </si>
  <si>
    <r>
      <rPr>
        <sz val="10"/>
        <color indexed="8"/>
        <rFont val="宋体"/>
        <charset val="134"/>
      </rPr>
      <t>（</t>
    </r>
    <r>
      <rPr>
        <sz val="10"/>
        <color indexed="8"/>
        <rFont val="Arial"/>
        <charset val="134"/>
      </rPr>
      <t>6</t>
    </r>
    <r>
      <rPr>
        <sz val="10"/>
        <color indexed="8"/>
        <rFont val="宋体"/>
        <charset val="134"/>
      </rPr>
      <t>）</t>
    </r>
  </si>
  <si>
    <r>
      <rPr>
        <sz val="10"/>
        <color indexed="8"/>
        <rFont val="仿宋_GB2312"/>
        <charset val="134"/>
      </rPr>
      <t>建筑物重置价值</t>
    </r>
    <r>
      <rPr>
        <sz val="10"/>
        <color indexed="8"/>
        <rFont val="Arial"/>
        <charset val="134"/>
      </rPr>
      <t>×</t>
    </r>
    <r>
      <rPr>
        <sz val="10"/>
        <color indexed="8"/>
        <rFont val="仿宋_GB2312"/>
        <charset val="134"/>
      </rPr>
      <t>费率</t>
    </r>
    <r>
      <rPr>
        <sz val="10"/>
        <color indexed="8"/>
        <rFont val="Arial"/>
        <charset val="134"/>
      </rPr>
      <t>/(1+5%)</t>
    </r>
  </si>
  <si>
    <r>
      <rPr>
        <sz val="10"/>
        <color indexed="8"/>
        <rFont val="宋体"/>
        <charset val="134"/>
      </rPr>
      <t>（</t>
    </r>
    <r>
      <rPr>
        <sz val="10"/>
        <color indexed="8"/>
        <rFont val="Arial"/>
        <charset val="134"/>
      </rPr>
      <t>7</t>
    </r>
    <r>
      <rPr>
        <sz val="10"/>
        <color indexed="8"/>
        <rFont val="宋体"/>
        <charset val="134"/>
      </rPr>
      <t>）</t>
    </r>
  </si>
  <si>
    <t>折现价格</t>
  </si>
  <si>
    <r>
      <rPr>
        <b/>
        <sz val="10"/>
        <color indexed="8"/>
        <rFont val="仿宋_GB2312"/>
        <charset val="134"/>
      </rPr>
      <t>年总费用</t>
    </r>
  </si>
  <si>
    <t>按房产原值计税</t>
  </si>
  <si>
    <r>
      <rPr>
        <b/>
        <sz val="10"/>
        <color indexed="8"/>
        <rFont val="仿宋_GB2312"/>
        <charset val="134"/>
      </rPr>
      <t>土地价格</t>
    </r>
  </si>
  <si>
    <r>
      <rPr>
        <sz val="11"/>
        <color indexed="8"/>
        <rFont val="仿宋_GB2312"/>
        <charset val="134"/>
      </rPr>
      <t>房地年纯收益</t>
    </r>
  </si>
  <si>
    <r>
      <rPr>
        <sz val="10"/>
        <color indexed="8"/>
        <rFont val="仿宋_GB2312"/>
        <charset val="134"/>
      </rPr>
      <t>年总收益</t>
    </r>
    <r>
      <rPr>
        <sz val="10"/>
        <color indexed="8"/>
        <rFont val="Arial"/>
        <charset val="134"/>
      </rPr>
      <t>-</t>
    </r>
    <r>
      <rPr>
        <sz val="10"/>
        <color indexed="8"/>
        <rFont val="仿宋_GB2312"/>
        <charset val="134"/>
      </rPr>
      <t>年总费用</t>
    </r>
  </si>
  <si>
    <r>
      <rPr>
        <sz val="11"/>
        <color indexed="8"/>
        <rFont val="仿宋_GB2312"/>
        <charset val="134"/>
      </rPr>
      <t>房屋年纯收益</t>
    </r>
  </si>
  <si>
    <r>
      <rPr>
        <sz val="11"/>
        <color indexed="8"/>
        <rFont val="仿宋_GB2312"/>
        <charset val="134"/>
      </rPr>
      <t>建筑物价格</t>
    </r>
    <r>
      <rPr>
        <sz val="11"/>
        <color indexed="8"/>
        <rFont val="Arial"/>
        <charset val="134"/>
      </rPr>
      <t>×</t>
    </r>
    <r>
      <rPr>
        <sz val="11"/>
        <color indexed="8"/>
        <rFont val="仿宋_GB2312"/>
        <charset val="134"/>
      </rPr>
      <t>建筑物还原率</t>
    </r>
  </si>
  <si>
    <t>建筑物资本化率</t>
  </si>
  <si>
    <r>
      <rPr>
        <sz val="11"/>
        <color indexed="8"/>
        <rFont val="仿宋_GB2312"/>
        <charset val="134"/>
      </rPr>
      <t>土地年纯收益</t>
    </r>
  </si>
  <si>
    <r>
      <rPr>
        <sz val="11"/>
        <color indexed="8"/>
        <rFont val="仿宋_GB2312"/>
        <charset val="134"/>
      </rPr>
      <t>房地年纯收益</t>
    </r>
    <r>
      <rPr>
        <sz val="11"/>
        <color indexed="8"/>
        <rFont val="Arial"/>
        <charset val="134"/>
      </rPr>
      <t>-</t>
    </r>
    <r>
      <rPr>
        <sz val="11"/>
        <color indexed="8"/>
        <rFont val="仿宋_GB2312"/>
        <charset val="134"/>
      </rPr>
      <t>房屋年纯收益</t>
    </r>
  </si>
  <si>
    <r>
      <rPr>
        <sz val="11"/>
        <color indexed="8"/>
        <rFont val="仿宋_GB2312"/>
        <charset val="134"/>
      </rPr>
      <t>土地价格</t>
    </r>
  </si>
  <si>
    <r>
      <rPr>
        <sz val="11"/>
        <color indexed="8"/>
        <rFont val="仿宋_GB2312"/>
        <charset val="134"/>
      </rPr>
      <t>土地年纯收益</t>
    </r>
    <r>
      <rPr>
        <sz val="11"/>
        <color indexed="8"/>
        <rFont val="Arial"/>
        <charset val="134"/>
      </rPr>
      <t>×</t>
    </r>
    <r>
      <rPr>
        <sz val="11"/>
        <color indexed="8"/>
        <rFont val="仿宋_GB2312"/>
        <charset val="134"/>
      </rPr>
      <t>（</t>
    </r>
    <r>
      <rPr>
        <sz val="11"/>
        <color indexed="8"/>
        <rFont val="Arial"/>
        <charset val="134"/>
      </rPr>
      <t>1-1/</t>
    </r>
    <r>
      <rPr>
        <sz val="11"/>
        <color indexed="8"/>
        <rFont val="仿宋_GB2312"/>
        <charset val="134"/>
      </rPr>
      <t>（</t>
    </r>
    <r>
      <rPr>
        <sz val="11"/>
        <color indexed="8"/>
        <rFont val="Arial"/>
        <charset val="134"/>
      </rPr>
      <t>1+y</t>
    </r>
    <r>
      <rPr>
        <sz val="11"/>
        <color indexed="8"/>
        <rFont val="仿宋_GB2312"/>
        <charset val="134"/>
      </rPr>
      <t>）</t>
    </r>
    <r>
      <rPr>
        <sz val="11"/>
        <color indexed="8"/>
        <rFont val="Arial"/>
        <charset val="134"/>
      </rPr>
      <t>^n)/y</t>
    </r>
  </si>
  <si>
    <r>
      <rPr>
        <sz val="10"/>
        <color indexed="8"/>
        <rFont val="仿宋_GB2312"/>
        <charset val="134"/>
      </rPr>
      <t>土地还原率（</t>
    </r>
    <r>
      <rPr>
        <sz val="10"/>
        <color indexed="8"/>
        <rFont val="Arial"/>
        <charset val="134"/>
      </rPr>
      <t>Y</t>
    </r>
    <r>
      <rPr>
        <sz val="10"/>
        <color indexed="8"/>
        <rFont val="仿宋_GB2312"/>
        <charset val="134"/>
      </rPr>
      <t>）</t>
    </r>
  </si>
  <si>
    <t>收益年期(n)</t>
  </si>
  <si>
    <t>建筑物剩余耐用年限下的土地年期修正系数</t>
  </si>
  <si>
    <r>
      <rPr>
        <sz val="12"/>
        <color theme="1"/>
        <rFont val="楷体_GB2312"/>
        <charset val="134"/>
      </rPr>
      <t>建筑物剩余耐用年限下的土地年期修正系数</t>
    </r>
    <r>
      <rPr>
        <sz val="12"/>
        <color theme="1"/>
        <rFont val="Arial"/>
        <charset val="134"/>
      </rPr>
      <t>K</t>
    </r>
    <r>
      <rPr>
        <vertAlign val="subscript"/>
        <sz val="12"/>
        <color theme="1"/>
        <rFont val="Arial"/>
        <charset val="134"/>
      </rPr>
      <t>n</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</si>
  <si>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</si>
  <si>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</si>
  <si>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</si>
  <si>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</si>
  <si>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</si>
  <si>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</si>
  <si>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</si>
  <si>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</si>
  <si>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</si>
  <si>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</si>
  <si>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</si>
  <si>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</si>
  <si>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</si>
  <si>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</si>
  <si>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</si>
  <si>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</si>
  <si>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</si>
  <si>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</si>
  <si>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</si>
  <si>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</si>
  <si>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</si>
  <si>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</si>
  <si>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</si>
  <si>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</si>
  <si>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</si>
  <si>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</si>
  <si>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</si>
  <si>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</si>
  <si>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</si>
  <si>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</si>
  <si>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</si>
  <si>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</si>
  <si>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</si>
  <si>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</si>
  <si>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</si>
  <si>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</si>
  <si>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此处对应不动产收益法中未来第一年总收益</t>
  </si>
  <si>
    <t>年总收入</t>
  </si>
  <si>
    <t>客房收入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</si>
  <si>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</si>
  <si>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</si>
  <si>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</si>
  <si>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</si>
  <si>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</si>
  <si>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</si>
  <si>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</si>
  <si>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</si>
  <si>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</si>
  <si>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</si>
  <si>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</si>
  <si>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</si>
  <si>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indexed="10"/>
        <rFont val="仿宋_GB2312"/>
        <charset val="134"/>
      </rPr>
      <t>成本逼近法</t>
    </r>
  </si>
  <si>
    <r>
      <rPr>
        <b/>
        <sz val="10"/>
        <rFont val="仿宋_GB2312"/>
        <charset val="134"/>
      </rPr>
      <t>总额</t>
    </r>
  </si>
  <si>
    <r>
      <rPr>
        <b/>
        <sz val="10"/>
        <rFont val="仿宋_GB2312"/>
        <charset val="134"/>
      </rPr>
      <t>面积</t>
    </r>
  </si>
  <si>
    <r>
      <rPr>
        <b/>
        <sz val="10"/>
        <rFont val="仿宋_GB2312"/>
        <charset val="134"/>
      </rPr>
      <t>单价</t>
    </r>
  </si>
  <si>
    <t>备注</t>
  </si>
  <si>
    <r>
      <rPr>
        <b/>
        <sz val="10"/>
        <rFont val="仿宋_GB2312"/>
        <charset val="134"/>
      </rPr>
      <t>土地取得费</t>
    </r>
  </si>
  <si>
    <r>
      <rPr>
        <b/>
        <sz val="10"/>
        <rFont val="宋体"/>
        <charset val="134"/>
      </rPr>
      <t>（</t>
    </r>
    <r>
      <rPr>
        <b/>
        <sz val="10"/>
        <rFont val="Arial"/>
        <charset val="134"/>
      </rPr>
      <t>1</t>
    </r>
    <r>
      <rPr>
        <b/>
        <sz val="10"/>
        <rFont val="宋体"/>
        <charset val="134"/>
      </rPr>
      <t>）</t>
    </r>
  </si>
  <si>
    <t>补偿费</t>
  </si>
  <si>
    <r>
      <rPr>
        <b/>
        <sz val="10"/>
        <rFont val="宋体"/>
        <charset val="134"/>
      </rPr>
      <t>（</t>
    </r>
    <r>
      <rPr>
        <b/>
        <sz val="10"/>
        <rFont val="Arial"/>
        <charset val="134"/>
      </rPr>
      <t>2</t>
    </r>
    <r>
      <rPr>
        <b/>
        <sz val="10"/>
        <rFont val="宋体"/>
        <charset val="134"/>
      </rPr>
      <t>）</t>
    </r>
  </si>
  <si>
    <t>安置补助费</t>
  </si>
  <si>
    <r>
      <rPr>
        <b/>
        <sz val="10"/>
        <rFont val="仿宋_GB2312"/>
        <charset val="134"/>
      </rPr>
      <t>土地开发费</t>
    </r>
  </si>
  <si>
    <r>
      <rPr>
        <sz val="10"/>
        <rFont val="仿宋_GB2312"/>
        <charset val="134"/>
      </rPr>
      <t>即宗地红线外市政费用及宗地红线内土地平整费用，根据待估宗地区域对土地开发成本来估算。</t>
    </r>
  </si>
  <si>
    <r>
      <rPr>
        <sz val="10"/>
        <rFont val="仿宋_GB2312"/>
        <charset val="134"/>
      </rPr>
      <t>城市基础设施建设费（行政收费）</t>
    </r>
  </si>
  <si>
    <t>红线外土地开发费</t>
  </si>
  <si>
    <t>1）</t>
  </si>
  <si>
    <r>
      <rPr>
        <i/>
        <sz val="10"/>
        <rFont val="仿宋_GB2312"/>
        <charset val="134"/>
      </rPr>
      <t>住宅</t>
    </r>
  </si>
  <si>
    <t>2）</t>
  </si>
  <si>
    <r>
      <rPr>
        <i/>
        <sz val="10"/>
        <rFont val="仿宋_GB2312"/>
        <charset val="134"/>
      </rPr>
      <t>非住宅</t>
    </r>
  </si>
  <si>
    <t>土地平整费</t>
  </si>
  <si>
    <t>红线内土地开发费</t>
  </si>
  <si>
    <r>
      <rPr>
        <b/>
        <sz val="10"/>
        <rFont val="宋体"/>
        <charset val="134"/>
      </rPr>
      <t>（</t>
    </r>
    <r>
      <rPr>
        <b/>
        <sz val="10"/>
        <rFont val="Arial"/>
        <charset val="134"/>
      </rPr>
      <t>3）</t>
    </r>
  </si>
  <si>
    <t>其他费用</t>
  </si>
  <si>
    <t>其他可计入土地开发费的费用</t>
  </si>
  <si>
    <r>
      <rPr>
        <b/>
        <sz val="10"/>
        <rFont val="仿宋_GB2312"/>
        <charset val="134"/>
      </rPr>
      <t>税费</t>
    </r>
  </si>
  <si>
    <r>
      <rPr>
        <sz val="10"/>
        <rFont val="仿宋_GB2312"/>
        <charset val="134"/>
      </rPr>
      <t>在土地取得和开发过程中影响政府缴纳的税费，包括耕地占用税、耕地开垦费、征地管理费等以及其他在土地取得过程中直接相关的税费</t>
    </r>
  </si>
  <si>
    <r>
      <rPr>
        <b/>
        <sz val="10"/>
        <rFont val="仿宋_GB2312"/>
        <charset val="134"/>
      </rPr>
      <t>贷款利息</t>
    </r>
  </si>
  <si>
    <r>
      <rPr>
        <b/>
        <sz val="10"/>
        <rFont val="仿宋_GB2312"/>
        <charset val="134"/>
      </rPr>
      <t>利润</t>
    </r>
  </si>
  <si>
    <r>
      <rPr>
        <b/>
        <sz val="10"/>
        <rFont val="仿宋_GB2312"/>
        <charset val="134"/>
      </rPr>
      <t>（１＋２＋３）</t>
    </r>
    <r>
      <rPr>
        <b/>
        <sz val="10"/>
        <rFont val="Arial"/>
        <charset val="134"/>
      </rPr>
      <t>×</t>
    </r>
    <r>
      <rPr>
        <b/>
        <sz val="10"/>
        <rFont val="仿宋_GB2312"/>
        <charset val="134"/>
      </rPr>
      <t>利润率</t>
    </r>
  </si>
  <si>
    <r>
      <rPr>
        <b/>
        <sz val="10"/>
        <rFont val="仿宋_GB2312"/>
        <charset val="134"/>
      </rPr>
      <t>土地成本价格</t>
    </r>
  </si>
  <si>
    <r>
      <rPr>
        <b/>
        <sz val="10"/>
        <rFont val="Arial"/>
        <charset val="134"/>
      </rPr>
      <t>1-</t>
    </r>
    <r>
      <rPr>
        <b/>
        <sz val="10"/>
        <rFont val="仿宋_GB2312"/>
        <charset val="134"/>
      </rPr>
      <t>５项之和</t>
    </r>
  </si>
  <si>
    <r>
      <rPr>
        <b/>
        <sz val="10"/>
        <rFont val="仿宋_GB2312"/>
        <charset val="134"/>
      </rPr>
      <t>土地增值</t>
    </r>
  </si>
  <si>
    <r>
      <rPr>
        <b/>
        <sz val="10"/>
        <rFont val="仿宋_GB2312"/>
        <charset val="134"/>
      </rPr>
      <t>６</t>
    </r>
    <r>
      <rPr>
        <b/>
        <sz val="10"/>
        <rFont val="Arial"/>
        <charset val="134"/>
      </rPr>
      <t>×</t>
    </r>
    <r>
      <rPr>
        <b/>
        <sz val="10"/>
        <rFont val="仿宋_GB2312"/>
        <charset val="134"/>
      </rPr>
      <t>增值率；参考政府土地出让收益计取</t>
    </r>
  </si>
  <si>
    <r>
      <rPr>
        <b/>
        <sz val="10"/>
        <rFont val="仿宋_GB2312"/>
        <charset val="134"/>
      </rPr>
      <t>无线年期土地价格</t>
    </r>
  </si>
  <si>
    <r>
      <rPr>
        <b/>
        <sz val="10"/>
        <rFont val="仿宋_GB2312"/>
        <charset val="134"/>
      </rPr>
      <t>６＋７</t>
    </r>
  </si>
  <si>
    <r>
      <rPr>
        <b/>
        <sz val="10"/>
        <rFont val="仿宋_GB2312"/>
        <charset val="134"/>
      </rPr>
      <t>有限年期土地价格</t>
    </r>
  </si>
  <si>
    <r>
      <rPr>
        <b/>
        <sz val="10"/>
        <rFont val="仿宋_GB2312"/>
        <charset val="134"/>
      </rPr>
      <t>８</t>
    </r>
    <r>
      <rPr>
        <b/>
        <sz val="10"/>
        <rFont val="Arial"/>
        <charset val="134"/>
      </rPr>
      <t>×</t>
    </r>
    <r>
      <rPr>
        <b/>
        <sz val="10"/>
        <rFont val="仿宋_GB2312"/>
        <charset val="134"/>
      </rPr>
      <t>年期修正系数</t>
    </r>
  </si>
  <si>
    <r>
      <rPr>
        <b/>
        <sz val="10"/>
        <rFont val="仿宋_GB2312"/>
        <charset val="134"/>
      </rPr>
      <t>土地价格</t>
    </r>
    <r>
      <rPr>
        <b/>
        <sz val="10"/>
        <rFont val="Arial"/>
        <charset val="134"/>
      </rPr>
      <t>-</t>
    </r>
    <r>
      <rPr>
        <b/>
        <sz val="10"/>
        <rFont val="仿宋_GB2312"/>
        <charset val="134"/>
      </rPr>
      <t>总价</t>
    </r>
  </si>
  <si>
    <r>
      <rPr>
        <b/>
        <sz val="16"/>
        <rFont val="仿宋_GB2312"/>
        <charset val="134"/>
      </rPr>
      <t>住宅</t>
    </r>
  </si>
  <si>
    <r>
      <rPr>
        <sz val="11"/>
        <color indexed="8"/>
        <rFont val="仿宋_GB2312"/>
        <charset val="134"/>
      </rPr>
      <t>自然及人文环境</t>
    </r>
  </si>
  <si>
    <t>楼层-1</t>
  </si>
  <si>
    <r>
      <rPr>
        <sz val="11"/>
        <color indexed="8"/>
        <rFont val="仿宋_GB2312"/>
        <charset val="134"/>
      </rPr>
      <t>道路级别</t>
    </r>
  </si>
  <si>
    <r>
      <rPr>
        <sz val="11"/>
        <color indexed="8"/>
        <rFont val="仿宋_GB2312"/>
        <charset val="134"/>
      </rPr>
      <t>建筑品质</t>
    </r>
  </si>
  <si>
    <r>
      <rPr>
        <sz val="11"/>
        <color indexed="8"/>
        <rFont val="仿宋_GB2312"/>
        <charset val="134"/>
      </rPr>
      <t>房型</t>
    </r>
  </si>
  <si>
    <r>
      <rPr>
        <sz val="11"/>
        <color indexed="8"/>
        <rFont val="仿宋_GB2312"/>
        <charset val="134"/>
      </rPr>
      <t>单套</t>
    </r>
    <r>
      <rPr>
        <sz val="11"/>
        <color indexed="8"/>
        <rFont val="Arial"/>
        <charset val="134"/>
      </rPr>
      <t>/</t>
    </r>
    <r>
      <rPr>
        <sz val="11"/>
        <color indexed="8"/>
        <rFont val="仿宋_GB2312"/>
        <charset val="134"/>
      </rPr>
      <t>主力户型建筑面积</t>
    </r>
  </si>
  <si>
    <t>楼层修正-2：多层及高层同时修正时的处理，以普通无电梯多层为基准</t>
  </si>
  <si>
    <t>多层</t>
  </si>
  <si>
    <t>高层</t>
  </si>
  <si>
    <t>无电梯</t>
  </si>
  <si>
    <t>增值项</t>
  </si>
  <si>
    <t>系数</t>
  </si>
  <si>
    <t>有电梯</t>
  </si>
  <si>
    <t>楼层数/位置</t>
  </si>
  <si>
    <t>层差/系数</t>
  </si>
  <si>
    <t>露台</t>
  </si>
  <si>
    <t>总层数</t>
  </si>
  <si>
    <t>中间层</t>
  </si>
  <si>
    <t>首层</t>
  </si>
  <si>
    <t>顶层</t>
  </si>
  <si>
    <t>花园</t>
  </si>
  <si>
    <t>最高最低差</t>
  </si>
  <si>
    <t>注意于无电梯多层的价值匹配</t>
  </si>
  <si>
    <t>修正体系描述方式：</t>
  </si>
  <si>
    <t>估价对象及比较案例的建筑类型不同，分别为多层及高层。本次评估楼层修正中，多层建筑的各层修正系数如下表，高层建筑的各楼层修正系数以多层建筑的最高最低层差系数为基准进行平均分配。</t>
  </si>
  <si>
    <r>
      <rPr>
        <b/>
        <sz val="16"/>
        <rFont val="仿宋_GB2312"/>
        <charset val="134"/>
      </rPr>
      <t>商业</t>
    </r>
  </si>
  <si>
    <r>
      <rPr>
        <sz val="11"/>
        <color indexed="8"/>
        <rFont val="仿宋_GB2312"/>
        <charset val="134"/>
      </rPr>
      <t>平面位置</t>
    </r>
    <r>
      <rPr>
        <sz val="11"/>
        <color indexed="8"/>
        <rFont val="Arial"/>
        <charset val="134"/>
      </rPr>
      <t>/</t>
    </r>
    <r>
      <rPr>
        <sz val="11"/>
        <color indexed="8"/>
        <rFont val="仿宋_GB2312"/>
        <charset val="134"/>
      </rPr>
      <t>可视性</t>
    </r>
  </si>
  <si>
    <r>
      <rPr>
        <sz val="11"/>
        <color indexed="8"/>
        <rFont val="仿宋_GB2312"/>
        <charset val="134"/>
      </rPr>
      <t>人流量</t>
    </r>
  </si>
  <si>
    <r>
      <rPr>
        <sz val="11"/>
        <color indexed="8"/>
        <rFont val="仿宋_GB2312"/>
        <charset val="134"/>
      </rPr>
      <t>商业类型</t>
    </r>
  </si>
  <si>
    <r>
      <rPr>
        <sz val="11"/>
        <color indexed="8"/>
        <rFont val="仿宋_GB2312"/>
        <charset val="134"/>
      </rPr>
      <t>业态</t>
    </r>
  </si>
  <si>
    <r>
      <rPr>
        <sz val="11"/>
        <rFont val="仿宋_GB2312"/>
        <charset val="134"/>
      </rPr>
      <t>进深比</t>
    </r>
  </si>
  <si>
    <r>
      <rPr>
        <sz val="11"/>
        <color indexed="8"/>
        <rFont val="仿宋_GB2312"/>
        <charset val="134"/>
      </rPr>
      <t>进深比</t>
    </r>
  </si>
  <si>
    <r>
      <rPr>
        <sz val="11"/>
        <color indexed="8"/>
        <rFont val="仿宋_GB2312"/>
        <charset val="134"/>
      </rPr>
      <t>内部装修状况</t>
    </r>
  </si>
  <si>
    <r>
      <rPr>
        <sz val="11"/>
        <rFont val="仿宋_GB2312"/>
        <charset val="134"/>
      </rPr>
      <t>内部装修维护状况</t>
    </r>
  </si>
  <si>
    <t>车位数</t>
  </si>
  <si>
    <r>
      <rPr>
        <sz val="11"/>
        <color indexed="8"/>
        <rFont val="仿宋_GB2312"/>
        <charset val="134"/>
      </rPr>
      <t>配套类型</t>
    </r>
  </si>
  <si>
    <r>
      <rPr>
        <sz val="11"/>
        <color indexed="8"/>
        <rFont val="仿宋_GB2312"/>
        <charset val="134"/>
      </rPr>
      <t>项目停车位配比</t>
    </r>
  </si>
  <si>
    <r>
      <rPr>
        <sz val="11"/>
        <color indexed="8"/>
        <rFont val="仿宋_GB2312"/>
        <charset val="134"/>
      </rPr>
      <t>成新率</t>
    </r>
  </si>
  <si>
    <r>
      <rPr>
        <sz val="11"/>
        <color indexed="8"/>
        <rFont val="仿宋_GB2312"/>
        <charset val="134"/>
      </rPr>
      <t>物业等级</t>
    </r>
  </si>
  <si>
    <r>
      <rPr>
        <sz val="11"/>
        <color indexed="8"/>
        <rFont val="仿宋_GB2312"/>
        <charset val="134"/>
      </rPr>
      <t>停车位面积</t>
    </r>
  </si>
  <si>
    <r>
      <rPr>
        <sz val="11"/>
        <color indexed="8"/>
        <rFont val="仿宋_GB2312"/>
        <charset val="134"/>
      </rPr>
      <t>车位类型</t>
    </r>
  </si>
  <si>
    <r>
      <rPr>
        <sz val="11"/>
        <color indexed="8"/>
        <rFont val="仿宋_GB2312"/>
        <charset val="134"/>
      </rPr>
      <t>是否直接入户</t>
    </r>
  </si>
  <si>
    <t>成交单价</t>
  </si>
  <si>
    <r>
      <rPr>
        <sz val="11"/>
        <color indexed="8"/>
        <rFont val="仿宋_GB2312"/>
        <charset val="134"/>
      </rPr>
      <t>配套类型（地上主用途）</t>
    </r>
  </si>
  <si>
    <r>
      <rPr>
        <sz val="11"/>
        <color indexed="8"/>
        <rFont val="仿宋_GB2312"/>
        <charset val="134"/>
      </rPr>
      <t>有无电梯</t>
    </r>
  </si>
  <si>
    <r>
      <rPr>
        <sz val="11"/>
        <color indexed="8"/>
        <rFont val="仿宋_GB2312"/>
        <charset val="134"/>
      </rPr>
      <t>是否封闭</t>
    </r>
  </si>
  <si>
    <t>加权平均</t>
  </si>
  <si>
    <r>
      <rPr>
        <sz val="10"/>
        <color indexed="8"/>
        <rFont val="楷体_GB2312"/>
        <charset val="134"/>
      </rPr>
      <t>修正项</t>
    </r>
  </si>
  <si>
    <r>
      <rPr>
        <sz val="10"/>
        <color indexed="8"/>
        <rFont val="楷体_GB2312"/>
        <charset val="134"/>
      </rPr>
      <t>说明</t>
    </r>
  </si>
  <si>
    <r>
      <rPr>
        <sz val="10"/>
        <color indexed="8"/>
        <rFont val="楷体_GB2312"/>
        <charset val="134"/>
      </rPr>
      <t>修正系数</t>
    </r>
  </si>
  <si>
    <r>
      <rPr>
        <sz val="10"/>
        <color indexed="8"/>
        <rFont val="楷体_GB2312"/>
        <charset val="134"/>
      </rPr>
      <t>建筑面积</t>
    </r>
  </si>
  <si>
    <r>
      <rPr>
        <sz val="10"/>
        <color theme="9" tint="-0.249977111117893"/>
        <rFont val="楷体_GB2312"/>
        <charset val="134"/>
      </rPr>
      <t>修正项</t>
    </r>
    <r>
      <rPr>
        <sz val="10"/>
        <color theme="9" tint="-0.249977111117893"/>
        <rFont val="Arial"/>
        <charset val="134"/>
      </rPr>
      <t>2</t>
    </r>
  </si>
  <si>
    <r>
      <rPr>
        <sz val="10"/>
        <color theme="9" tint="-0.249977111117893"/>
        <rFont val="楷体_GB2312"/>
        <charset val="134"/>
      </rPr>
      <t>修正项</t>
    </r>
    <r>
      <rPr>
        <sz val="10"/>
        <color theme="9" tint="-0.249977111117893"/>
        <rFont val="Arial"/>
        <charset val="134"/>
      </rPr>
      <t>3</t>
    </r>
  </si>
  <si>
    <r>
      <rPr>
        <sz val="10"/>
        <color theme="9" tint="-0.249977111117893"/>
        <rFont val="楷体_GB2312"/>
        <charset val="134"/>
      </rPr>
      <t>修正项</t>
    </r>
    <r>
      <rPr>
        <sz val="10"/>
        <color theme="9" tint="-0.249977111117893"/>
        <rFont val="Arial"/>
        <charset val="134"/>
      </rPr>
      <t>4</t>
    </r>
  </si>
  <si>
    <r>
      <rPr>
        <sz val="10"/>
        <color theme="9" tint="-0.249977111117893"/>
        <rFont val="楷体_GB2312"/>
        <charset val="134"/>
      </rPr>
      <t>修正项</t>
    </r>
    <r>
      <rPr>
        <sz val="10"/>
        <color theme="9" tint="-0.249977111117893"/>
        <rFont val="Arial"/>
        <charset val="134"/>
      </rPr>
      <t>5</t>
    </r>
  </si>
  <si>
    <r>
      <rPr>
        <sz val="10"/>
        <color theme="9" tint="-0.249977111117893"/>
        <rFont val="楷体_GB2312"/>
        <charset val="134"/>
      </rPr>
      <t>修正项</t>
    </r>
    <r>
      <rPr>
        <sz val="10"/>
        <color theme="9" tint="-0.249977111117893"/>
        <rFont val="Arial"/>
        <charset val="134"/>
      </rPr>
      <t>6</t>
    </r>
  </si>
  <si>
    <r>
      <rPr>
        <sz val="10"/>
        <color theme="9" tint="-0.249977111117893"/>
        <rFont val="楷体_GB2312"/>
        <charset val="134"/>
      </rPr>
      <t>修正项</t>
    </r>
    <r>
      <rPr>
        <sz val="10"/>
        <color theme="9" tint="-0.249977111117893"/>
        <rFont val="Arial"/>
        <charset val="134"/>
      </rPr>
      <t>7</t>
    </r>
  </si>
  <si>
    <t>修正系数</t>
  </si>
  <si>
    <r>
      <rPr>
        <b/>
        <sz val="12"/>
        <color indexed="8"/>
        <rFont val="仿宋_GB2312"/>
        <charset val="134"/>
      </rPr>
      <t>总价</t>
    </r>
  </si>
  <si>
    <r>
      <rPr>
        <b/>
        <sz val="10"/>
        <color indexed="8"/>
        <rFont val="仿宋_GB2312"/>
        <charset val="134"/>
      </rPr>
      <t>合计</t>
    </r>
  </si>
  <si>
    <r>
      <rPr>
        <sz val="10"/>
        <color indexed="8"/>
        <rFont val="仿宋_GB2312"/>
        <charset val="134"/>
      </rPr>
      <t>位置</t>
    </r>
    <r>
      <rPr>
        <sz val="10"/>
        <color indexed="8"/>
        <rFont val="Arial"/>
        <charset val="134"/>
      </rPr>
      <t>/</t>
    </r>
    <r>
      <rPr>
        <sz val="10"/>
        <color indexed="8"/>
        <rFont val="仿宋_GB2312"/>
        <charset val="134"/>
      </rPr>
      <t>类型</t>
    </r>
  </si>
  <si>
    <r>
      <rPr>
        <sz val="10"/>
        <color indexed="8"/>
        <rFont val="仿宋_GB2312"/>
        <charset val="134"/>
      </rPr>
      <t>修正单价</t>
    </r>
  </si>
  <si>
    <r>
      <rPr>
        <sz val="10"/>
        <color indexed="8"/>
        <rFont val="仿宋_GB2312"/>
        <charset val="134"/>
      </rPr>
      <t>总价</t>
    </r>
  </si>
  <si>
    <r>
      <rPr>
        <b/>
        <sz val="10"/>
        <color indexed="10"/>
        <rFont val="仿宋_GB2312"/>
        <charset val="134"/>
      </rPr>
      <t>基准户型</t>
    </r>
  </si>
  <si>
    <t>价值时点</t>
  </si>
  <si>
    <t>项目开发期</t>
  </si>
  <si>
    <t>贷款利率</t>
  </si>
  <si>
    <t>存款利率</t>
  </si>
  <si>
    <t>土地开发期</t>
  </si>
  <si>
    <t>半年以内（含）</t>
  </si>
  <si>
    <t>1年期存款利率</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</si>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</sst>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3">
    <numFmt numFmtId="176" formatCode="yyyy&quot;年&quot;m&quot;月&quot;;@"/>
    <numFmt numFmtId="41" formatCode="_ * #,##0_ ;_ * \-#,##0_ ;_ * &quot;-&quot;_ ;_ @_ "/>
    <numFmt numFmtId="177" formatCode="0.0%"/>
    <numFmt numFmtId="178" formatCode="0_ "/>
    <numFmt numFmtId="42" formatCode="_ &quot;￥&quot;* #,##0_ ;_ &quot;￥&quot;* \-#,##0_ ;_ &quot;￥&quot;* &quot;-&quot;_ ;_ @_ "/>
    <numFmt numFmtId="44" formatCode="_ &quot;￥&quot;* #,##0.00_ ;_ &quot;￥&quot;* \-#,##0.00_ ;_ &quot;￥&quot;* &quot;-&quot;??_ ;_ @_ "/>
    <numFmt numFmtId="43" formatCode="_ * #,##0.00_ ;_ * \-#,##0.00_ ;_ * &quot;-&quot;??_ ;_ @_ "/>
    <numFmt numFmtId="179" formatCode="[DBNum1][$-804]General"/>
    <numFmt numFmtId="180" formatCode="0.0000_ "/>
    <numFmt numFmtId="181" formatCode="yyyy/m/d;@"/>
    <numFmt numFmtId="182" formatCode="0.00_ "/>
    <numFmt numFmtId="183" formatCode="0.0_);[Red]\(0.0\)"/>
    <numFmt numFmtId="184" formatCode="0_);[Red]\(0\)"/>
    <numFmt numFmtId="185" formatCode="yyyy&quot;年&quot;m&quot;月&quot;d&quot;日&quot;;@"/>
    <numFmt numFmtId="186" formatCode="0.00_);[Red]\(0.00\)"/>
    <numFmt numFmtId="187" formatCode="0.000_);[Red]\(0.000\)"/>
    <numFmt numFmtId="188" formatCode="0.0_ "/>
    <numFmt numFmtId="189" formatCode="0.000%"/>
    <numFmt numFmtId="190" formatCode="&quot;￥&quot;#,##0.00;[Red]\-&quot;￥&quot;#,##0.00"/>
    <numFmt numFmtId="191" formatCode="0_ ;[Red]\-0\ "/>
    <numFmt numFmtId="192" formatCode="0.000_ "/>
    <numFmt numFmtId="193" formatCode="0;_쐀"/>
    <numFmt numFmtId="194" formatCode="[$-F800]dddd\,\ mmmm\ dd\,\ yyyy"/>
  </numFmts>
  <fonts count="265">
    <font>
      <sz val="11"/>
      <color theme="1"/>
      <name val="宋体"/>
      <charset val="134"/>
      <scheme val="minor"/>
    </font>
    <font>
      <sz val="10"/>
      <name val="宋体"/>
      <charset val="134"/>
    </font>
    <font>
      <b/>
      <sz val="10"/>
      <name val="宋体"/>
      <charset val="134"/>
    </font>
    <font>
      <b/>
      <sz val="10"/>
      <color rgb="FFFF0000"/>
      <name val="宋体"/>
      <charset val="134"/>
    </font>
    <font>
      <b/>
      <sz val="11"/>
      <color theme="1"/>
      <name val="宋体"/>
      <charset val="134"/>
      <scheme val="minor"/>
    </font>
    <font>
      <b/>
      <sz val="11"/>
      <color rgb="FFFF0000"/>
      <name val="宋体"/>
      <charset val="134"/>
      <scheme val="minor"/>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0"/>
      <color indexed="8"/>
      <name val="Arial"/>
      <charset val="134"/>
    </font>
    <font>
      <sz val="10"/>
      <name val="Arial"/>
      <charset val="134"/>
    </font>
    <font>
      <sz val="10"/>
      <color indexed="10"/>
      <name val="Arial"/>
      <charset val="134"/>
    </font>
    <font>
      <b/>
      <sz val="10"/>
      <color indexed="10"/>
      <name val="Arial"/>
      <charset val="134"/>
    </font>
    <font>
      <b/>
      <sz val="10"/>
      <name val="Arial"/>
      <charset val="134"/>
    </font>
    <font>
      <b/>
      <sz val="10"/>
      <color indexed="8"/>
      <name val="Arial"/>
      <charset val="134"/>
    </font>
    <font>
      <sz val="10"/>
      <color theme="9" tint="-0.249977111117893"/>
      <name val="Arial"/>
      <charset val="134"/>
    </font>
    <font>
      <b/>
      <sz val="10"/>
      <color indexed="8"/>
      <name val="宋体"/>
      <charset val="134"/>
    </font>
    <font>
      <sz val="10"/>
      <color indexed="8"/>
      <name val="楷体_GB2312"/>
      <charset val="134"/>
    </font>
    <font>
      <b/>
      <sz val="12"/>
      <color indexed="8"/>
      <name val="Arial"/>
      <charset val="134"/>
    </font>
    <font>
      <b/>
      <sz val="10"/>
      <color theme="1"/>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1"/>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name val="宋体"/>
      <charset val="134"/>
    </font>
    <font>
      <sz val="11"/>
      <color indexed="8"/>
      <name val="仿宋_GB2312"/>
      <charset val="134"/>
    </font>
    <font>
      <b/>
      <sz val="11"/>
      <color indexed="10"/>
      <name val="Arial"/>
      <charset val="134"/>
    </font>
    <font>
      <b/>
      <sz val="11"/>
      <color indexed="53"/>
      <name val="Arial"/>
      <charset val="134"/>
    </font>
    <font>
      <b/>
      <sz val="16"/>
      <color indexed="8"/>
      <name val="Arial"/>
      <charset val="134"/>
    </font>
    <font>
      <sz val="12"/>
      <name val="Arial"/>
      <charset val="134"/>
    </font>
    <font>
      <sz val="11"/>
      <color theme="1"/>
      <name val="Arial"/>
      <charset val="134"/>
    </font>
    <font>
      <sz val="11"/>
      <name val="仿宋_GB2312"/>
      <charset val="134"/>
    </font>
    <font>
      <b/>
      <sz val="12"/>
      <name val="仿宋_GB2312"/>
      <charset val="134"/>
    </font>
    <font>
      <b/>
      <sz val="11"/>
      <name val="仿宋_GB2312"/>
      <charset val="134"/>
    </font>
    <font>
      <b/>
      <sz val="16"/>
      <name val="宋体"/>
      <charset val="134"/>
    </font>
    <font>
      <b/>
      <sz val="12"/>
      <color indexed="10"/>
      <name val="Arial"/>
      <charset val="134"/>
    </font>
    <font>
      <sz val="11"/>
      <color rgb="FFFF0000"/>
      <name val="仿宋_GB2312"/>
      <charset val="134"/>
    </font>
    <font>
      <sz val="11"/>
      <color theme="1"/>
      <name val="仿宋_GB2312"/>
      <charset val="134"/>
    </font>
    <font>
      <sz val="12"/>
      <name val="仿宋_GB2312"/>
      <charset val="134"/>
    </font>
    <font>
      <sz val="11"/>
      <color rgb="FFFF0000"/>
      <name val="楷体_GB2312"/>
      <charset val="134"/>
    </font>
    <font>
      <b/>
      <sz val="12"/>
      <color theme="1"/>
      <name val="Arial"/>
      <charset val="134"/>
    </font>
    <font>
      <b/>
      <sz val="10"/>
      <name val="仿宋_GB2312"/>
      <charset val="134"/>
    </font>
    <font>
      <i/>
      <sz val="10"/>
      <name val="仿宋_GB2312"/>
      <charset val="134"/>
    </font>
    <font>
      <i/>
      <sz val="10"/>
      <name val="Arial"/>
      <charset val="134"/>
    </font>
    <font>
      <i/>
      <sz val="10"/>
      <name val="宋体"/>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sz val="10"/>
      <name val="楷体_GB2312"/>
      <charset val="134"/>
    </font>
    <font>
      <b/>
      <sz val="10"/>
      <color indexed="8"/>
      <name val="楷体_GB2312"/>
      <charset val="134"/>
    </font>
    <font>
      <i/>
      <sz val="10"/>
      <color indexed="8"/>
      <name val="宋体"/>
      <charset val="134"/>
    </font>
    <font>
      <sz val="10"/>
      <color indexed="8"/>
      <name val="仿宋_GB2312"/>
      <charset val="134"/>
    </font>
    <font>
      <sz val="10"/>
      <color theme="1"/>
      <name val="Arial"/>
      <charset val="134"/>
    </font>
    <font>
      <b/>
      <sz val="10"/>
      <color rgb="FFFF0000"/>
      <name val="Arial"/>
      <charset val="134"/>
    </font>
    <font>
      <b/>
      <sz val="20"/>
      <name val="Arial"/>
      <charset val="134"/>
    </font>
    <font>
      <sz val="12"/>
      <color indexed="8"/>
      <name val="Arial"/>
      <charset val="134"/>
    </font>
    <font>
      <b/>
      <sz val="10"/>
      <color indexed="8"/>
      <name val="仿宋_GB2312"/>
      <charset val="134"/>
    </font>
    <font>
      <b/>
      <sz val="20"/>
      <color indexed="10"/>
      <name val="Arial"/>
      <charset val="134"/>
    </font>
    <font>
      <sz val="20"/>
      <color indexed="8"/>
      <name val="Arial"/>
      <charset val="134"/>
    </font>
    <font>
      <sz val="20"/>
      <name val="Arial"/>
      <charset val="134"/>
    </font>
    <font>
      <sz val="10"/>
      <color indexed="62"/>
      <name val="Arial"/>
      <charset val="134"/>
    </font>
    <font>
      <b/>
      <sz val="12"/>
      <color rgb="FFFF0000"/>
      <name val="楷体_GB2312"/>
      <charset val="134"/>
    </font>
    <font>
      <sz val="12"/>
      <name val="楷体_GB2312"/>
      <charset val="134"/>
    </font>
    <font>
      <sz val="12"/>
      <color theme="1"/>
      <name val="楷体_GB2312"/>
      <charset val="134"/>
    </font>
    <font>
      <sz val="12"/>
      <color theme="1"/>
      <name val="Arial"/>
      <charset val="134"/>
    </font>
    <font>
      <sz val="11"/>
      <color theme="1"/>
      <name val="楷体_GB2312"/>
      <charset val="134"/>
    </font>
    <font>
      <sz val="12"/>
      <color rgb="FFFF0000"/>
      <name val="楷体_GB2312"/>
      <charset val="134"/>
    </font>
    <font>
      <b/>
      <sz val="12"/>
      <name val="楷体_GB2312"/>
      <charset val="134"/>
    </font>
    <font>
      <b/>
      <sz val="12"/>
      <color rgb="FFFF0000"/>
      <name val="Arial"/>
      <charset val="134"/>
    </font>
    <font>
      <sz val="12"/>
      <color rgb="FF000000"/>
      <name val="楷体_GB2312"/>
      <charset val="134"/>
    </font>
    <font>
      <sz val="14"/>
      <color theme="1"/>
      <name val="Arial"/>
      <charset val="134"/>
    </font>
    <font>
      <b/>
      <sz val="16"/>
      <color rgb="FFFF0000"/>
      <name val="宋体"/>
      <charset val="134"/>
      <scheme val="minor"/>
    </font>
    <font>
      <b/>
      <sz val="12"/>
      <color theme="1"/>
      <name val="宋体"/>
      <charset val="134"/>
      <scheme val="minor"/>
    </font>
    <font>
      <b/>
      <sz val="10"/>
      <color theme="0"/>
      <name val="Arial"/>
      <charset val="134"/>
    </font>
    <font>
      <sz val="10"/>
      <color rgb="FFFF0000"/>
      <name val="Arial"/>
      <charset val="134"/>
    </font>
    <font>
      <b/>
      <sz val="10"/>
      <color theme="1"/>
      <name val="楷体_GB2312"/>
      <charset val="134"/>
    </font>
    <font>
      <sz val="11"/>
      <color indexed="8"/>
      <name val="楷体_GB2312"/>
      <charset val="134"/>
    </font>
    <font>
      <sz val="10"/>
      <color rgb="FF707070"/>
      <name val="Arial"/>
      <charset val="134"/>
    </font>
    <font>
      <b/>
      <sz val="11"/>
      <color theme="1"/>
      <name val="仿宋_GB2312"/>
      <charset val="134"/>
    </font>
    <font>
      <b/>
      <sz val="10"/>
      <color theme="1"/>
      <name val="仿宋_GB2312"/>
      <charset val="134"/>
    </font>
    <font>
      <sz val="10"/>
      <color theme="1"/>
      <name val="仿宋_GB2312"/>
      <charset val="134"/>
    </font>
    <font>
      <sz val="10"/>
      <name val="仿宋_GB2312"/>
      <charset val="134"/>
    </font>
    <font>
      <sz val="10"/>
      <color rgb="FF000000"/>
      <name val="仿宋_GB2312"/>
      <charset val="134"/>
    </font>
    <font>
      <sz val="11"/>
      <color rgb="FFFF0000"/>
      <name val="宋体"/>
      <charset val="134"/>
      <scheme val="minor"/>
    </font>
    <font>
      <sz val="11"/>
      <color theme="1"/>
      <name val="宋体"/>
      <charset val="134"/>
    </font>
    <font>
      <b/>
      <sz val="11"/>
      <color theme="1"/>
      <name val="宋体"/>
      <charset val="134"/>
    </font>
    <font>
      <sz val="10"/>
      <color theme="1"/>
      <name val="宋体"/>
      <charset val="134"/>
      <scheme val="minor"/>
    </font>
    <font>
      <b/>
      <sz val="10"/>
      <color theme="1"/>
      <name val="宋体"/>
      <charset val="134"/>
      <scheme val="minor"/>
    </font>
    <font>
      <b/>
      <sz val="16"/>
      <color rgb="FFFF0000"/>
      <name val="仿宋_GB2312"/>
      <charset val="134"/>
    </font>
    <font>
      <b/>
      <sz val="11"/>
      <name val="楷体_GB2312"/>
      <charset val="134"/>
    </font>
    <font>
      <b/>
      <sz val="11"/>
      <color theme="0" tint="-0.499984740745262"/>
      <name val="Arial"/>
      <charset val="134"/>
    </font>
    <font>
      <b/>
      <sz val="10"/>
      <name val="楷体_GB2312"/>
      <charset val="134"/>
    </font>
    <font>
      <sz val="10"/>
      <color rgb="FFFF0000"/>
      <name val="仿宋_GB2312"/>
      <charset val="134"/>
    </font>
    <font>
      <sz val="10"/>
      <color indexed="10"/>
      <name val="仿宋_GB2312"/>
      <charset val="134"/>
    </font>
    <font>
      <sz val="11"/>
      <name val="楷体_GB2312"/>
      <charset val="134"/>
    </font>
    <font>
      <b/>
      <sz val="10"/>
      <color rgb="FFFF0000"/>
      <name val="仿宋_GB2312"/>
      <charset val="134"/>
    </font>
    <font>
      <b/>
      <sz val="11"/>
      <color rgb="FFFF0000"/>
      <name val="Arial"/>
      <charset val="134"/>
    </font>
    <font>
      <sz val="10"/>
      <color theme="1"/>
      <name val="楷体_GB2312"/>
      <charset val="134"/>
    </font>
    <font>
      <sz val="10"/>
      <color theme="9" tint="-0.249977111117893"/>
      <name val="宋体"/>
      <charset val="134"/>
      <scheme val="minor"/>
    </font>
    <font>
      <b/>
      <sz val="11"/>
      <color rgb="FFFF0000"/>
      <name val="楷体_GB2312"/>
      <charset val="134"/>
    </font>
    <font>
      <sz val="11"/>
      <name val="宋体"/>
      <charset val="134"/>
    </font>
    <font>
      <sz val="10"/>
      <color rgb="FFFF0000"/>
      <name val="宋体"/>
      <charset val="134"/>
      <scheme val="minor"/>
    </font>
    <font>
      <sz val="11"/>
      <color theme="9" tint="-0.249977111117893"/>
      <name val="仿宋_GB2312"/>
      <charset val="134"/>
    </font>
    <font>
      <sz val="11"/>
      <color rgb="FF000000"/>
      <name val="宋体"/>
      <charset val="134"/>
    </font>
    <font>
      <sz val="10"/>
      <color indexed="8"/>
      <name val="宋体"/>
      <charset val="134"/>
    </font>
    <font>
      <b/>
      <sz val="11"/>
      <color rgb="FFFF0000"/>
      <name val="宋体"/>
      <charset val="134"/>
    </font>
    <font>
      <sz val="10"/>
      <color indexed="53"/>
      <name val="Arial"/>
      <charset val="134"/>
    </font>
    <font>
      <b/>
      <sz val="14"/>
      <color indexed="10"/>
      <name val="Arial"/>
      <charset val="134"/>
    </font>
    <font>
      <b/>
      <sz val="14"/>
      <name val="Arial"/>
      <charset val="134"/>
    </font>
    <font>
      <sz val="12"/>
      <color indexed="53"/>
      <name val="Arial"/>
      <charset val="134"/>
    </font>
    <font>
      <sz val="11"/>
      <color rgb="FFFF0000"/>
      <name val="宋体"/>
      <charset val="134"/>
    </font>
    <font>
      <b/>
      <sz val="11"/>
      <color indexed="8"/>
      <name val="仿宋_GB2312"/>
      <charset val="134"/>
    </font>
    <font>
      <sz val="11"/>
      <color indexed="8"/>
      <name val="宋体"/>
      <charset val="134"/>
    </font>
    <font>
      <b/>
      <sz val="11"/>
      <color theme="1"/>
      <name val="Arial"/>
      <charset val="134"/>
    </font>
    <font>
      <b/>
      <sz val="11"/>
      <color indexed="8"/>
      <name val="楷体_GB2312"/>
      <charset val="134"/>
    </font>
    <font>
      <b/>
      <sz val="11"/>
      <color indexed="8"/>
      <name val="宋体"/>
      <charset val="134"/>
    </font>
    <font>
      <b/>
      <sz val="14"/>
      <color rgb="FFFF0000"/>
      <name val="楷体_GB2312"/>
      <charset val="134"/>
    </font>
    <font>
      <sz val="12"/>
      <color indexed="8"/>
      <name val="楷体_GB2312"/>
      <charset val="134"/>
    </font>
    <font>
      <sz val="11"/>
      <color rgb="FFFF0000"/>
      <name val="Arial"/>
      <charset val="134"/>
    </font>
    <font>
      <u/>
      <sz val="10"/>
      <color indexed="8"/>
      <name val="Arial"/>
      <charset val="134"/>
    </font>
    <font>
      <b/>
      <sz val="8"/>
      <color indexed="8"/>
      <name val="Arial"/>
      <charset val="134"/>
    </font>
    <font>
      <b/>
      <sz val="9"/>
      <color indexed="8"/>
      <name val="Arial"/>
      <charset val="134"/>
    </font>
    <font>
      <b/>
      <sz val="14"/>
      <color rgb="FFFF0000"/>
      <name val="Arial"/>
      <charset val="134"/>
    </font>
    <font>
      <b/>
      <u/>
      <sz val="12"/>
      <color theme="1"/>
      <name val="Arial"/>
      <charset val="134"/>
    </font>
    <font>
      <u/>
      <sz val="12"/>
      <color indexed="8"/>
      <name val="Arial"/>
      <charset val="134"/>
    </font>
    <font>
      <b/>
      <u/>
      <sz val="12"/>
      <color indexed="8"/>
      <name val="Arial"/>
      <charset val="134"/>
    </font>
    <font>
      <b/>
      <sz val="14"/>
      <color indexed="8"/>
      <name val="Arial"/>
      <charset val="134"/>
    </font>
    <font>
      <sz val="14"/>
      <color indexed="8"/>
      <name val="Arial"/>
      <charset val="134"/>
    </font>
    <font>
      <sz val="9"/>
      <color theme="1"/>
      <name val="Arial"/>
      <charset val="134"/>
    </font>
    <font>
      <sz val="9"/>
      <color rgb="FFE36C0A"/>
      <name val="Arial"/>
      <charset val="134"/>
    </font>
    <font>
      <b/>
      <sz val="9"/>
      <color theme="1"/>
      <name val="Arial"/>
      <charset val="134"/>
    </font>
    <font>
      <b/>
      <u/>
      <sz val="9"/>
      <color rgb="FFE36C0A"/>
      <name val="Arial"/>
      <charset val="134"/>
    </font>
    <font>
      <sz val="12"/>
      <color rgb="FF000000"/>
      <name val="Arial"/>
      <charset val="134"/>
    </font>
    <font>
      <sz val="9"/>
      <color indexed="8"/>
      <name val="Arial"/>
      <charset val="134"/>
    </font>
    <font>
      <b/>
      <sz val="10"/>
      <color rgb="FFE36C0A"/>
      <name val="Arial"/>
      <charset val="134"/>
    </font>
    <font>
      <sz val="10"/>
      <color rgb="FFE36C0A"/>
      <name val="Arial"/>
      <charset val="134"/>
    </font>
    <font>
      <sz val="10"/>
      <color rgb="FF000000"/>
      <name val="Arial"/>
      <charset val="134"/>
    </font>
    <font>
      <sz val="10"/>
      <color rgb="FF000000"/>
      <name val="宋体"/>
      <charset val="134"/>
    </font>
    <font>
      <sz val="11"/>
      <color rgb="FF666666"/>
      <name val="微软雅黑"/>
      <charset val="134"/>
    </font>
    <font>
      <b/>
      <sz val="12"/>
      <color theme="1"/>
      <name val="Adobe 黑体 Std R"/>
      <charset val="134"/>
    </font>
    <font>
      <sz val="11"/>
      <name val="宋体"/>
      <charset val="134"/>
      <scheme val="minor"/>
    </font>
    <font>
      <sz val="11"/>
      <color rgb="FF000000"/>
      <name val="仿宋_GB2312"/>
      <charset val="134"/>
    </font>
    <font>
      <sz val="12"/>
      <color rgb="FF000000"/>
      <name val="仿宋_GB2312"/>
      <charset val="134"/>
    </font>
    <font>
      <sz val="11"/>
      <color rgb="FF000000"/>
      <name val="Arial"/>
      <charset val="134"/>
    </font>
    <font>
      <b/>
      <sz val="12"/>
      <color rgb="FF000000"/>
      <name val="仿宋_GB2312"/>
      <charset val="134"/>
    </font>
    <font>
      <b/>
      <sz val="11"/>
      <color rgb="FF000000"/>
      <name val="宋体"/>
      <charset val="134"/>
    </font>
    <font>
      <b/>
      <sz val="11"/>
      <color rgb="FF000000"/>
      <name val="仿宋_GB2312"/>
      <charset val="134"/>
    </font>
    <font>
      <b/>
      <sz val="11"/>
      <color rgb="FF000000"/>
      <name val="Arial"/>
      <charset val="134"/>
    </font>
    <font>
      <sz val="12"/>
      <color theme="1"/>
      <name val="宋体"/>
      <charset val="134"/>
      <scheme val="minor"/>
    </font>
    <font>
      <sz val="12"/>
      <color rgb="FFFF0000"/>
      <name val="宋体"/>
      <charset val="134"/>
      <scheme val="minor"/>
    </font>
    <font>
      <sz val="10"/>
      <color rgb="FF666666"/>
      <name val="Tahoma"/>
      <charset val="134"/>
    </font>
    <font>
      <sz val="10"/>
      <color rgb="FF337AB7"/>
      <name val="Tahoma"/>
      <charset val="134"/>
    </font>
    <font>
      <sz val="14"/>
      <color indexed="8"/>
      <name val="仿宋_GB2312"/>
      <charset val="134"/>
    </font>
    <font>
      <b/>
      <sz val="14"/>
      <color indexed="10"/>
      <name val="仿宋_GB2312"/>
      <charset val="134"/>
    </font>
    <font>
      <b/>
      <sz val="14"/>
      <color indexed="8"/>
      <name val="仿宋_GB2312"/>
      <charset val="134"/>
    </font>
    <font>
      <sz val="11"/>
      <color indexed="10"/>
      <name val="楷体_GB2312"/>
      <charset val="134"/>
    </font>
    <font>
      <sz val="9"/>
      <color indexed="8"/>
      <name val="宋体"/>
      <charset val="134"/>
    </font>
    <font>
      <sz val="9"/>
      <color rgb="FFFF0000"/>
      <name val="宋体"/>
      <charset val="134"/>
    </font>
    <font>
      <sz val="12"/>
      <color indexed="8"/>
      <name val="仿宋_GB2312"/>
      <charset val="134"/>
    </font>
    <font>
      <sz val="12"/>
      <color theme="9" tint="-0.249977111117893"/>
      <name val="仿宋_GB2312"/>
      <charset val="134"/>
    </font>
    <font>
      <sz val="12"/>
      <color rgb="FFFF0000"/>
      <name val="仿宋_GB2312"/>
      <charset val="134"/>
    </font>
    <font>
      <b/>
      <sz val="12"/>
      <color indexed="8"/>
      <name val="仿宋_GB2312"/>
      <charset val="134"/>
    </font>
    <font>
      <b/>
      <sz val="12"/>
      <color rgb="FFFF0000"/>
      <name val="宋体"/>
      <charset val="134"/>
      <scheme val="major"/>
    </font>
    <font>
      <b/>
      <sz val="12"/>
      <color theme="1"/>
      <name val="宋体"/>
      <charset val="134"/>
      <scheme val="major"/>
    </font>
    <font>
      <b/>
      <sz val="12"/>
      <color rgb="FFFF0000"/>
      <name val="宋体"/>
      <charset val="134"/>
      <scheme val="minor"/>
    </font>
    <font>
      <b/>
      <sz val="12"/>
      <color indexed="13"/>
      <name val="Arial"/>
      <charset val="134"/>
    </font>
    <font>
      <sz val="12"/>
      <color theme="1"/>
      <name val="仿宋_GB2312"/>
      <charset val="134"/>
    </font>
    <font>
      <sz val="12"/>
      <color indexed="53"/>
      <name val="仿宋_GB2312"/>
      <charset val="134"/>
    </font>
    <font>
      <sz val="14"/>
      <color theme="1"/>
      <name val="仿宋_GB2312"/>
      <charset val="134"/>
    </font>
    <font>
      <sz val="10.5"/>
      <color theme="1"/>
      <name val="仿宋_GB2312"/>
      <charset val="134"/>
    </font>
    <font>
      <sz val="10.5"/>
      <color theme="9" tint="-0.249977111117893"/>
      <name val="仿宋_GB2312"/>
      <charset val="134"/>
    </font>
    <font>
      <sz val="10.5"/>
      <color rgb="FFE36C0A"/>
      <name val="仿宋_GB2312"/>
      <charset val="134"/>
    </font>
    <font>
      <b/>
      <sz val="10.5"/>
      <color rgb="FFE36C0A"/>
      <name val="仿宋_GB2312"/>
      <charset val="134"/>
    </font>
    <font>
      <sz val="10.5"/>
      <color theme="1"/>
      <name val="宋体"/>
      <charset val="134"/>
      <scheme val="minor"/>
    </font>
    <font>
      <b/>
      <u/>
      <sz val="10.5"/>
      <color rgb="FFE36C0A"/>
      <name val="仿宋_GB2312"/>
      <charset val="134"/>
    </font>
    <font>
      <b/>
      <sz val="18"/>
      <color theme="1"/>
      <name val="仿宋_GB2312"/>
      <charset val="134"/>
    </font>
    <font>
      <b/>
      <sz val="14"/>
      <color theme="1"/>
      <name val="仿宋_GB2312"/>
      <charset val="134"/>
    </font>
    <font>
      <b/>
      <sz val="14"/>
      <color rgb="FF000000"/>
      <name val="仿宋_GB2312"/>
      <charset val="134"/>
    </font>
    <font>
      <sz val="14"/>
      <color theme="9" tint="-0.249977111117893"/>
      <name val="仿宋_GB2312"/>
      <charset val="134"/>
    </font>
    <font>
      <i/>
      <sz val="14"/>
      <color theme="3" tint="0.399914548173467"/>
      <name val="仿宋_GB2312"/>
      <charset val="134"/>
    </font>
    <font>
      <b/>
      <sz val="10.5"/>
      <color theme="1"/>
      <name val="黑体"/>
      <charset val="134"/>
    </font>
    <font>
      <sz val="11"/>
      <color theme="1"/>
      <name val="宋体"/>
      <charset val="0"/>
      <scheme val="minor"/>
    </font>
    <font>
      <sz val="11"/>
      <color theme="0"/>
      <name val="宋体"/>
      <charset val="0"/>
      <scheme val="minor"/>
    </font>
    <font>
      <i/>
      <sz val="11"/>
      <color rgb="FF7F7F7F"/>
      <name val="宋体"/>
      <charset val="0"/>
      <scheme val="minor"/>
    </font>
    <font>
      <sz val="11"/>
      <color rgb="FFFF00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8"/>
      <color indexed="10"/>
      <name val="΢ȭхڬˎ̥"/>
      <charset val="134"/>
    </font>
    <font>
      <sz val="10"/>
      <color theme="9" tint="-0.249977111117893"/>
      <name val="楷体_GB2312"/>
      <charset val="134"/>
    </font>
    <font>
      <b/>
      <sz val="10"/>
      <color indexed="10"/>
      <name val="仿宋_GB2312"/>
      <charset val="134"/>
    </font>
    <font>
      <b/>
      <sz val="16"/>
      <color indexed="10"/>
      <name val="仿宋_GB2312"/>
      <charset val="134"/>
    </font>
    <font>
      <b/>
      <sz val="16"/>
      <name val="仿宋_GB2312"/>
      <charset val="134"/>
    </font>
    <font>
      <b/>
      <sz val="11"/>
      <color theme="9" tint="-0.249977111117893"/>
      <name val="Arial"/>
      <charset val="134"/>
    </font>
    <font>
      <b/>
      <sz val="11"/>
      <color theme="9" tint="-0.249977111117893"/>
      <name val="仿宋_GB2312"/>
      <charset val="134"/>
    </font>
    <font>
      <b/>
      <sz val="16"/>
      <color indexed="8"/>
      <name val="仿宋_GB2312"/>
      <charset val="134"/>
    </font>
    <font>
      <b/>
      <i/>
      <sz val="10"/>
      <color rgb="FFFF0000"/>
      <name val="宋体"/>
      <charset val="134"/>
    </font>
    <font>
      <vertAlign val="subscript"/>
      <sz val="10"/>
      <color indexed="8"/>
      <name val="仿宋_GB2312"/>
      <charset val="134"/>
    </font>
    <font>
      <vertAlign val="superscript"/>
      <sz val="12"/>
      <color theme="1"/>
      <name val="楷体_GB2312"/>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0"/>
      <color rgb="FF707070"/>
      <name val="宋体"/>
      <charset val="134"/>
    </font>
    <font>
      <sz val="11"/>
      <color indexed="10"/>
      <name val="宋体"/>
      <charset val="134"/>
    </font>
    <font>
      <b/>
      <vertAlign val="subscript"/>
      <sz val="11"/>
      <color indexed="8"/>
      <name val="仿宋_GB2312"/>
      <charset val="134"/>
    </font>
    <font>
      <sz val="11"/>
      <color indexed="10"/>
      <name val="仿宋_GB2312"/>
      <charset val="134"/>
    </font>
    <font>
      <b/>
      <sz val="8"/>
      <color indexed="8"/>
      <name val="仿宋_GB2312"/>
      <charset val="134"/>
    </font>
    <font>
      <sz val="9"/>
      <color indexed="8"/>
      <name val="仿宋_GB2312"/>
      <charset val="134"/>
    </font>
    <font>
      <b/>
      <u/>
      <sz val="12"/>
      <color indexed="8"/>
      <name val="仿宋_GB2312"/>
      <charset val="134"/>
    </font>
    <font>
      <vertAlign val="superscript"/>
      <sz val="10"/>
      <color indexed="8"/>
      <name val="Arial"/>
      <charset val="134"/>
    </font>
    <font>
      <sz val="11"/>
      <color rgb="FF000000"/>
      <name val="Batang"/>
      <charset val="129"/>
    </font>
    <font>
      <sz val="10"/>
      <color rgb="FF666666"/>
      <name val="宋体"/>
      <charset val="134"/>
    </font>
    <font>
      <b/>
      <sz val="14"/>
      <color indexed="10"/>
      <name val="楷体_GB2312"/>
      <charset val="134"/>
    </font>
    <font>
      <sz val="10"/>
      <color rgb="FFFF0000"/>
      <name val="楷体_GB2312"/>
      <charset val="134"/>
    </font>
    <font>
      <b/>
      <sz val="12"/>
      <color indexed="13"/>
      <name val="仿宋_GB2312"/>
      <charset val="134"/>
    </font>
    <font>
      <b/>
      <sz val="12"/>
      <color indexed="10"/>
      <name val="仿宋_GB2312"/>
      <charset val="134"/>
    </font>
    <font>
      <i/>
      <sz val="12"/>
      <color theme="3" tint="0.399914548173467"/>
      <name val="仿宋_GB2312"/>
      <charset val="134"/>
    </font>
    <font>
      <i/>
      <sz val="10.5"/>
      <color theme="9" tint="-0.249977111117893"/>
      <name val="仿宋_GB2312"/>
      <charset val="134"/>
    </font>
    <font>
      <i/>
      <sz val="10.5"/>
      <color theme="3" tint="0.399914548173467"/>
      <name val="仿宋_GB2312"/>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9"/>
      <name val="宋体"/>
      <charset val="134"/>
    </font>
    <font>
      <b/>
      <sz val="9"/>
      <name val="宋体"/>
      <charset val="134"/>
    </font>
    <font>
      <sz val="14"/>
      <name val="楷体_GB2312"/>
      <charset val="134"/>
    </font>
    <font>
      <sz val="11"/>
      <name val="宋体"/>
      <charset val="134"/>
    </font>
    <font>
      <sz val="12"/>
      <name val="宋体"/>
      <charset val="134"/>
    </font>
    <font>
      <sz val="10"/>
      <name val="宋体"/>
      <charset val="134"/>
    </font>
    <font>
      <b/>
      <sz val="11"/>
      <name val="宋体"/>
      <charset val="134"/>
    </font>
    <font>
      <b/>
      <sz val="8"/>
      <name val="宋体"/>
      <charset val="134"/>
    </font>
    <font>
      <b/>
      <sz val="12"/>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8" tint="0.599993896298105"/>
        <bgColor indexed="64"/>
      </patternFill>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9" tint="-0.249977111117893"/>
        <bgColor indexed="64"/>
      </patternFill>
    </fill>
    <fill>
      <patternFill patternType="solid">
        <fgColor rgb="FFFFFFFF"/>
        <bgColor indexed="64"/>
      </patternFill>
    </fill>
    <fill>
      <patternFill patternType="solid">
        <fgColor theme="8" tint="0.399914548173467"/>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5F5F5"/>
        <bgColor indexed="64"/>
      </patternFill>
    </fill>
    <fill>
      <patternFill patternType="solid">
        <fgColor rgb="FFF2F2F2"/>
        <bgColor indexed="64"/>
      </patternFill>
    </fill>
    <fill>
      <patternFill patternType="solid">
        <fgColor rgb="FF4EF862"/>
        <bgColor indexed="64"/>
      </patternFill>
    </fill>
    <fill>
      <patternFill patternType="solid">
        <fgColor rgb="FF50F650"/>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C7CE"/>
        <bgColor indexed="64"/>
      </patternFill>
    </fill>
    <fill>
      <patternFill patternType="solid">
        <fgColor theme="8"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s>
  <borders count="188">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thin">
        <color auto="1"/>
      </top>
      <bottom style="medium">
        <color auto="1"/>
      </bottom>
      <diagonal/>
    </border>
    <border>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style="medium">
        <color auto="1"/>
      </right>
      <top style="thin">
        <color auto="1"/>
      </top>
      <bottom style="medium">
        <color auto="1"/>
      </bottom>
      <diagonal/>
    </border>
    <border>
      <left/>
      <right/>
      <top style="thin">
        <color auto="1"/>
      </top>
      <bottom/>
      <diagonal/>
    </border>
    <border>
      <left/>
      <right/>
      <top style="medium">
        <color auto="1"/>
      </top>
      <bottom/>
      <diagonal/>
    </border>
    <border>
      <left/>
      <right style="thin">
        <color auto="1"/>
      </right>
      <top style="medium">
        <color auto="1"/>
      </top>
      <bottom style="thin">
        <color auto="1"/>
      </bottom>
      <diagonal/>
    </border>
    <border>
      <left style="thin">
        <color auto="1"/>
      </left>
      <right style="medium">
        <color auto="1"/>
      </right>
      <top style="thin">
        <color auto="1"/>
      </top>
      <bottom/>
      <diagonal/>
    </border>
    <border>
      <left/>
      <right style="thin">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bottom style="medium">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style="thin">
        <color auto="1"/>
      </right>
      <top/>
      <bottom/>
      <diagonal/>
    </border>
    <border>
      <left style="medium">
        <color auto="1"/>
      </left>
      <right/>
      <top style="thin">
        <color auto="1"/>
      </top>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right/>
      <top/>
      <bottom style="thin">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thin">
        <color auto="1"/>
      </right>
      <top/>
      <bottom style="double">
        <color auto="1"/>
      </bottom>
      <diagonal/>
    </border>
    <border>
      <left/>
      <right style="medium">
        <color auto="1"/>
      </right>
      <top style="thin">
        <color auto="1"/>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thin">
        <color auto="1"/>
      </top>
      <bottom style="double">
        <color auto="1"/>
      </bottom>
      <diagonal/>
    </border>
    <border>
      <left/>
      <right/>
      <top style="thin">
        <color auto="1"/>
      </top>
      <bottom style="double">
        <color auto="1"/>
      </bottom>
      <diagonal/>
    </border>
    <border>
      <left/>
      <right/>
      <top/>
      <bottom style="double">
        <color rgb="FFFF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E4EAEC"/>
      </left>
      <right style="medium">
        <color rgb="FFE6E6E6"/>
      </right>
      <top style="medium">
        <color rgb="FFE4EAEC"/>
      </top>
      <bottom/>
      <diagonal/>
    </border>
    <border>
      <left style="medium">
        <color rgb="FFE6E6E6"/>
      </left>
      <right style="medium">
        <color rgb="FFE6E6E6"/>
      </right>
      <top style="medium">
        <color rgb="FFE4EAEC"/>
      </top>
      <bottom/>
      <diagonal/>
    </border>
    <border>
      <left style="medium">
        <color rgb="FFE6E6E6"/>
      </left>
      <right/>
      <top style="medium">
        <color rgb="FFE4EAEC"/>
      </top>
      <bottom style="medium">
        <color rgb="FFE6E6E6"/>
      </bottom>
      <diagonal/>
    </border>
    <border>
      <left/>
      <right/>
      <top style="medium">
        <color rgb="FFE4EAEC"/>
      </top>
      <bottom style="medium">
        <color rgb="FFE6E6E6"/>
      </bottom>
      <diagonal/>
    </border>
    <border>
      <left/>
      <right style="medium">
        <color rgb="FFE6E6E6"/>
      </right>
      <top style="medium">
        <color rgb="FFE4EAEC"/>
      </top>
      <bottom style="medium">
        <color rgb="FFE6E6E6"/>
      </bottom>
      <diagonal/>
    </border>
    <border>
      <left style="medium">
        <color rgb="FFE4EAEC"/>
      </left>
      <right style="medium">
        <color rgb="FFE6E6E6"/>
      </right>
      <top/>
      <bottom style="medium">
        <color rgb="FFE4EAEC"/>
      </bottom>
      <diagonal/>
    </border>
    <border>
      <left style="medium">
        <color rgb="FFE6E6E6"/>
      </left>
      <right style="medium">
        <color rgb="FFE6E6E6"/>
      </right>
      <top/>
      <bottom style="medium">
        <color rgb="FFE4EAEC"/>
      </bottom>
      <diagonal/>
    </border>
    <border>
      <left/>
      <right/>
      <top/>
      <bottom style="medium">
        <color rgb="FFE4EAEC"/>
      </bottom>
      <diagonal/>
    </border>
    <border>
      <left style="medium">
        <color rgb="FFE4EAEC"/>
      </left>
      <right style="medium">
        <color rgb="FFE6E6E6"/>
      </right>
      <top style="medium">
        <color rgb="FFE4EAEC"/>
      </top>
      <bottom style="medium">
        <color rgb="FFE4EAEC"/>
      </bottom>
      <diagonal/>
    </border>
    <border>
      <left/>
      <right style="medium">
        <color rgb="FFE6E6E6"/>
      </right>
      <top style="medium">
        <color rgb="FFE4EAEC"/>
      </top>
      <bottom style="medium">
        <color rgb="FFE4EAEC"/>
      </bottom>
      <diagonal/>
    </border>
    <border>
      <left/>
      <right style="medium">
        <color rgb="FFE6E6E6"/>
      </right>
      <top style="medium">
        <color rgb="FFE4EAEC"/>
      </top>
      <bottom/>
      <diagonal/>
    </border>
    <border>
      <left/>
      <right style="medium">
        <color rgb="FFE6E6E6"/>
      </right>
      <top/>
      <bottom style="medium">
        <color rgb="FFE4EAEC"/>
      </bottom>
      <diagonal/>
    </border>
    <border>
      <left style="medium">
        <color rgb="FFE6E6E6"/>
      </left>
      <right style="medium">
        <color rgb="FFE4EAEC"/>
      </right>
      <top style="medium">
        <color rgb="FFE4EAEC"/>
      </top>
      <bottom/>
      <diagonal/>
    </border>
    <border>
      <left style="medium">
        <color rgb="FFE6E6E6"/>
      </left>
      <right style="medium">
        <color rgb="FFE4EAEC"/>
      </right>
      <top/>
      <bottom style="medium">
        <color rgb="FFE4EAEC"/>
      </bottom>
      <diagonal/>
    </border>
    <border>
      <left/>
      <right style="medium">
        <color rgb="FFE4EAEC"/>
      </right>
      <top style="medium">
        <color rgb="FFE4EAEC"/>
      </top>
      <bottom style="medium">
        <color rgb="FFE4EAEC"/>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bottom style="double">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double">
        <color auto="1"/>
      </bottom>
      <diagonal/>
    </border>
    <border>
      <left/>
      <right style="medium">
        <color auto="1"/>
      </right>
      <top/>
      <bottom style="double">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4">
    <xf numFmtId="0" fontId="0" fillId="0" borderId="0">
      <alignment vertical="center"/>
    </xf>
    <xf numFmtId="42" fontId="0" fillId="0" borderId="0" applyFont="0" applyFill="0" applyBorder="0" applyAlignment="0" applyProtection="0">
      <alignment vertical="center"/>
    </xf>
    <xf numFmtId="0" fontId="201" fillId="24" borderId="0" applyNumberFormat="0" applyBorder="0" applyAlignment="0" applyProtection="0">
      <alignment vertical="center"/>
    </xf>
    <xf numFmtId="0" fontId="205" fillId="29" borderId="18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1" fillId="14" borderId="0" applyNumberFormat="0" applyBorder="0" applyAlignment="0" applyProtection="0">
      <alignment vertical="center"/>
    </xf>
    <xf numFmtId="0" fontId="207" fillId="34" borderId="0" applyNumberFormat="0" applyBorder="0" applyAlignment="0" applyProtection="0">
      <alignment vertical="center"/>
    </xf>
    <xf numFmtId="43" fontId="0" fillId="0" borderId="0" applyFont="0" applyFill="0" applyBorder="0" applyAlignment="0" applyProtection="0">
      <alignment vertical="center"/>
    </xf>
    <xf numFmtId="0" fontId="202" fillId="31" borderId="0" applyNumberFormat="0" applyBorder="0" applyAlignment="0" applyProtection="0">
      <alignment vertical="center"/>
    </xf>
    <xf numFmtId="0" fontId="20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9" fillId="0" borderId="0" applyNumberFormat="0" applyFill="0" applyBorder="0" applyAlignment="0" applyProtection="0">
      <alignment vertical="center"/>
    </xf>
    <xf numFmtId="9" fontId="64" fillId="0" borderId="0" applyFont="0" applyFill="0" applyBorder="0" applyAlignment="0" applyProtection="0">
      <alignment vertical="center"/>
    </xf>
    <xf numFmtId="0" fontId="0" fillId="0" borderId="0"/>
    <xf numFmtId="0" fontId="0" fillId="36" borderId="182" applyNumberFormat="0" applyFont="0" applyAlignment="0" applyProtection="0">
      <alignment vertical="center"/>
    </xf>
    <xf numFmtId="0" fontId="202" fillId="28" borderId="0" applyNumberFormat="0" applyBorder="0" applyAlignment="0" applyProtection="0">
      <alignment vertical="center"/>
    </xf>
    <xf numFmtId="0" fontId="206" fillId="0" borderId="0" applyNumberFormat="0" applyFill="0" applyBorder="0" applyAlignment="0" applyProtection="0">
      <alignment vertical="center"/>
    </xf>
    <xf numFmtId="0" fontId="204" fillId="0" borderId="0" applyNumberFormat="0" applyFill="0" applyBorder="0" applyAlignment="0" applyProtection="0">
      <alignment vertical="center"/>
    </xf>
    <xf numFmtId="0" fontId="210" fillId="0" borderId="0" applyNumberFormat="0" applyFill="0" applyBorder="0" applyAlignment="0" applyProtection="0">
      <alignment vertical="center"/>
    </xf>
    <xf numFmtId="0" fontId="203" fillId="0" borderId="0" applyNumberFormat="0" applyFill="0" applyBorder="0" applyAlignment="0" applyProtection="0">
      <alignment vertical="center"/>
    </xf>
    <xf numFmtId="0" fontId="83" fillId="0" borderId="0">
      <alignment vertical="center"/>
    </xf>
    <xf numFmtId="0" fontId="83" fillId="0" borderId="0">
      <alignment vertical="center"/>
    </xf>
    <xf numFmtId="0" fontId="211" fillId="0" borderId="183" applyNumberFormat="0" applyFill="0" applyAlignment="0" applyProtection="0">
      <alignment vertical="center"/>
    </xf>
    <xf numFmtId="0" fontId="0" fillId="0" borderId="0"/>
    <xf numFmtId="0" fontId="212" fillId="0" borderId="183" applyNumberFormat="0" applyFill="0" applyAlignment="0" applyProtection="0">
      <alignment vertical="center"/>
    </xf>
    <xf numFmtId="0" fontId="202" fillId="38" borderId="0" applyNumberFormat="0" applyBorder="0" applyAlignment="0" applyProtection="0">
      <alignment vertical="center"/>
    </xf>
    <xf numFmtId="0" fontId="206" fillId="0" borderId="181" applyNumberFormat="0" applyFill="0" applyAlignment="0" applyProtection="0">
      <alignment vertical="center"/>
    </xf>
    <xf numFmtId="0" fontId="202" fillId="26" borderId="0" applyNumberFormat="0" applyBorder="0" applyAlignment="0" applyProtection="0">
      <alignment vertical="center"/>
    </xf>
    <xf numFmtId="0" fontId="214" fillId="19" borderId="184" applyNumberFormat="0" applyAlignment="0" applyProtection="0">
      <alignment vertical="center"/>
    </xf>
    <xf numFmtId="0" fontId="217" fillId="19" borderId="180" applyNumberFormat="0" applyAlignment="0" applyProtection="0">
      <alignment vertical="center"/>
    </xf>
    <xf numFmtId="0" fontId="218" fillId="42" borderId="186" applyNumberFormat="0" applyAlignment="0" applyProtection="0">
      <alignment vertical="center"/>
    </xf>
    <xf numFmtId="0" fontId="201" fillId="25" borderId="0" applyNumberFormat="0" applyBorder="0" applyAlignment="0" applyProtection="0">
      <alignment vertical="center"/>
    </xf>
    <xf numFmtId="0" fontId="202" fillId="43" borderId="0" applyNumberFormat="0" applyBorder="0" applyAlignment="0" applyProtection="0">
      <alignment vertical="center"/>
    </xf>
    <xf numFmtId="0" fontId="219" fillId="0" borderId="187" applyNumberFormat="0" applyFill="0" applyAlignment="0" applyProtection="0">
      <alignment vertical="center"/>
    </xf>
    <xf numFmtId="0" fontId="216" fillId="0" borderId="185" applyNumberFormat="0" applyFill="0" applyAlignment="0" applyProtection="0">
      <alignment vertical="center"/>
    </xf>
    <xf numFmtId="0" fontId="213" fillId="37" borderId="0" applyNumberFormat="0" applyBorder="0" applyAlignment="0" applyProtection="0">
      <alignment vertical="center"/>
    </xf>
    <xf numFmtId="0" fontId="0" fillId="0" borderId="0">
      <alignment vertical="center"/>
    </xf>
    <xf numFmtId="0" fontId="0" fillId="0" borderId="0">
      <alignment vertical="center"/>
    </xf>
    <xf numFmtId="0" fontId="215" fillId="39" borderId="0" applyNumberFormat="0" applyBorder="0" applyAlignment="0" applyProtection="0">
      <alignment vertical="center"/>
    </xf>
    <xf numFmtId="0" fontId="83" fillId="0" borderId="0">
      <alignment vertical="center"/>
    </xf>
    <xf numFmtId="0" fontId="201" fillId="47" borderId="0" applyNumberFormat="0" applyBorder="0" applyAlignment="0" applyProtection="0">
      <alignment vertical="center"/>
    </xf>
    <xf numFmtId="0" fontId="202" fillId="33" borderId="0" applyNumberFormat="0" applyBorder="0" applyAlignment="0" applyProtection="0">
      <alignment vertical="center"/>
    </xf>
    <xf numFmtId="0" fontId="201" fillId="44" borderId="0" applyNumberFormat="0" applyBorder="0" applyAlignment="0" applyProtection="0">
      <alignment vertical="center"/>
    </xf>
    <xf numFmtId="0" fontId="201" fillId="49" borderId="0" applyNumberFormat="0" applyBorder="0" applyAlignment="0" applyProtection="0">
      <alignment vertical="center"/>
    </xf>
    <xf numFmtId="0" fontId="201" fillId="48" borderId="0" applyNumberFormat="0" applyBorder="0" applyAlignment="0" applyProtection="0">
      <alignment vertical="center"/>
    </xf>
    <xf numFmtId="0" fontId="201" fillId="32" borderId="0" applyNumberFormat="0" applyBorder="0" applyAlignment="0" applyProtection="0">
      <alignment vertical="center"/>
    </xf>
    <xf numFmtId="0" fontId="202" fillId="30" borderId="0" applyNumberFormat="0" applyBorder="0" applyAlignment="0" applyProtection="0">
      <alignment vertical="center"/>
    </xf>
    <xf numFmtId="0" fontId="0" fillId="0" borderId="0">
      <alignment vertical="center"/>
    </xf>
    <xf numFmtId="0" fontId="202" fillId="50" borderId="0" applyNumberFormat="0" applyBorder="0" applyAlignment="0" applyProtection="0">
      <alignment vertical="center"/>
    </xf>
    <xf numFmtId="0" fontId="201" fillId="27" borderId="0" applyNumberFormat="0" applyBorder="0" applyAlignment="0" applyProtection="0">
      <alignment vertical="center"/>
    </xf>
    <xf numFmtId="0" fontId="201" fillId="46" borderId="0" applyNumberFormat="0" applyBorder="0" applyAlignment="0" applyProtection="0">
      <alignment vertical="center"/>
    </xf>
    <xf numFmtId="0" fontId="202" fillId="41" borderId="0" applyNumberFormat="0" applyBorder="0" applyAlignment="0" applyProtection="0">
      <alignment vertical="center"/>
    </xf>
    <xf numFmtId="0" fontId="0" fillId="0" borderId="0">
      <alignment vertical="center"/>
    </xf>
    <xf numFmtId="0" fontId="201" fillId="4" borderId="0" applyNumberFormat="0" applyBorder="0" applyAlignment="0" applyProtection="0">
      <alignment vertical="center"/>
    </xf>
    <xf numFmtId="0" fontId="202" fillId="35" borderId="0" applyNumberFormat="0" applyBorder="0" applyAlignment="0" applyProtection="0">
      <alignment vertical="center"/>
    </xf>
    <xf numFmtId="0" fontId="202" fillId="17" borderId="0" applyNumberFormat="0" applyBorder="0" applyAlignment="0" applyProtection="0">
      <alignment vertical="center"/>
    </xf>
    <xf numFmtId="0" fontId="201" fillId="40" borderId="0" applyNumberFormat="0" applyBorder="0" applyAlignment="0" applyProtection="0">
      <alignment vertical="center"/>
    </xf>
    <xf numFmtId="0" fontId="202" fillId="45" borderId="0" applyNumberFormat="0" applyBorder="0" applyAlignment="0" applyProtection="0">
      <alignment vertical="center"/>
    </xf>
    <xf numFmtId="0" fontId="0" fillId="0" borderId="0">
      <alignment vertical="center"/>
    </xf>
    <xf numFmtId="0" fontId="0" fillId="0" borderId="0"/>
    <xf numFmtId="0" fontId="64" fillId="0" borderId="0"/>
    <xf numFmtId="0" fontId="0" fillId="0" borderId="0">
      <alignment vertical="center"/>
    </xf>
    <xf numFmtId="0" fontId="0" fillId="0" borderId="0">
      <alignment vertical="center"/>
    </xf>
  </cellStyleXfs>
  <cellXfs count="3624">
    <xf numFmtId="0" fontId="0" fillId="0" borderId="0" xfId="0">
      <alignment vertical="center"/>
    </xf>
    <xf numFmtId="0" fontId="0" fillId="2" borderId="0" xfId="0" applyFill="1" applyBorder="1" applyAlignment="1"/>
    <xf numFmtId="0" fontId="0" fillId="2" borderId="0" xfId="0" applyFill="1" applyAlignment="1"/>
    <xf numFmtId="0" fontId="1" fillId="2" borderId="0" xfId="60" applyFont="1" applyFill="1"/>
    <xf numFmtId="0" fontId="1" fillId="0" borderId="0" xfId="60" applyFont="1"/>
    <xf numFmtId="0" fontId="0" fillId="0" borderId="0" xfId="0" applyAlignment="1"/>
    <xf numFmtId="0" fontId="1" fillId="2" borderId="0" xfId="60" applyFont="1" applyFill="1" applyBorder="1"/>
    <xf numFmtId="0" fontId="2" fillId="2" borderId="1" xfId="60" applyFont="1" applyFill="1" applyBorder="1" applyAlignment="1">
      <alignment horizontal="center"/>
    </xf>
    <xf numFmtId="14" fontId="3" fillId="2" borderId="1" xfId="60" applyNumberFormat="1" applyFont="1" applyFill="1" applyBorder="1" applyAlignment="1" applyProtection="1">
      <alignment horizontal="center"/>
    </xf>
    <xf numFmtId="178" fontId="1" fillId="2" borderId="2" xfId="60" applyNumberFormat="1" applyFont="1" applyFill="1" applyBorder="1" applyAlignment="1">
      <alignment horizontal="center"/>
    </xf>
    <xf numFmtId="0" fontId="4" fillId="2" borderId="0" xfId="0" applyFont="1" applyFill="1" applyAlignment="1"/>
    <xf numFmtId="0" fontId="2" fillId="2" borderId="3" xfId="60" applyFont="1" applyFill="1" applyBorder="1" applyAlignment="1">
      <alignment horizontal="center"/>
    </xf>
    <xf numFmtId="0" fontId="3" fillId="2" borderId="3" xfId="60" applyFont="1" applyFill="1" applyBorder="1" applyAlignment="1" applyProtection="1">
      <alignment horizontal="center"/>
    </xf>
    <xf numFmtId="10" fontId="3" fillId="2" borderId="1" xfId="60" applyNumberFormat="1" applyFont="1" applyFill="1" applyBorder="1" applyAlignment="1">
      <alignment horizontal="center"/>
    </xf>
    <xf numFmtId="0" fontId="5" fillId="2" borderId="1" xfId="0" applyFont="1" applyFill="1" applyBorder="1" applyAlignment="1">
      <alignment horizontal="center"/>
    </xf>
    <xf numFmtId="0" fontId="1" fillId="2" borderId="4" xfId="60" applyFont="1" applyFill="1" applyBorder="1"/>
    <xf numFmtId="0" fontId="6" fillId="2" borderId="5" xfId="60" applyFont="1" applyFill="1" applyBorder="1" applyAlignment="1">
      <alignment horizontal="center" vertical="center" wrapText="1"/>
    </xf>
    <xf numFmtId="0" fontId="1" fillId="2" borderId="6" xfId="60" applyFont="1" applyFill="1" applyBorder="1"/>
    <xf numFmtId="0" fontId="6" fillId="2" borderId="1" xfId="60" applyFont="1" applyFill="1" applyBorder="1" applyAlignment="1">
      <alignment horizontal="center" vertical="center" wrapText="1"/>
    </xf>
    <xf numFmtId="0" fontId="1" fillId="2" borderId="7" xfId="60" applyFont="1" applyFill="1" applyBorder="1"/>
    <xf numFmtId="0" fontId="6" fillId="2" borderId="8" xfId="60" applyFont="1" applyFill="1" applyBorder="1" applyAlignment="1">
      <alignment horizontal="center" vertical="center" wrapText="1"/>
    </xf>
    <xf numFmtId="0" fontId="1" fillId="2" borderId="0" xfId="60" applyNumberFormat="1" applyFont="1" applyFill="1" applyAlignment="1">
      <alignment horizontal="center"/>
    </xf>
    <xf numFmtId="0" fontId="1" fillId="2" borderId="0" xfId="60" applyFont="1" applyFill="1" applyAlignment="1">
      <alignment horizontal="right"/>
    </xf>
    <xf numFmtId="14" fontId="1" fillId="2" borderId="0" xfId="60" applyNumberFormat="1" applyFont="1" applyFill="1" applyAlignment="1">
      <alignment horizontal="center"/>
    </xf>
    <xf numFmtId="0" fontId="7" fillId="2" borderId="0" xfId="60" applyNumberFormat="1" applyFont="1" applyFill="1" applyAlignment="1">
      <alignment horizontal="center"/>
    </xf>
    <xf numFmtId="0" fontId="8" fillId="2" borderId="0" xfId="60" applyFont="1" applyFill="1" applyAlignment="1">
      <alignment horizontal="left"/>
    </xf>
    <xf numFmtId="14" fontId="7" fillId="2" borderId="0" xfId="60" applyNumberFormat="1" applyFont="1" applyFill="1" applyAlignment="1">
      <alignment horizontal="center"/>
    </xf>
    <xf numFmtId="0" fontId="7" fillId="2" borderId="0" xfId="60" applyFont="1" applyFill="1"/>
    <xf numFmtId="0" fontId="9" fillId="2" borderId="0" xfId="60" applyFont="1" applyFill="1"/>
    <xf numFmtId="0" fontId="10" fillId="2" borderId="0" xfId="60" applyFont="1" applyFill="1"/>
    <xf numFmtId="0" fontId="6" fillId="2" borderId="0" xfId="60" applyFont="1" applyFill="1" applyAlignment="1"/>
    <xf numFmtId="0" fontId="11" fillId="2" borderId="9" xfId="60" applyFont="1" applyFill="1" applyBorder="1" applyAlignment="1">
      <alignment horizontal="center" vertical="center"/>
    </xf>
    <xf numFmtId="0" fontId="11" fillId="2" borderId="9" xfId="60" applyFont="1" applyFill="1" applyBorder="1" applyAlignment="1">
      <alignment vertical="center"/>
    </xf>
    <xf numFmtId="0" fontId="11" fillId="2" borderId="10" xfId="60" applyFont="1" applyFill="1" applyBorder="1" applyAlignment="1">
      <alignment vertical="center"/>
    </xf>
    <xf numFmtId="0" fontId="11" fillId="2" borderId="11" xfId="60" applyFont="1" applyFill="1" applyBorder="1" applyAlignment="1">
      <alignment vertical="center"/>
    </xf>
    <xf numFmtId="0" fontId="11" fillId="2" borderId="12" xfId="60" applyFont="1" applyFill="1" applyBorder="1" applyAlignment="1">
      <alignment vertical="center"/>
    </xf>
    <xf numFmtId="0" fontId="6" fillId="2" borderId="0" xfId="60" applyFont="1" applyFill="1"/>
    <xf numFmtId="0" fontId="11" fillId="2" borderId="3" xfId="60" applyFont="1" applyFill="1" applyBorder="1" applyAlignment="1">
      <alignment horizontal="center" vertical="center" wrapText="1"/>
    </xf>
    <xf numFmtId="0" fontId="11" fillId="2" borderId="3" xfId="60" applyFont="1" applyFill="1" applyBorder="1" applyAlignment="1">
      <alignment vertical="center" wrapText="1"/>
    </xf>
    <xf numFmtId="0" fontId="1" fillId="2" borderId="1" xfId="60" applyFont="1" applyFill="1" applyBorder="1"/>
    <xf numFmtId="0" fontId="12" fillId="2" borderId="0" xfId="60" applyFont="1" applyFill="1" applyAlignment="1">
      <alignment vertical="center"/>
    </xf>
    <xf numFmtId="0" fontId="12" fillId="2" borderId="1" xfId="60" applyFont="1" applyFill="1" applyBorder="1" applyAlignment="1">
      <alignment horizontal="left" vertical="center" wrapText="1"/>
    </xf>
    <xf numFmtId="181" fontId="12" fillId="2" borderId="1" xfId="60" applyNumberFormat="1" applyFont="1" applyFill="1" applyBorder="1" applyAlignment="1">
      <alignment horizontal="center" vertical="center" wrapText="1"/>
    </xf>
    <xf numFmtId="0" fontId="12" fillId="2" borderId="1" xfId="60" applyFont="1" applyFill="1" applyBorder="1" applyAlignment="1">
      <alignment horizontal="center" vertical="center" wrapText="1"/>
    </xf>
    <xf numFmtId="0" fontId="1" fillId="2" borderId="1" xfId="60" applyFont="1" applyFill="1" applyBorder="1" applyAlignment="1">
      <alignment horizontal="center" wrapText="1"/>
    </xf>
    <xf numFmtId="14" fontId="1" fillId="2" borderId="1" xfId="60" applyNumberFormat="1" applyFont="1" applyFill="1" applyBorder="1" applyAlignment="1">
      <alignment horizontal="center" wrapText="1"/>
    </xf>
    <xf numFmtId="14" fontId="13" fillId="2" borderId="1" xfId="60" applyNumberFormat="1" applyFont="1" applyFill="1" applyBorder="1" applyAlignment="1">
      <alignment horizontal="center" wrapText="1"/>
    </xf>
    <xf numFmtId="0" fontId="1" fillId="2" borderId="0" xfId="60" applyFont="1" applyFill="1" applyBorder="1" applyAlignment="1">
      <alignment horizontal="center" wrapText="1"/>
    </xf>
    <xf numFmtId="14" fontId="1" fillId="2" borderId="0" xfId="60" applyNumberFormat="1" applyFont="1" applyFill="1" applyBorder="1" applyAlignment="1">
      <alignment horizontal="center" wrapText="1"/>
    </xf>
    <xf numFmtId="0" fontId="0" fillId="2" borderId="2" xfId="0" applyFill="1" applyBorder="1" applyAlignment="1"/>
    <xf numFmtId="0" fontId="1" fillId="2" borderId="13" xfId="60" applyFont="1" applyFill="1" applyBorder="1" applyAlignment="1">
      <alignment horizontal="center"/>
    </xf>
    <xf numFmtId="0" fontId="6" fillId="2" borderId="4" xfId="60" applyFont="1" applyFill="1" applyBorder="1" applyAlignment="1">
      <alignment horizontal="center" vertical="center" wrapText="1"/>
    </xf>
    <xf numFmtId="0" fontId="1" fillId="2" borderId="5" xfId="60" applyNumberFormat="1" applyFont="1" applyFill="1" applyBorder="1" applyAlignment="1">
      <alignment horizontal="center"/>
    </xf>
    <xf numFmtId="0" fontId="1" fillId="2" borderId="14" xfId="60" applyFont="1" applyFill="1" applyBorder="1" applyAlignment="1">
      <alignment horizontal="center"/>
    </xf>
    <xf numFmtId="0" fontId="6" fillId="2" borderId="6" xfId="60" applyFont="1" applyFill="1" applyBorder="1" applyAlignment="1">
      <alignment horizontal="center" vertical="center" wrapText="1"/>
    </xf>
    <xf numFmtId="0" fontId="1" fillId="2" borderId="1" xfId="60" applyNumberFormat="1" applyFont="1" applyFill="1" applyBorder="1" applyAlignment="1">
      <alignment horizontal="center"/>
    </xf>
    <xf numFmtId="0" fontId="1" fillId="2" borderId="15" xfId="60" applyFont="1" applyFill="1" applyBorder="1" applyAlignment="1">
      <alignment horizontal="center"/>
    </xf>
    <xf numFmtId="0" fontId="6" fillId="2" borderId="7" xfId="60" applyFont="1" applyFill="1" applyBorder="1" applyAlignment="1">
      <alignment horizontal="center" vertical="center" wrapText="1"/>
    </xf>
    <xf numFmtId="0" fontId="1" fillId="2" borderId="8" xfId="60" applyNumberFormat="1" applyFont="1" applyFill="1" applyBorder="1" applyAlignment="1">
      <alignment horizontal="center"/>
    </xf>
    <xf numFmtId="0" fontId="11" fillId="2" borderId="1" xfId="60" applyFont="1" applyFill="1" applyBorder="1" applyAlignment="1">
      <alignment horizontal="center" vertical="center" wrapText="1"/>
    </xf>
    <xf numFmtId="14" fontId="12" fillId="2" borderId="1" xfId="60" applyNumberFormat="1" applyFont="1" applyFill="1" applyBorder="1" applyAlignment="1">
      <alignment horizontal="center" vertical="center" wrapText="1"/>
    </xf>
    <xf numFmtId="182" fontId="14" fillId="2" borderId="1" xfId="60" applyNumberFormat="1" applyFont="1" applyFill="1" applyBorder="1" applyAlignment="1">
      <alignment horizontal="center"/>
    </xf>
    <xf numFmtId="0" fontId="7" fillId="0" borderId="0" xfId="60" applyFont="1"/>
    <xf numFmtId="0" fontId="9" fillId="0" borderId="0" xfId="60" applyFont="1"/>
    <xf numFmtId="0" fontId="6" fillId="0" borderId="0" xfId="60" applyFont="1" applyAlignment="1"/>
    <xf numFmtId="0" fontId="6" fillId="0" borderId="0" xfId="60" applyFont="1"/>
    <xf numFmtId="0" fontId="12" fillId="3" borderId="0" xfId="60" applyFont="1" applyFill="1" applyAlignment="1">
      <alignment vertical="center"/>
    </xf>
    <xf numFmtId="0" fontId="7" fillId="0" borderId="0" xfId="0" applyFont="1" applyAlignment="1"/>
    <xf numFmtId="0" fontId="15" fillId="0" borderId="0" xfId="0" applyFont="1" applyAlignment="1"/>
    <xf numFmtId="0" fontId="16" fillId="0" borderId="0" xfId="0" applyFont="1" applyProtection="1">
      <alignment vertical="center"/>
      <protection locked="0"/>
    </xf>
    <xf numFmtId="0" fontId="17"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16" fillId="0" borderId="0" xfId="0" applyFont="1" applyFill="1" applyAlignment="1" applyProtection="1">
      <alignment horizontal="center" vertical="center"/>
      <protection locked="0"/>
    </xf>
    <xf numFmtId="0" fontId="16" fillId="0" borderId="0" xfId="0" applyFont="1" applyAlignment="1" applyProtection="1">
      <alignment horizontal="center" vertical="center" wrapText="1"/>
    </xf>
    <xf numFmtId="0" fontId="19"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horizontal="center" vertical="center"/>
    </xf>
    <xf numFmtId="0" fontId="16" fillId="0" borderId="0" xfId="0" applyNumberFormat="1" applyFont="1" applyAlignment="1" applyProtection="1">
      <alignment horizontal="center" vertical="center"/>
    </xf>
    <xf numFmtId="0" fontId="16" fillId="2" borderId="1" xfId="0" applyFont="1" applyFill="1" applyBorder="1" applyProtection="1">
      <alignment vertical="center"/>
    </xf>
    <xf numFmtId="0" fontId="16" fillId="2" borderId="8" xfId="0" applyFont="1" applyFill="1" applyBorder="1" applyAlignment="1" applyProtection="1">
      <alignment horizontal="center" vertical="center"/>
    </xf>
    <xf numFmtId="0" fontId="16" fillId="2" borderId="16" xfId="0" applyFont="1" applyFill="1" applyBorder="1" applyAlignment="1" applyProtection="1">
      <alignment horizontal="center" vertical="center"/>
      <protection locked="0"/>
    </xf>
    <xf numFmtId="0" fontId="16" fillId="2" borderId="17" xfId="0" applyFont="1" applyFill="1" applyBorder="1" applyAlignment="1" applyProtection="1">
      <alignment horizontal="center" vertical="center"/>
      <protection locked="0"/>
    </xf>
    <xf numFmtId="0" fontId="20" fillId="2" borderId="18" xfId="0" applyNumberFormat="1" applyFont="1" applyFill="1" applyBorder="1" applyAlignment="1" applyProtection="1">
      <alignment vertical="center" wrapText="1"/>
      <protection locked="0"/>
    </xf>
    <xf numFmtId="0" fontId="16" fillId="3" borderId="19" xfId="0" applyNumberFormat="1" applyFont="1" applyFill="1" applyBorder="1" applyAlignment="1" applyProtection="1">
      <alignment horizontal="center" vertical="center" wrapText="1"/>
      <protection locked="0"/>
    </xf>
    <xf numFmtId="0" fontId="16" fillId="2" borderId="4" xfId="0" applyNumberFormat="1" applyFont="1" applyFill="1" applyBorder="1" applyAlignment="1" applyProtection="1">
      <alignment horizontal="center" vertical="center" wrapText="1"/>
    </xf>
    <xf numFmtId="0" fontId="16" fillId="2" borderId="5" xfId="0" applyNumberFormat="1" applyFont="1" applyFill="1" applyBorder="1" applyAlignment="1" applyProtection="1">
      <alignment horizontal="center" vertical="center" wrapText="1"/>
    </xf>
    <xf numFmtId="0" fontId="19" fillId="2" borderId="20" xfId="0" applyNumberFormat="1" applyFont="1" applyFill="1" applyBorder="1" applyAlignment="1" applyProtection="1">
      <alignment vertical="center" textRotation="255" wrapText="1"/>
      <protection locked="0"/>
    </xf>
    <xf numFmtId="0" fontId="16" fillId="2" borderId="21"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19" fillId="2" borderId="20" xfId="0" applyNumberFormat="1" applyFont="1" applyFill="1" applyBorder="1" applyAlignment="1" applyProtection="1">
      <alignment vertical="center" wrapText="1"/>
      <protection locked="0"/>
    </xf>
    <xf numFmtId="0" fontId="16" fillId="2" borderId="21" xfId="0" applyNumberFormat="1" applyFont="1" applyFill="1" applyBorder="1" applyAlignment="1" applyProtection="1">
      <alignment horizontal="center" vertical="center" wrapText="1"/>
    </xf>
    <xf numFmtId="0" fontId="16" fillId="0" borderId="22" xfId="0" applyNumberFormat="1" applyFont="1" applyFill="1" applyBorder="1" applyAlignment="1" applyProtection="1">
      <alignment horizontal="center" vertical="center" wrapText="1"/>
      <protection locked="0"/>
    </xf>
    <xf numFmtId="0" fontId="17" fillId="0" borderId="9" xfId="0" applyNumberFormat="1" applyFont="1" applyFill="1" applyBorder="1" applyAlignment="1" applyProtection="1">
      <alignment horizontal="center" vertical="center" wrapText="1"/>
      <protection locked="0"/>
    </xf>
    <xf numFmtId="0" fontId="21" fillId="2" borderId="20" xfId="0" applyNumberFormat="1" applyFont="1" applyFill="1" applyBorder="1" applyAlignment="1" applyProtection="1">
      <alignment vertical="center" wrapText="1"/>
      <protection locked="0"/>
    </xf>
    <xf numFmtId="0" fontId="22" fillId="0" borderId="23" xfId="0" applyNumberFormat="1" applyFont="1" applyFill="1" applyBorder="1" applyAlignment="1" applyProtection="1">
      <alignment horizontal="center" vertical="center" wrapText="1"/>
      <protection locked="0"/>
    </xf>
    <xf numFmtId="0" fontId="16" fillId="0" borderId="24" xfId="0" applyNumberFormat="1" applyFont="1" applyFill="1" applyBorder="1" applyAlignment="1" applyProtection="1">
      <alignment horizontal="center" vertical="center" wrapText="1"/>
      <protection locked="0"/>
    </xf>
    <xf numFmtId="0" fontId="16" fillId="0" borderId="25" xfId="0" applyNumberFormat="1" applyFont="1" applyFill="1" applyBorder="1" applyAlignment="1" applyProtection="1">
      <alignment horizontal="center" vertical="center" wrapText="1"/>
      <protection locked="0"/>
    </xf>
    <xf numFmtId="0" fontId="16" fillId="2" borderId="26" xfId="0" applyNumberFormat="1" applyFont="1" applyFill="1" applyBorder="1" applyAlignment="1" applyProtection="1">
      <alignment horizontal="center" vertical="center" wrapText="1"/>
    </xf>
    <xf numFmtId="0" fontId="16" fillId="2" borderId="27" xfId="0" applyNumberFormat="1" applyFont="1" applyFill="1" applyBorder="1" applyAlignment="1" applyProtection="1">
      <alignment horizontal="center" vertical="center" wrapText="1"/>
    </xf>
    <xf numFmtId="0" fontId="17" fillId="2" borderId="28" xfId="0" applyNumberFormat="1" applyFont="1" applyFill="1" applyBorder="1" applyAlignment="1" applyProtection="1">
      <alignment horizontal="center" vertical="center" wrapText="1"/>
    </xf>
    <xf numFmtId="0" fontId="22" fillId="0" borderId="21" xfId="0" applyNumberFormat="1" applyFont="1" applyFill="1" applyBorder="1" applyAlignment="1" applyProtection="1">
      <alignment horizontal="center" vertical="center" wrapText="1"/>
      <protection locked="0"/>
    </xf>
    <xf numFmtId="0" fontId="16" fillId="0" borderId="29" xfId="0" applyNumberFormat="1" applyFont="1" applyFill="1" applyBorder="1" applyAlignment="1" applyProtection="1">
      <alignment horizontal="center" vertical="center" wrapText="1"/>
      <protection locked="0"/>
    </xf>
    <xf numFmtId="0" fontId="16" fillId="0" borderId="3" xfId="0" applyNumberFormat="1" applyFont="1" applyFill="1" applyBorder="1" applyAlignment="1" applyProtection="1">
      <alignment horizontal="center" vertical="center" wrapText="1"/>
      <protection locked="0"/>
    </xf>
    <xf numFmtId="0" fontId="22" fillId="2" borderId="21" xfId="0" applyNumberFormat="1" applyFont="1" applyFill="1" applyBorder="1" applyAlignment="1" applyProtection="1">
      <alignment horizontal="center" vertical="center" wrapText="1"/>
    </xf>
    <xf numFmtId="0" fontId="16" fillId="2" borderId="22" xfId="0" applyNumberFormat="1" applyFont="1" applyFill="1" applyBorder="1" applyAlignment="1" applyProtection="1">
      <alignment horizontal="center" vertical="center" wrapText="1"/>
    </xf>
    <xf numFmtId="0" fontId="17" fillId="2" borderId="9"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center" vertical="center" wrapText="1"/>
      <protection locked="0"/>
    </xf>
    <xf numFmtId="0" fontId="17" fillId="0" borderId="28" xfId="0" applyNumberFormat="1" applyFont="1" applyFill="1" applyBorder="1" applyAlignment="1" applyProtection="1">
      <alignment horizontal="center" vertical="center" wrapText="1"/>
      <protection locked="0"/>
    </xf>
    <xf numFmtId="0" fontId="23" fillId="2" borderId="30" xfId="0" applyNumberFormat="1" applyFont="1" applyFill="1" applyBorder="1" applyAlignment="1" applyProtection="1">
      <alignment horizontal="center" vertical="center" wrapText="1"/>
    </xf>
    <xf numFmtId="0" fontId="24" fillId="4" borderId="19" xfId="0" applyNumberFormat="1" applyFont="1" applyFill="1" applyBorder="1" applyAlignment="1" applyProtection="1">
      <alignment horizontal="center" vertical="center" wrapText="1"/>
    </xf>
    <xf numFmtId="0" fontId="16" fillId="4" borderId="4" xfId="0" applyNumberFormat="1" applyFont="1" applyFill="1" applyBorder="1" applyAlignment="1" applyProtection="1">
      <alignment horizontal="center" vertical="center" wrapText="1"/>
      <protection locked="0"/>
    </xf>
    <xf numFmtId="0" fontId="16" fillId="4" borderId="5" xfId="0" applyNumberFormat="1" applyFont="1" applyFill="1" applyBorder="1" applyAlignment="1" applyProtection="1">
      <alignment horizontal="center" vertical="center" wrapText="1"/>
      <protection locked="0"/>
    </xf>
    <xf numFmtId="0" fontId="21" fillId="4" borderId="31" xfId="0" applyNumberFormat="1" applyFont="1" applyFill="1" applyBorder="1" applyAlignment="1" applyProtection="1">
      <alignment vertical="center" wrapText="1"/>
      <protection locked="0"/>
    </xf>
    <xf numFmtId="0" fontId="16" fillId="4" borderId="32" xfId="0" applyNumberFormat="1" applyFont="1" applyFill="1" applyBorder="1" applyAlignment="1" applyProtection="1">
      <alignment horizontal="center" vertical="center" wrapText="1"/>
    </xf>
    <xf numFmtId="0" fontId="16" fillId="4" borderId="7" xfId="0" applyNumberFormat="1" applyFont="1" applyFill="1" applyBorder="1" applyAlignment="1" applyProtection="1">
      <alignment horizontal="center" vertical="center" wrapText="1"/>
      <protection locked="0"/>
    </xf>
    <xf numFmtId="0" fontId="17" fillId="4" borderId="8" xfId="0" applyNumberFormat="1" applyFont="1" applyFill="1" applyBorder="1" applyAlignment="1" applyProtection="1">
      <alignment horizontal="center" vertical="center" wrapText="1"/>
      <protection locked="0"/>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horizontal="center" vertical="center"/>
      <protection locked="0"/>
    </xf>
    <xf numFmtId="0" fontId="25" fillId="2" borderId="1" xfId="0" applyFont="1" applyFill="1" applyBorder="1" applyProtection="1">
      <alignment vertical="center"/>
    </xf>
    <xf numFmtId="0" fontId="25"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16" fillId="2" borderId="10" xfId="0" applyFont="1" applyFill="1" applyBorder="1" applyAlignment="1" applyProtection="1">
      <alignment horizontal="center" vertical="center"/>
    </xf>
    <xf numFmtId="0" fontId="16" fillId="2" borderId="12" xfId="0" applyFont="1" applyFill="1" applyBorder="1" applyAlignment="1" applyProtection="1">
      <alignment horizontal="center" vertical="center"/>
    </xf>
    <xf numFmtId="0" fontId="16" fillId="2" borderId="1"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xf>
    <xf numFmtId="0" fontId="26" fillId="5" borderId="1" xfId="0" applyFont="1" applyFill="1" applyBorder="1" applyAlignment="1" applyProtection="1">
      <alignment horizontal="center" vertical="center"/>
      <protection locked="0"/>
    </xf>
    <xf numFmtId="0" fontId="16" fillId="0" borderId="1" xfId="0" applyFont="1" applyBorder="1" applyProtection="1">
      <alignment vertical="center"/>
      <protection locked="0"/>
    </xf>
    <xf numFmtId="0" fontId="16" fillId="0" borderId="1" xfId="0" applyFont="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8" fillId="0" borderId="1" xfId="0" applyNumberFormat="1" applyFont="1" applyFill="1" applyBorder="1" applyAlignment="1" applyProtection="1">
      <alignment horizontal="center"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10" xfId="0" applyNumberFormat="1" applyFont="1" applyFill="1" applyBorder="1" applyAlignment="1" applyProtection="1">
      <alignment horizontal="center" vertical="center" wrapText="1"/>
      <protection locked="0"/>
    </xf>
    <xf numFmtId="0" fontId="16" fillId="0" borderId="10" xfId="0" applyNumberFormat="1" applyFont="1" applyFill="1" applyBorder="1" applyAlignment="1" applyProtection="1">
      <alignment horizontal="center" vertical="center" wrapText="1"/>
      <protection locked="0"/>
    </xf>
    <xf numFmtId="0" fontId="17" fillId="0" borderId="18" xfId="0" applyNumberFormat="1" applyFont="1" applyFill="1" applyBorder="1" applyAlignment="1" applyProtection="1">
      <alignment horizontal="center" vertical="center" wrapText="1"/>
      <protection locked="0"/>
    </xf>
    <xf numFmtId="0" fontId="16" fillId="0" borderId="18" xfId="0" applyNumberFormat="1" applyFont="1" applyFill="1" applyBorder="1" applyAlignment="1" applyProtection="1">
      <alignment horizontal="center" vertical="center" wrapText="1"/>
      <protection locked="0"/>
    </xf>
    <xf numFmtId="0" fontId="16" fillId="0" borderId="25" xfId="0" applyNumberFormat="1" applyFont="1" applyFill="1" applyBorder="1" applyAlignment="1" applyProtection="1">
      <alignment horizontal="left" vertical="center" wrapText="1"/>
      <protection locked="0"/>
    </xf>
    <xf numFmtId="0" fontId="16" fillId="0" borderId="33" xfId="0" applyNumberFormat="1" applyFont="1" applyFill="1" applyBorder="1" applyAlignment="1" applyProtection="1">
      <alignment horizontal="center" vertical="center" wrapText="1"/>
      <protection locked="0"/>
    </xf>
    <xf numFmtId="0" fontId="16" fillId="0" borderId="34" xfId="0" applyNumberFormat="1" applyFont="1" applyFill="1" applyBorder="1" applyAlignment="1" applyProtection="1">
      <alignment horizontal="center" vertical="center" wrapText="1"/>
      <protection locked="0"/>
    </xf>
    <xf numFmtId="0" fontId="16" fillId="0" borderId="20" xfId="0" applyFont="1" applyFill="1" applyBorder="1" applyAlignment="1" applyProtection="1">
      <alignment horizontal="center" vertical="center"/>
      <protection locked="0"/>
    </xf>
    <xf numFmtId="0" fontId="16" fillId="0" borderId="35" xfId="0" applyNumberFormat="1"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wrapText="1"/>
      <protection locked="0"/>
    </xf>
    <xf numFmtId="0" fontId="16" fillId="0" borderId="3" xfId="0" applyNumberFormat="1" applyFont="1" applyFill="1" applyBorder="1" applyAlignment="1" applyProtection="1">
      <alignment horizontal="left" vertical="center" wrapText="1"/>
      <protection locked="0"/>
    </xf>
    <xf numFmtId="0" fontId="16" fillId="0" borderId="36" xfId="0" applyFont="1" applyFill="1" applyBorder="1" applyAlignment="1" applyProtection="1">
      <alignment horizontal="center" vertical="center"/>
      <protection locked="0"/>
    </xf>
    <xf numFmtId="0" fontId="16" fillId="0" borderId="37" xfId="0" applyNumberFormat="1" applyFont="1" applyFill="1" applyBorder="1" applyAlignment="1" applyProtection="1">
      <alignment horizontal="center" vertical="center" wrapText="1"/>
      <protection locked="0"/>
    </xf>
    <xf numFmtId="0" fontId="16" fillId="0" borderId="37" xfId="0" applyFont="1" applyFill="1" applyBorder="1" applyAlignment="1" applyProtection="1">
      <alignment horizontal="center" vertical="center" wrapText="1"/>
      <protection locked="0"/>
    </xf>
    <xf numFmtId="0" fontId="17" fillId="0" borderId="38" xfId="0" applyNumberFormat="1" applyFont="1" applyFill="1" applyBorder="1" applyAlignment="1" applyProtection="1">
      <alignment horizontal="center" vertical="center" wrapText="1"/>
      <protection locked="0"/>
    </xf>
    <xf numFmtId="0" fontId="16" fillId="4" borderId="5" xfId="0" applyNumberFormat="1" applyFont="1" applyFill="1" applyBorder="1" applyAlignment="1" applyProtection="1">
      <alignment horizontal="left" vertical="center" wrapText="1"/>
      <protection locked="0"/>
    </xf>
    <xf numFmtId="0" fontId="16" fillId="4" borderId="39" xfId="0" applyNumberFormat="1" applyFont="1" applyFill="1" applyBorder="1" applyAlignment="1" applyProtection="1">
      <alignment horizontal="center" vertical="center" wrapText="1"/>
      <protection locked="0"/>
    </xf>
    <xf numFmtId="0" fontId="16" fillId="4" borderId="40" xfId="0" applyFont="1" applyFill="1" applyBorder="1" applyAlignment="1" applyProtection="1">
      <alignment horizontal="center" vertical="center"/>
      <protection locked="0"/>
    </xf>
    <xf numFmtId="0" fontId="16" fillId="4" borderId="41" xfId="0" applyNumberFormat="1" applyFont="1" applyFill="1" applyBorder="1" applyAlignment="1" applyProtection="1">
      <alignment horizontal="center" vertical="center" wrapText="1"/>
      <protection locked="0"/>
    </xf>
    <xf numFmtId="0" fontId="16" fillId="4" borderId="41" xfId="0" applyFont="1" applyFill="1" applyBorder="1" applyAlignment="1" applyProtection="1">
      <alignment horizontal="center" vertical="center" wrapText="1"/>
      <protection locked="0"/>
    </xf>
    <xf numFmtId="0" fontId="17" fillId="4" borderId="42" xfId="0" applyNumberFormat="1" applyFont="1" applyFill="1" applyBorder="1" applyAlignment="1" applyProtection="1">
      <alignment horizontal="center" vertical="center" wrapText="1"/>
      <protection locked="0"/>
    </xf>
    <xf numFmtId="0" fontId="16" fillId="2" borderId="43" xfId="0" applyFont="1" applyFill="1" applyBorder="1" applyAlignment="1" applyProtection="1">
      <alignment horizontal="center" vertical="center"/>
      <protection locked="0"/>
    </xf>
    <xf numFmtId="0" fontId="16" fillId="6" borderId="0" xfId="0" applyFont="1" applyFill="1" applyProtection="1">
      <alignment vertical="center"/>
      <protection locked="0"/>
    </xf>
    <xf numFmtId="0" fontId="16" fillId="2" borderId="44" xfId="0" applyNumberFormat="1" applyFont="1" applyFill="1" applyBorder="1" applyAlignment="1" applyProtection="1">
      <alignment horizontal="center" vertical="center" wrapText="1"/>
    </xf>
    <xf numFmtId="0" fontId="16" fillId="2" borderId="45" xfId="0" applyNumberFormat="1" applyFont="1" applyFill="1" applyBorder="1" applyAlignment="1" applyProtection="1">
      <alignment horizontal="center" vertical="center" wrapText="1"/>
    </xf>
    <xf numFmtId="0" fontId="17" fillId="6" borderId="0" xfId="0" applyFont="1" applyFill="1" applyAlignment="1" applyProtection="1">
      <alignment horizontal="center" vertical="center"/>
      <protection locked="0"/>
    </xf>
    <xf numFmtId="0" fontId="16" fillId="0" borderId="46" xfId="0" applyNumberFormat="1" applyFont="1" applyFill="1" applyBorder="1" applyAlignment="1" applyProtection="1">
      <alignment horizontal="center" vertical="center" wrapText="1"/>
      <protection locked="0"/>
    </xf>
    <xf numFmtId="0" fontId="18" fillId="2" borderId="47" xfId="0" applyNumberFormat="1" applyFont="1" applyFill="1" applyBorder="1" applyAlignment="1" applyProtection="1">
      <alignment horizontal="center" vertical="center" wrapText="1"/>
    </xf>
    <xf numFmtId="0" fontId="18" fillId="6" borderId="0" xfId="0" applyFont="1" applyFill="1" applyAlignment="1" applyProtection="1">
      <alignment horizontal="center" vertical="center"/>
      <protection locked="0"/>
    </xf>
    <xf numFmtId="0" fontId="17" fillId="0" borderId="47" xfId="0" applyNumberFormat="1" applyFont="1" applyFill="1" applyBorder="1" applyAlignment="1" applyProtection="1">
      <alignment horizontal="center" vertical="center" wrapText="1"/>
      <protection locked="0"/>
    </xf>
    <xf numFmtId="0" fontId="17" fillId="2" borderId="48" xfId="0" applyNumberFormat="1" applyFont="1" applyFill="1" applyBorder="1" applyAlignment="1" applyProtection="1">
      <alignment horizontal="center" vertical="center" wrapText="1"/>
    </xf>
    <xf numFmtId="0" fontId="16" fillId="0" borderId="49" xfId="0" applyNumberFormat="1" applyFont="1" applyFill="1" applyBorder="1" applyAlignment="1" applyProtection="1">
      <alignment horizontal="center" vertical="center" wrapText="1"/>
      <protection locked="0"/>
    </xf>
    <xf numFmtId="0" fontId="16" fillId="0" borderId="50" xfId="0" applyNumberFormat="1" applyFont="1" applyFill="1" applyBorder="1" applyAlignment="1" applyProtection="1">
      <alignment horizontal="center" vertical="center" wrapText="1"/>
      <protection locked="0"/>
    </xf>
    <xf numFmtId="0" fontId="16" fillId="6" borderId="0" xfId="0" applyFont="1" applyFill="1" applyAlignment="1" applyProtection="1">
      <alignment horizontal="center" vertical="center"/>
      <protection locked="0"/>
    </xf>
    <xf numFmtId="0" fontId="17" fillId="2" borderId="51" xfId="0" applyNumberFormat="1" applyFont="1" applyFill="1" applyBorder="1" applyAlignment="1" applyProtection="1">
      <alignment horizontal="center" vertical="center" wrapText="1"/>
    </xf>
    <xf numFmtId="9" fontId="16" fillId="0" borderId="35" xfId="0" applyNumberFormat="1"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protection locked="0"/>
    </xf>
    <xf numFmtId="0" fontId="16" fillId="0" borderId="48" xfId="0" applyFont="1" applyFill="1" applyBorder="1" applyAlignment="1" applyProtection="1">
      <alignment horizontal="center" vertical="center"/>
      <protection locked="0"/>
    </xf>
    <xf numFmtId="0" fontId="16" fillId="0" borderId="48" xfId="0" applyNumberFormat="1" applyFont="1" applyFill="1" applyBorder="1" applyAlignment="1" applyProtection="1">
      <alignment horizontal="center" vertical="center" wrapText="1"/>
      <protection locked="0"/>
    </xf>
    <xf numFmtId="9" fontId="16" fillId="0" borderId="37" xfId="0" applyNumberFormat="1" applyFont="1" applyFill="1" applyBorder="1" applyAlignment="1" applyProtection="1">
      <alignment horizontal="center" vertical="center" wrapText="1"/>
      <protection locked="0"/>
    </xf>
    <xf numFmtId="0" fontId="16" fillId="0" borderId="37" xfId="0" applyFont="1" applyFill="1" applyBorder="1" applyAlignment="1" applyProtection="1">
      <alignment horizontal="center" vertical="center"/>
      <protection locked="0"/>
    </xf>
    <xf numFmtId="0" fontId="16" fillId="0" borderId="50" xfId="0" applyFont="1" applyFill="1" applyBorder="1" applyAlignment="1" applyProtection="1">
      <alignment horizontal="center" vertical="center"/>
      <protection locked="0"/>
    </xf>
    <xf numFmtId="0" fontId="16" fillId="2" borderId="50" xfId="0" applyNumberFormat="1" applyFont="1" applyFill="1" applyBorder="1" applyAlignment="1" applyProtection="1">
      <alignment horizontal="center" vertical="center" wrapText="1"/>
    </xf>
    <xf numFmtId="0" fontId="17" fillId="0" borderId="52" xfId="0" applyNumberFormat="1" applyFont="1" applyFill="1" applyBorder="1" applyAlignment="1" applyProtection="1">
      <alignment horizontal="center" vertical="center" wrapText="1"/>
      <protection locked="0"/>
    </xf>
    <xf numFmtId="9" fontId="16" fillId="4" borderId="41" xfId="0" applyNumberFormat="1" applyFont="1" applyFill="1" applyBorder="1" applyAlignment="1" applyProtection="1">
      <alignment horizontal="center" vertical="center" wrapText="1"/>
      <protection locked="0"/>
    </xf>
    <xf numFmtId="0" fontId="16" fillId="4" borderId="41" xfId="0" applyFont="1" applyFill="1" applyBorder="1" applyAlignment="1" applyProtection="1">
      <alignment horizontal="center" vertical="center"/>
      <protection locked="0"/>
    </xf>
    <xf numFmtId="0" fontId="16" fillId="4" borderId="45" xfId="0" applyFont="1" applyFill="1" applyBorder="1" applyAlignment="1" applyProtection="1">
      <alignment horizontal="center" vertical="center"/>
      <protection locked="0"/>
    </xf>
    <xf numFmtId="0" fontId="17" fillId="4" borderId="53" xfId="0" applyNumberFormat="1" applyFont="1" applyFill="1" applyBorder="1" applyAlignment="1" applyProtection="1">
      <alignment horizontal="center" vertical="center" wrapText="1"/>
      <protection locked="0"/>
    </xf>
    <xf numFmtId="0" fontId="16" fillId="2" borderId="0" xfId="0" applyNumberFormat="1" applyFont="1" applyFill="1" applyAlignment="1" applyProtection="1">
      <alignment horizontal="center" vertical="center"/>
      <protection locked="0"/>
    </xf>
    <xf numFmtId="0" fontId="16" fillId="2" borderId="0" xfId="0" applyFont="1" applyFill="1" applyProtection="1">
      <alignment vertical="center"/>
      <protection locked="0"/>
    </xf>
    <xf numFmtId="0" fontId="16" fillId="2" borderId="11" xfId="0"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xf>
    <xf numFmtId="0" fontId="16" fillId="2" borderId="1" xfId="0" applyNumberFormat="1" applyFont="1" applyFill="1" applyBorder="1" applyAlignment="1" applyProtection="1">
      <alignment horizontal="center" vertical="center" wrapText="1"/>
    </xf>
    <xf numFmtId="0" fontId="16" fillId="0" borderId="0" xfId="0" applyFont="1" applyAlignment="1" applyProtection="1">
      <alignment horizontal="center" vertical="center" wrapText="1"/>
      <protection locked="0"/>
    </xf>
    <xf numFmtId="0" fontId="19" fillId="0" borderId="1" xfId="0" applyNumberFormat="1" applyFont="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NumberFormat="1" applyFont="1" applyAlignment="1" applyProtection="1">
      <alignment horizontal="center" vertical="center"/>
      <protection locked="0"/>
    </xf>
    <xf numFmtId="0" fontId="27" fillId="0" borderId="0" xfId="0" applyFont="1" applyFill="1" applyAlignment="1" applyProtection="1">
      <alignment horizontal="center" vertical="center"/>
    </xf>
    <xf numFmtId="0" fontId="28" fillId="0" borderId="0" xfId="0" applyFont="1" applyFill="1" applyAlignment="1" applyProtection="1">
      <alignment horizontal="center" vertical="center"/>
    </xf>
    <xf numFmtId="0" fontId="29" fillId="0" borderId="0" xfId="0" applyFont="1" applyFill="1" applyAlignment="1" applyProtection="1">
      <alignment horizontal="center" vertical="center"/>
    </xf>
    <xf numFmtId="0" fontId="30"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49" fontId="28" fillId="0" borderId="0" xfId="0" applyNumberFormat="1" applyFont="1" applyFill="1" applyAlignment="1" applyProtection="1">
      <alignment horizontal="center" vertical="center"/>
    </xf>
    <xf numFmtId="0" fontId="32" fillId="0" borderId="0" xfId="0" applyFont="1" applyFill="1" applyAlignment="1" applyProtection="1">
      <alignment horizontal="center" vertical="center"/>
    </xf>
    <xf numFmtId="183" fontId="32" fillId="0" borderId="0" xfId="0" applyNumberFormat="1" applyFont="1" applyFill="1" applyAlignment="1" applyProtection="1">
      <alignment horizontal="center" vertical="center"/>
    </xf>
    <xf numFmtId="177" fontId="32" fillId="0" borderId="0" xfId="0" applyNumberFormat="1" applyFont="1" applyFill="1" applyAlignment="1" applyProtection="1">
      <alignment horizontal="center" vertical="center"/>
    </xf>
    <xf numFmtId="0" fontId="33" fillId="2" borderId="18" xfId="0" applyFont="1" applyFill="1" applyBorder="1" applyAlignment="1" applyProtection="1">
      <alignment vertical="center"/>
    </xf>
    <xf numFmtId="0" fontId="34" fillId="5" borderId="54" xfId="0" applyFont="1" applyFill="1" applyBorder="1" applyAlignment="1" applyProtection="1">
      <alignment horizontal="right" vertical="center"/>
      <protection locked="0"/>
    </xf>
    <xf numFmtId="0" fontId="34" fillId="2" borderId="0" xfId="0" applyFont="1" applyFill="1" applyAlignment="1" applyProtection="1">
      <alignment horizontal="center" vertical="center"/>
    </xf>
    <xf numFmtId="0" fontId="34" fillId="5" borderId="54" xfId="0" applyFont="1" applyFill="1" applyBorder="1" applyAlignment="1" applyProtection="1">
      <alignment vertical="center"/>
      <protection locked="0"/>
    </xf>
    <xf numFmtId="0" fontId="34" fillId="2" borderId="54" xfId="0" applyFont="1" applyFill="1" applyBorder="1" applyAlignment="1" applyProtection="1">
      <alignment vertical="center"/>
    </xf>
    <xf numFmtId="0" fontId="34" fillId="3" borderId="1" xfId="0" applyFont="1" applyFill="1" applyBorder="1" applyAlignment="1" applyProtection="1">
      <alignment horizontal="center" vertical="center"/>
      <protection locked="0"/>
    </xf>
    <xf numFmtId="0" fontId="35" fillId="2" borderId="54" xfId="0" applyFont="1" applyFill="1" applyBorder="1" applyAlignment="1" applyProtection="1">
      <alignment vertical="center"/>
    </xf>
    <xf numFmtId="0" fontId="36" fillId="2" borderId="1" xfId="59" applyFont="1" applyFill="1" applyBorder="1" applyAlignment="1" applyProtection="1">
      <alignment vertical="center"/>
    </xf>
    <xf numFmtId="0" fontId="36" fillId="2" borderId="1" xfId="0" applyFont="1" applyFill="1" applyBorder="1" applyAlignment="1" applyProtection="1">
      <alignment horizontal="right" vertical="center"/>
    </xf>
    <xf numFmtId="0" fontId="36" fillId="2" borderId="0"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5" fillId="2" borderId="0" xfId="0" applyFont="1" applyFill="1" applyBorder="1" applyAlignment="1" applyProtection="1">
      <alignment vertical="center"/>
      <protection locked="0"/>
    </xf>
    <xf numFmtId="0" fontId="36" fillId="2" borderId="9" xfId="59" applyFont="1" applyFill="1" applyBorder="1" applyAlignment="1" applyProtection="1">
      <alignment vertical="center"/>
    </xf>
    <xf numFmtId="184" fontId="36" fillId="2" borderId="9" xfId="0" applyNumberFormat="1" applyFont="1" applyFill="1" applyBorder="1" applyAlignment="1" applyProtection="1">
      <alignment horizontal="right" vertical="center"/>
    </xf>
    <xf numFmtId="0" fontId="36" fillId="2" borderId="9" xfId="0" applyFont="1" applyFill="1" applyBorder="1" applyAlignment="1" applyProtection="1">
      <alignment horizontal="center" vertical="center"/>
    </xf>
    <xf numFmtId="0" fontId="36" fillId="2" borderId="9" xfId="0" applyFont="1" applyFill="1" applyBorder="1" applyAlignment="1" applyProtection="1">
      <alignment horizontal="right" vertical="center"/>
    </xf>
    <xf numFmtId="0" fontId="37" fillId="2" borderId="19" xfId="0" applyFont="1" applyFill="1" applyBorder="1" applyAlignment="1" applyProtection="1">
      <alignment vertical="center" wrapText="1"/>
    </xf>
    <xf numFmtId="0" fontId="37" fillId="2" borderId="55" xfId="0" applyFont="1" applyFill="1" applyBorder="1" applyAlignment="1" applyProtection="1">
      <alignment vertical="center" wrapText="1"/>
    </xf>
    <xf numFmtId="0" fontId="32" fillId="2" borderId="4" xfId="0" applyFont="1" applyFill="1" applyBorder="1" applyAlignment="1" applyProtection="1">
      <alignment horizontal="center" vertical="center" wrapText="1"/>
    </xf>
    <xf numFmtId="0" fontId="32" fillId="2" borderId="13" xfId="0" applyFont="1" applyFill="1" applyBorder="1" applyAlignment="1" applyProtection="1">
      <alignment horizontal="center" vertical="center" wrapText="1"/>
    </xf>
    <xf numFmtId="0" fontId="32" fillId="2" borderId="56" xfId="0" applyFont="1" applyFill="1" applyBorder="1" applyAlignment="1" applyProtection="1">
      <alignment horizontal="center" vertical="center" wrapText="1"/>
    </xf>
    <xf numFmtId="0" fontId="32" fillId="2" borderId="39" xfId="0" applyFont="1" applyFill="1" applyBorder="1" applyAlignment="1" applyProtection="1">
      <alignment horizontal="center" vertical="center" wrapText="1"/>
    </xf>
    <xf numFmtId="0" fontId="37" fillId="2" borderId="21" xfId="0" applyFont="1" applyFill="1" applyBorder="1" applyAlignment="1" applyProtection="1">
      <alignment vertical="center" wrapText="1"/>
    </xf>
    <xf numFmtId="0" fontId="37" fillId="2" borderId="0" xfId="0" applyFont="1" applyFill="1" applyBorder="1" applyAlignment="1" applyProtection="1">
      <alignment vertical="center" wrapText="1"/>
    </xf>
    <xf numFmtId="0" fontId="38" fillId="0" borderId="6" xfId="0" applyFont="1" applyFill="1" applyBorder="1" applyAlignment="1" applyProtection="1">
      <alignment horizontal="center" vertical="center" wrapText="1"/>
      <protection locked="0"/>
    </xf>
    <xf numFmtId="0" fontId="38" fillId="0" borderId="14" xfId="0" applyFont="1" applyFill="1" applyBorder="1" applyAlignment="1" applyProtection="1">
      <alignment horizontal="center" vertical="center" wrapText="1"/>
      <protection locked="0"/>
    </xf>
    <xf numFmtId="0" fontId="38" fillId="0" borderId="11" xfId="0" applyFont="1" applyFill="1" applyBorder="1" applyAlignment="1" applyProtection="1">
      <alignment horizontal="center" vertical="center" wrapText="1"/>
      <protection locked="0"/>
    </xf>
    <xf numFmtId="0" fontId="38" fillId="0" borderId="10" xfId="0" applyFont="1" applyFill="1" applyBorder="1" applyAlignment="1" applyProtection="1">
      <alignment horizontal="center" vertical="center" wrapText="1"/>
      <protection locked="0"/>
    </xf>
    <xf numFmtId="0" fontId="37" fillId="2" borderId="32" xfId="0" applyFont="1" applyFill="1" applyBorder="1" applyAlignment="1" applyProtection="1">
      <alignment vertical="center" wrapText="1"/>
    </xf>
    <xf numFmtId="0" fontId="37" fillId="2" borderId="17" xfId="0" applyFont="1" applyFill="1" applyBorder="1" applyAlignment="1" applyProtection="1">
      <alignment vertical="center" wrapText="1"/>
    </xf>
    <xf numFmtId="0" fontId="38" fillId="0" borderId="22" xfId="0" applyFont="1" applyFill="1" applyBorder="1" applyAlignment="1" applyProtection="1">
      <alignment horizontal="center" vertical="center" wrapText="1"/>
      <protection locked="0"/>
    </xf>
    <xf numFmtId="0" fontId="38" fillId="0" borderId="57" xfId="0" applyFont="1" applyFill="1" applyBorder="1" applyAlignment="1" applyProtection="1">
      <alignment horizontal="center" vertical="center" wrapText="1"/>
      <protection locked="0"/>
    </xf>
    <xf numFmtId="0" fontId="38" fillId="0" borderId="58" xfId="0" applyFont="1" applyFill="1" applyBorder="1" applyAlignment="1" applyProtection="1">
      <alignment horizontal="center" vertical="center" wrapText="1"/>
      <protection locked="0"/>
    </xf>
    <xf numFmtId="0" fontId="38" fillId="0" borderId="18" xfId="0" applyFont="1" applyFill="1" applyBorder="1" applyAlignment="1" applyProtection="1">
      <alignment horizontal="center" vertical="center" wrapText="1"/>
      <protection locked="0"/>
    </xf>
    <xf numFmtId="0" fontId="39" fillId="2" borderId="59" xfId="0" applyFont="1" applyFill="1" applyBorder="1" applyAlignment="1" applyProtection="1">
      <alignment vertical="center" wrapText="1"/>
    </xf>
    <xf numFmtId="0" fontId="39" fillId="2" borderId="44" xfId="0" applyFont="1" applyFill="1" applyBorder="1" applyAlignment="1" applyProtection="1">
      <alignment horizontal="left" vertical="center" wrapText="1"/>
    </xf>
    <xf numFmtId="185" fontId="28" fillId="2" borderId="60" xfId="0" applyNumberFormat="1" applyFont="1" applyFill="1" applyBorder="1" applyAlignment="1" applyProtection="1">
      <alignment horizontal="center" vertical="center" wrapText="1"/>
    </xf>
    <xf numFmtId="0" fontId="28" fillId="2" borderId="61" xfId="0" applyNumberFormat="1" applyFont="1" applyFill="1" applyBorder="1" applyAlignment="1" applyProtection="1">
      <alignment horizontal="center" vertical="center" wrapText="1"/>
    </xf>
    <xf numFmtId="185" fontId="28" fillId="0" borderId="62" xfId="0" applyNumberFormat="1" applyFont="1" applyFill="1" applyBorder="1" applyAlignment="1" applyProtection="1">
      <alignment horizontal="center" vertical="center" wrapText="1"/>
      <protection locked="0"/>
    </xf>
    <xf numFmtId="0" fontId="28" fillId="2" borderId="63" xfId="0" applyNumberFormat="1" applyFont="1" applyFill="1" applyBorder="1" applyAlignment="1" applyProtection="1">
      <alignment horizontal="center" vertical="center" wrapText="1"/>
    </xf>
    <xf numFmtId="185" fontId="28" fillId="0" borderId="60" xfId="0" applyNumberFormat="1" applyFont="1" applyFill="1" applyBorder="1" applyAlignment="1" applyProtection="1">
      <alignment horizontal="center" vertical="center" wrapText="1"/>
      <protection locked="0"/>
    </xf>
    <xf numFmtId="0" fontId="39" fillId="2" borderId="64" xfId="0" applyFont="1" applyFill="1" applyBorder="1" applyAlignment="1" applyProtection="1">
      <alignment vertical="center" wrapText="1"/>
    </xf>
    <xf numFmtId="0" fontId="39" fillId="2" borderId="46" xfId="0" applyFont="1" applyFill="1" applyBorder="1" applyAlignment="1" applyProtection="1">
      <alignment horizontal="left" vertical="center" wrapText="1"/>
    </xf>
    <xf numFmtId="49" fontId="28" fillId="5" borderId="60" xfId="0" applyNumberFormat="1" applyFont="1" applyFill="1" applyBorder="1" applyAlignment="1" applyProtection="1">
      <alignment horizontal="center" vertical="center" wrapText="1"/>
      <protection locked="0"/>
    </xf>
    <xf numFmtId="0" fontId="39" fillId="2" borderId="65" xfId="0" applyFont="1" applyFill="1" applyBorder="1" applyAlignment="1" applyProtection="1">
      <alignment vertical="center" wrapText="1"/>
    </xf>
    <xf numFmtId="0" fontId="39" fillId="2" borderId="66" xfId="0" applyFont="1" applyFill="1" applyBorder="1" applyAlignment="1" applyProtection="1">
      <alignment horizontal="left" vertical="center" wrapText="1"/>
    </xf>
    <xf numFmtId="0" fontId="28" fillId="0" borderId="59" xfId="0" applyNumberFormat="1" applyFont="1" applyFill="1" applyBorder="1" applyAlignment="1" applyProtection="1">
      <alignment horizontal="center" vertical="center" wrapText="1"/>
      <protection locked="0"/>
    </xf>
    <xf numFmtId="0" fontId="28" fillId="2" borderId="13" xfId="0" applyNumberFormat="1" applyFont="1" applyFill="1" applyBorder="1" applyAlignment="1" applyProtection="1">
      <alignment horizontal="center" vertical="center" wrapText="1"/>
    </xf>
    <xf numFmtId="49" fontId="28" fillId="5" borderId="4" xfId="0" applyNumberFormat="1" applyFont="1" applyFill="1" applyBorder="1" applyAlignment="1" applyProtection="1">
      <alignment horizontal="center" vertical="center" wrapText="1"/>
      <protection locked="0"/>
    </xf>
    <xf numFmtId="0" fontId="40" fillId="2" borderId="64" xfId="0" applyFont="1" applyFill="1" applyBorder="1" applyAlignment="1" applyProtection="1">
      <alignment vertical="center" wrapText="1"/>
    </xf>
    <xf numFmtId="49" fontId="28" fillId="5" borderId="6" xfId="0" applyNumberFormat="1" applyFont="1" applyFill="1" applyBorder="1" applyAlignment="1" applyProtection="1">
      <alignment horizontal="center" vertical="center" wrapText="1"/>
      <protection locked="0"/>
    </xf>
    <xf numFmtId="0" fontId="28" fillId="2" borderId="14" xfId="0" applyNumberFormat="1" applyFont="1" applyFill="1" applyBorder="1" applyAlignment="1" applyProtection="1">
      <alignment horizontal="center" vertical="center" wrapText="1"/>
    </xf>
    <xf numFmtId="49" fontId="28" fillId="5" borderId="11" xfId="0" applyNumberFormat="1" applyFont="1" applyFill="1" applyBorder="1" applyAlignment="1" applyProtection="1">
      <alignment horizontal="center" vertical="center" wrapText="1"/>
      <protection locked="0"/>
    </xf>
    <xf numFmtId="0" fontId="37" fillId="6" borderId="65" xfId="0" applyFont="1" applyFill="1" applyBorder="1" applyAlignment="1" applyProtection="1">
      <alignment vertical="center" wrapText="1"/>
    </xf>
    <xf numFmtId="0" fontId="39" fillId="6" borderId="66" xfId="0" applyFont="1" applyFill="1" applyBorder="1" applyAlignment="1" applyProtection="1">
      <alignment horizontal="left" vertical="center" wrapText="1"/>
      <protection locked="0"/>
    </xf>
    <xf numFmtId="0" fontId="28" fillId="0" borderId="29" xfId="0" applyNumberFormat="1" applyFont="1" applyFill="1" applyBorder="1" applyAlignment="1" applyProtection="1">
      <alignment horizontal="center" vertical="center" wrapText="1"/>
      <protection locked="0"/>
    </xf>
    <xf numFmtId="0" fontId="28" fillId="0" borderId="64" xfId="0" applyNumberFormat="1" applyFont="1" applyFill="1" applyBorder="1" applyAlignment="1" applyProtection="1">
      <alignment horizontal="center" vertical="center" wrapText="1"/>
      <protection locked="0"/>
    </xf>
    <xf numFmtId="0" fontId="28" fillId="2" borderId="66" xfId="0" applyNumberFormat="1" applyFont="1" applyFill="1" applyBorder="1" applyAlignment="1" applyProtection="1">
      <alignment horizontal="center" vertical="center" wrapText="1"/>
    </xf>
    <xf numFmtId="0" fontId="37" fillId="6" borderId="32" xfId="0" applyFont="1" applyFill="1" applyBorder="1" applyAlignment="1" applyProtection="1">
      <alignment vertical="center" wrapText="1"/>
    </xf>
    <xf numFmtId="0" fontId="39" fillId="6" borderId="67" xfId="0" applyFont="1" applyFill="1" applyBorder="1" applyAlignment="1" applyProtection="1">
      <alignment horizontal="left" vertical="center" wrapText="1"/>
      <protection locked="0"/>
    </xf>
    <xf numFmtId="0" fontId="32" fillId="0" borderId="64" xfId="0" applyNumberFormat="1" applyFont="1" applyFill="1" applyBorder="1" applyAlignment="1" applyProtection="1">
      <alignment horizontal="center" vertical="center" wrapText="1"/>
      <protection locked="0"/>
    </xf>
    <xf numFmtId="0" fontId="32" fillId="2" borderId="14" xfId="0" applyNumberFormat="1" applyFont="1" applyFill="1" applyBorder="1" applyAlignment="1" applyProtection="1">
      <alignment horizontal="center" vertical="center" wrapText="1"/>
    </xf>
    <xf numFmtId="0" fontId="41" fillId="2" borderId="68" xfId="0" applyFont="1" applyFill="1" applyBorder="1" applyAlignment="1" applyProtection="1">
      <alignment vertical="center" wrapText="1"/>
    </xf>
    <xf numFmtId="0" fontId="28" fillId="2" borderId="40" xfId="0" applyFont="1" applyFill="1" applyBorder="1" applyAlignment="1" applyProtection="1">
      <alignment horizontal="center" vertical="center" wrapText="1"/>
    </xf>
    <xf numFmtId="0" fontId="32" fillId="2" borderId="69" xfId="0" applyNumberFormat="1" applyFont="1" applyFill="1" applyBorder="1" applyAlignment="1" applyProtection="1">
      <alignment horizontal="center" vertical="center" wrapText="1"/>
    </xf>
    <xf numFmtId="0" fontId="32" fillId="2" borderId="70" xfId="0" applyNumberFormat="1" applyFont="1" applyFill="1" applyBorder="1" applyAlignment="1" applyProtection="1">
      <alignment horizontal="center" vertical="center" wrapText="1"/>
    </xf>
    <xf numFmtId="49" fontId="32" fillId="0" borderId="71" xfId="0" applyNumberFormat="1" applyFont="1" applyFill="1" applyBorder="1" applyAlignment="1" applyProtection="1">
      <alignment horizontal="center" vertical="center" wrapText="1"/>
      <protection locked="0"/>
    </xf>
    <xf numFmtId="0" fontId="32" fillId="2" borderId="40" xfId="0" applyNumberFormat="1" applyFont="1" applyFill="1" applyBorder="1" applyAlignment="1" applyProtection="1">
      <alignment horizontal="center" vertical="center" wrapText="1"/>
    </xf>
    <xf numFmtId="49" fontId="32" fillId="0" borderId="69" xfId="0" applyNumberFormat="1" applyFont="1" applyFill="1" applyBorder="1" applyAlignment="1" applyProtection="1">
      <alignment horizontal="center" vertical="center" wrapText="1"/>
      <protection locked="0"/>
    </xf>
    <xf numFmtId="0" fontId="37" fillId="2" borderId="68" xfId="0" applyFont="1" applyFill="1" applyBorder="1" applyAlignment="1" applyProtection="1">
      <alignment vertical="center" wrapText="1"/>
    </xf>
    <xf numFmtId="0" fontId="32" fillId="2" borderId="0" xfId="0" applyFont="1" applyFill="1" applyBorder="1" applyAlignment="1" applyProtection="1">
      <alignment horizontal="center" vertical="center"/>
    </xf>
    <xf numFmtId="0" fontId="32" fillId="5" borderId="29" xfId="0" applyNumberFormat="1" applyFont="1" applyFill="1" applyBorder="1" applyAlignment="1" applyProtection="1">
      <alignment horizontal="center" vertical="center" wrapText="1"/>
      <protection locked="0"/>
    </xf>
    <xf numFmtId="0" fontId="32" fillId="2" borderId="72" xfId="0" applyNumberFormat="1" applyFont="1" applyFill="1" applyBorder="1" applyAlignment="1" applyProtection="1">
      <alignment horizontal="center" vertical="center" wrapText="1"/>
    </xf>
    <xf numFmtId="0" fontId="32" fillId="2" borderId="34" xfId="0" applyNumberFormat="1" applyFont="1" applyFill="1" applyBorder="1" applyAlignment="1" applyProtection="1">
      <alignment horizontal="center" vertical="center" wrapText="1"/>
    </xf>
    <xf numFmtId="0" fontId="32" fillId="2" borderId="73" xfId="0" applyNumberFormat="1"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32" fillId="2" borderId="22" xfId="0" applyNumberFormat="1" applyFont="1" applyFill="1" applyBorder="1" applyAlignment="1" applyProtection="1">
      <alignment horizontal="center" vertical="center" wrapText="1"/>
    </xf>
    <xf numFmtId="0" fontId="32" fillId="2" borderId="57" xfId="0" applyNumberFormat="1" applyFont="1" applyFill="1" applyBorder="1" applyAlignment="1" applyProtection="1">
      <alignment horizontal="center" vertical="center" wrapText="1"/>
    </xf>
    <xf numFmtId="49" fontId="32" fillId="0" borderId="58" xfId="0" applyNumberFormat="1" applyFont="1" applyFill="1" applyBorder="1" applyAlignment="1" applyProtection="1">
      <alignment horizontal="center" vertical="center" wrapText="1"/>
      <protection locked="0"/>
    </xf>
    <xf numFmtId="0" fontId="32" fillId="2" borderId="18" xfId="0" applyNumberFormat="1" applyFont="1" applyFill="1" applyBorder="1" applyAlignment="1" applyProtection="1">
      <alignment horizontal="center" vertical="center" wrapText="1"/>
    </xf>
    <xf numFmtId="49" fontId="32" fillId="0" borderId="22" xfId="0" applyNumberFormat="1" applyFont="1" applyFill="1" applyBorder="1" applyAlignment="1" applyProtection="1">
      <alignment horizontal="center" vertical="center" wrapText="1"/>
      <protection locked="0"/>
    </xf>
    <xf numFmtId="0" fontId="28" fillId="2" borderId="72" xfId="0" applyFont="1" applyFill="1" applyBorder="1" applyAlignment="1" applyProtection="1">
      <alignment horizontal="center" vertical="center" wrapText="1"/>
    </xf>
    <xf numFmtId="0" fontId="32" fillId="5" borderId="68"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49" fontId="32" fillId="0" borderId="74" xfId="0" applyNumberFormat="1" applyFont="1" applyFill="1" applyBorder="1" applyAlignment="1" applyProtection="1">
      <alignment horizontal="center" vertical="center" wrapText="1"/>
      <protection locked="0"/>
    </xf>
    <xf numFmtId="0" fontId="32" fillId="2" borderId="20" xfId="0" applyNumberFormat="1" applyFont="1" applyFill="1" applyBorder="1" applyAlignment="1" applyProtection="1">
      <alignment horizontal="center" vertical="center" wrapText="1"/>
    </xf>
    <xf numFmtId="49" fontId="32" fillId="0" borderId="68" xfId="0" applyNumberFormat="1" applyFont="1" applyFill="1" applyBorder="1" applyAlignment="1" applyProtection="1">
      <alignment horizontal="center" vertical="center" wrapText="1"/>
      <protection locked="0"/>
    </xf>
    <xf numFmtId="0" fontId="28" fillId="2" borderId="73" xfId="0" applyFont="1" applyFill="1" applyBorder="1" applyAlignment="1" applyProtection="1">
      <alignment horizontal="center" vertical="center" wrapText="1"/>
    </xf>
    <xf numFmtId="0" fontId="28" fillId="2" borderId="18" xfId="0" applyFont="1" applyFill="1" applyBorder="1" applyAlignment="1" applyProtection="1">
      <alignment horizontal="center" vertical="center" wrapText="1"/>
    </xf>
    <xf numFmtId="0" fontId="28" fillId="2" borderId="34" xfId="0" applyFont="1" applyFill="1" applyBorder="1" applyAlignment="1" applyProtection="1">
      <alignment horizontal="center" vertical="center" wrapText="1"/>
    </xf>
    <xf numFmtId="0" fontId="32" fillId="5" borderId="64" xfId="0" applyNumberFormat="1" applyFont="1" applyFill="1" applyBorder="1" applyAlignment="1" applyProtection="1">
      <alignment horizontal="center" vertical="center" wrapText="1"/>
      <protection locked="0"/>
    </xf>
    <xf numFmtId="0" fontId="32" fillId="2" borderId="10" xfId="0" applyNumberFormat="1" applyFont="1" applyFill="1" applyBorder="1" applyAlignment="1" applyProtection="1">
      <alignment horizontal="center" vertical="center" wrapText="1"/>
    </xf>
    <xf numFmtId="0" fontId="28" fillId="0" borderId="18" xfId="0" applyFont="1" applyFill="1" applyBorder="1" applyAlignment="1" applyProtection="1">
      <alignment horizontal="center" vertical="center" wrapText="1"/>
      <protection locked="0"/>
    </xf>
    <xf numFmtId="0" fontId="39" fillId="2" borderId="68" xfId="0" applyFont="1" applyFill="1" applyBorder="1" applyAlignment="1" applyProtection="1">
      <alignment vertical="center" wrapText="1"/>
    </xf>
    <xf numFmtId="0" fontId="32" fillId="0" borderId="75" xfId="0" applyNumberFormat="1" applyFont="1" applyFill="1" applyBorder="1" applyAlignment="1" applyProtection="1">
      <alignment horizontal="center" vertical="center" wrapText="1"/>
      <protection locked="0"/>
    </xf>
    <xf numFmtId="0" fontId="28" fillId="2" borderId="73" xfId="0" applyNumberFormat="1" applyFont="1" applyFill="1" applyBorder="1" applyAlignment="1" applyProtection="1">
      <alignment horizontal="center" vertical="center" wrapText="1"/>
    </xf>
    <xf numFmtId="0" fontId="28" fillId="2" borderId="20" xfId="0" applyNumberFormat="1" applyFont="1" applyFill="1" applyBorder="1" applyAlignment="1" applyProtection="1">
      <alignment horizontal="center" vertical="center" wrapText="1"/>
    </xf>
    <xf numFmtId="0" fontId="41" fillId="2" borderId="69" xfId="0" applyFont="1" applyFill="1" applyBorder="1" applyAlignment="1" applyProtection="1">
      <alignment vertical="center" wrapText="1"/>
    </xf>
    <xf numFmtId="0" fontId="28" fillId="2" borderId="39" xfId="0" applyFont="1" applyFill="1" applyBorder="1" applyAlignment="1" applyProtection="1">
      <alignment horizontal="center" vertical="center" wrapText="1"/>
    </xf>
    <xf numFmtId="0" fontId="32" fillId="5" borderId="4" xfId="0" applyNumberFormat="1" applyFont="1" applyFill="1" applyBorder="1" applyAlignment="1" applyProtection="1">
      <alignment horizontal="center" vertical="center" wrapText="1"/>
      <protection locked="0"/>
    </xf>
    <xf numFmtId="0" fontId="32" fillId="2" borderId="13" xfId="0" applyNumberFormat="1" applyFont="1" applyFill="1" applyBorder="1" applyAlignment="1" applyProtection="1">
      <alignment horizontal="center" vertical="center" wrapText="1"/>
    </xf>
    <xf numFmtId="0" fontId="32" fillId="2" borderId="39" xfId="0" applyNumberFormat="1" applyFont="1" applyFill="1" applyBorder="1" applyAlignment="1" applyProtection="1">
      <alignment horizontal="center" vertical="center" wrapText="1"/>
    </xf>
    <xf numFmtId="0" fontId="43" fillId="2" borderId="68" xfId="0" applyFont="1" applyFill="1" applyBorder="1" applyAlignment="1" applyProtection="1">
      <alignment vertical="center" textRotation="255" wrapText="1"/>
    </xf>
    <xf numFmtId="0" fontId="28" fillId="2" borderId="10" xfId="0" applyFont="1" applyFill="1" applyBorder="1" applyAlignment="1" applyProtection="1">
      <alignment horizontal="center" vertical="center" wrapText="1"/>
    </xf>
    <xf numFmtId="9" fontId="28" fillId="0" borderId="64" xfId="0" applyNumberFormat="1" applyFont="1" applyFill="1" applyBorder="1" applyAlignment="1" applyProtection="1">
      <alignment horizontal="center" vertical="center" wrapText="1"/>
      <protection locked="0"/>
    </xf>
    <xf numFmtId="9" fontId="28" fillId="0" borderId="11" xfId="0" applyNumberFormat="1" applyFont="1" applyFill="1" applyBorder="1" applyAlignment="1" applyProtection="1">
      <alignment horizontal="center" vertical="center" wrapText="1"/>
      <protection locked="0"/>
    </xf>
    <xf numFmtId="9" fontId="28" fillId="0" borderId="6" xfId="0" applyNumberFormat="1" applyFont="1" applyFill="1" applyBorder="1" applyAlignment="1" applyProtection="1">
      <alignment horizontal="center" vertical="center" wrapText="1"/>
      <protection locked="0"/>
    </xf>
    <xf numFmtId="0" fontId="37" fillId="2" borderId="68" xfId="0" applyFont="1" applyFill="1" applyBorder="1" applyAlignment="1" applyProtection="1">
      <alignment vertical="center" textRotation="255" wrapText="1"/>
    </xf>
    <xf numFmtId="0" fontId="32" fillId="5" borderId="6" xfId="0" applyNumberFormat="1" applyFont="1" applyFill="1" applyBorder="1" applyAlignment="1" applyProtection="1">
      <alignment horizontal="center" vertical="center" wrapText="1"/>
      <protection locked="0"/>
    </xf>
    <xf numFmtId="0" fontId="28" fillId="5" borderId="64" xfId="0" applyNumberFormat="1" applyFont="1" applyFill="1" applyBorder="1" applyAlignment="1" applyProtection="1">
      <alignment horizontal="center" vertical="center" wrapText="1"/>
      <protection locked="0"/>
    </xf>
    <xf numFmtId="0" fontId="39" fillId="2" borderId="68" xfId="0" applyFont="1" applyFill="1" applyBorder="1" applyAlignment="1" applyProtection="1">
      <alignment vertical="center" textRotation="255" wrapText="1"/>
    </xf>
    <xf numFmtId="0" fontId="37" fillId="2" borderId="76" xfId="0" applyFont="1" applyFill="1" applyBorder="1" applyAlignment="1" applyProtection="1">
      <alignment vertical="center" textRotation="255" wrapText="1"/>
    </xf>
    <xf numFmtId="0" fontId="28" fillId="0" borderId="42" xfId="0" applyFont="1" applyFill="1" applyBorder="1" applyAlignment="1" applyProtection="1">
      <alignment horizontal="center" vertical="center" wrapText="1"/>
      <protection locked="0"/>
    </xf>
    <xf numFmtId="0" fontId="32" fillId="0" borderId="77" xfId="0" applyNumberFormat="1" applyFont="1" applyFill="1" applyBorder="1" applyAlignment="1" applyProtection="1">
      <alignment horizontal="center" vertical="center" wrapText="1"/>
      <protection locked="0"/>
    </xf>
    <xf numFmtId="0" fontId="32" fillId="2" borderId="15" xfId="0" applyNumberFormat="1" applyFont="1" applyFill="1" applyBorder="1" applyAlignment="1" applyProtection="1">
      <alignment horizontal="center" vertical="center" wrapText="1"/>
    </xf>
    <xf numFmtId="0" fontId="28" fillId="0" borderId="77" xfId="0" applyNumberFormat="1" applyFont="1" applyFill="1" applyBorder="1" applyAlignment="1" applyProtection="1">
      <alignment horizontal="center" vertical="center" wrapText="1"/>
      <protection locked="0"/>
    </xf>
    <xf numFmtId="0" fontId="32" fillId="2" borderId="42" xfId="0" applyNumberFormat="1" applyFont="1" applyFill="1" applyBorder="1" applyAlignment="1" applyProtection="1">
      <alignment horizontal="center" vertical="center" wrapText="1"/>
    </xf>
    <xf numFmtId="49" fontId="37" fillId="2" borderId="59" xfId="0" applyNumberFormat="1" applyFont="1" applyFill="1" applyBorder="1" applyAlignment="1" applyProtection="1">
      <alignment vertical="center"/>
    </xf>
    <xf numFmtId="49" fontId="37" fillId="2" borderId="78" xfId="0" applyNumberFormat="1" applyFont="1" applyFill="1" applyBorder="1" applyAlignment="1" applyProtection="1">
      <alignment vertical="center"/>
    </xf>
    <xf numFmtId="0" fontId="37" fillId="2" borderId="59" xfId="0" applyNumberFormat="1" applyFont="1" applyFill="1" applyBorder="1" applyAlignment="1" applyProtection="1">
      <alignment horizontal="right" vertical="center" wrapText="1"/>
    </xf>
    <xf numFmtId="0" fontId="37" fillId="2" borderId="44" xfId="0" applyNumberFormat="1" applyFont="1" applyFill="1" applyBorder="1" applyAlignment="1" applyProtection="1">
      <alignment vertical="center" wrapText="1"/>
    </xf>
    <xf numFmtId="0" fontId="44" fillId="7" borderId="78" xfId="0" applyNumberFormat="1" applyFont="1" applyFill="1" applyBorder="1" applyAlignment="1" applyProtection="1">
      <alignment vertical="center" wrapText="1"/>
      <protection locked="0"/>
    </xf>
    <xf numFmtId="0" fontId="44" fillId="2" borderId="78" xfId="0" applyNumberFormat="1" applyFont="1" applyFill="1" applyBorder="1" applyAlignment="1" applyProtection="1">
      <alignment vertical="center" wrapText="1"/>
    </xf>
    <xf numFmtId="0" fontId="44" fillId="7" borderId="59" xfId="0" applyNumberFormat="1" applyFont="1" applyFill="1" applyBorder="1" applyAlignment="1" applyProtection="1">
      <alignment vertical="center" wrapText="1"/>
      <protection locked="0"/>
    </xf>
    <xf numFmtId="0" fontId="44" fillId="2" borderId="44" xfId="0" applyNumberFormat="1" applyFont="1" applyFill="1" applyBorder="1" applyAlignment="1" applyProtection="1">
      <alignment vertical="center" wrapText="1"/>
    </xf>
    <xf numFmtId="49" fontId="37" fillId="2" borderId="77" xfId="0" applyNumberFormat="1" applyFont="1" applyFill="1" applyBorder="1" applyAlignment="1" applyProtection="1">
      <alignment vertical="center"/>
    </xf>
    <xf numFmtId="49" fontId="37" fillId="2" borderId="79" xfId="0" applyNumberFormat="1" applyFont="1" applyFill="1" applyBorder="1" applyAlignment="1" applyProtection="1">
      <alignment vertical="center"/>
    </xf>
    <xf numFmtId="0" fontId="37" fillId="2" borderId="77" xfId="0" applyNumberFormat="1" applyFont="1" applyFill="1" applyBorder="1" applyAlignment="1" applyProtection="1">
      <alignment vertical="center" wrapText="1"/>
    </xf>
    <xf numFmtId="0" fontId="20" fillId="8" borderId="53" xfId="0" applyNumberFormat="1" applyFont="1" applyFill="1" applyBorder="1" applyAlignment="1" applyProtection="1">
      <alignment horizontal="left" vertical="center" wrapText="1"/>
      <protection locked="0"/>
    </xf>
    <xf numFmtId="0" fontId="37" fillId="2" borderId="79" xfId="0" applyNumberFormat="1" applyFont="1" applyFill="1" applyBorder="1" applyAlignment="1" applyProtection="1">
      <alignment vertical="center" wrapText="1"/>
    </xf>
    <xf numFmtId="177" fontId="37" fillId="8" borderId="53" xfId="0" applyNumberFormat="1" applyFont="1" applyFill="1" applyBorder="1" applyAlignment="1" applyProtection="1">
      <alignment horizontal="left" vertical="center" wrapText="1"/>
      <protection locked="0"/>
    </xf>
    <xf numFmtId="49" fontId="37" fillId="0" borderId="32" xfId="0" applyNumberFormat="1" applyFont="1" applyFill="1" applyBorder="1" applyAlignment="1" applyProtection="1">
      <alignment vertical="center"/>
      <protection locked="0"/>
    </xf>
    <xf numFmtId="49" fontId="37" fillId="0" borderId="67" xfId="0" applyNumberFormat="1" applyFont="1" applyFill="1" applyBorder="1" applyAlignment="1" applyProtection="1">
      <alignment vertical="center"/>
      <protection locked="0"/>
    </xf>
    <xf numFmtId="0" fontId="37" fillId="2" borderId="17" xfId="0" applyNumberFormat="1" applyFont="1" applyFill="1" applyBorder="1" applyAlignment="1" applyProtection="1">
      <alignment vertical="center" wrapText="1"/>
    </xf>
    <xf numFmtId="0" fontId="32" fillId="9" borderId="0" xfId="0" applyFont="1" applyFill="1" applyAlignment="1" applyProtection="1">
      <alignment horizontal="center" vertical="center"/>
      <protection locked="0"/>
    </xf>
    <xf numFmtId="9" fontId="32" fillId="9" borderId="0" xfId="0" applyNumberFormat="1" applyFont="1" applyFill="1" applyAlignment="1" applyProtection="1">
      <alignment horizontal="center" vertical="center"/>
      <protection locked="0"/>
    </xf>
    <xf numFmtId="0" fontId="37" fillId="2" borderId="1" xfId="0" applyFont="1" applyFill="1" applyBorder="1" applyAlignment="1" applyProtection="1">
      <alignment horizontal="left" vertical="center"/>
    </xf>
    <xf numFmtId="0" fontId="37" fillId="2" borderId="1" xfId="0" applyFont="1" applyFill="1" applyBorder="1" applyAlignment="1" applyProtection="1">
      <alignment horizontal="center" vertical="center" wrapText="1"/>
    </xf>
    <xf numFmtId="177" fontId="32" fillId="2" borderId="10" xfId="0" applyNumberFormat="1" applyFont="1" applyFill="1" applyBorder="1" applyAlignment="1" applyProtection="1">
      <alignment horizontal="center" vertical="center"/>
    </xf>
    <xf numFmtId="177" fontId="32" fillId="2" borderId="11" xfId="0" applyNumberFormat="1" applyFont="1" applyFill="1" applyBorder="1" applyAlignment="1" applyProtection="1">
      <alignment vertical="center"/>
    </xf>
    <xf numFmtId="0" fontId="37" fillId="2" borderId="11" xfId="0" applyFont="1" applyFill="1" applyBorder="1" applyAlignment="1" applyProtection="1">
      <alignment horizontal="center" vertical="center" wrapText="1"/>
    </xf>
    <xf numFmtId="0" fontId="31" fillId="9" borderId="0" xfId="0" applyFont="1" applyFill="1" applyAlignment="1" applyProtection="1">
      <alignment horizontal="center" vertical="center"/>
      <protection locked="0"/>
    </xf>
    <xf numFmtId="0" fontId="31" fillId="2" borderId="0" xfId="0" applyFont="1" applyFill="1" applyAlignment="1" applyProtection="1">
      <alignment horizontal="center" vertical="center"/>
      <protection locked="0"/>
    </xf>
    <xf numFmtId="14" fontId="32" fillId="2" borderId="0" xfId="0" applyNumberFormat="1" applyFont="1" applyFill="1" applyAlignment="1" applyProtection="1">
      <alignment horizontal="center" vertical="center"/>
      <protection locked="0"/>
    </xf>
    <xf numFmtId="186" fontId="32" fillId="2" borderId="0" xfId="0" applyNumberFormat="1" applyFont="1" applyFill="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45" fillId="2" borderId="0" xfId="0" applyFont="1" applyFill="1" applyBorder="1" applyAlignment="1" applyProtection="1"/>
    <xf numFmtId="0" fontId="32" fillId="2" borderId="0" xfId="0" applyFont="1" applyFill="1" applyAlignment="1" applyProtection="1">
      <alignment horizontal="center" vertical="center"/>
    </xf>
    <xf numFmtId="0" fontId="32" fillId="2" borderId="0" xfId="0" applyFont="1" applyFill="1" applyBorder="1" applyAlignment="1" applyProtection="1"/>
    <xf numFmtId="0" fontId="32" fillId="2" borderId="0" xfId="0" applyFont="1" applyFill="1" applyBorder="1" applyAlignment="1" applyProtection="1">
      <alignment horizontal="center"/>
    </xf>
    <xf numFmtId="0" fontId="39" fillId="2" borderId="19" xfId="0" applyNumberFormat="1" applyFont="1" applyFill="1" applyBorder="1" applyAlignment="1" applyProtection="1">
      <alignment vertical="center" wrapText="1"/>
    </xf>
    <xf numFmtId="0" fontId="39" fillId="2" borderId="71" xfId="0" applyNumberFormat="1" applyFont="1" applyFill="1" applyBorder="1" applyAlignment="1" applyProtection="1">
      <alignment vertical="center" wrapText="1"/>
    </xf>
    <xf numFmtId="176" fontId="28" fillId="2" borderId="56" xfId="0" applyNumberFormat="1" applyFont="1" applyFill="1" applyBorder="1" applyAlignment="1" applyProtection="1">
      <alignment horizontal="center" vertical="center" wrapText="1"/>
    </xf>
    <xf numFmtId="176" fontId="28" fillId="2" borderId="5" xfId="0" applyNumberFormat="1" applyFont="1" applyFill="1" applyBorder="1" applyAlignment="1" applyProtection="1">
      <alignment horizontal="center" vertical="center" wrapText="1"/>
    </xf>
    <xf numFmtId="0" fontId="39" fillId="2" borderId="21" xfId="0" applyNumberFormat="1" applyFont="1" applyFill="1" applyBorder="1" applyAlignment="1" applyProtection="1">
      <alignment vertical="center" wrapText="1"/>
    </xf>
    <xf numFmtId="0" fontId="39" fillId="2" borderId="74" xfId="0" applyNumberFormat="1" applyFont="1" applyFill="1" applyBorder="1" applyAlignment="1" applyProtection="1">
      <alignment vertical="center" wrapText="1"/>
    </xf>
    <xf numFmtId="0" fontId="28" fillId="2" borderId="58" xfId="0" applyNumberFormat="1" applyFont="1" applyFill="1" applyBorder="1" applyAlignment="1" applyProtection="1">
      <alignment horizontal="center" vertical="center" wrapText="1"/>
    </xf>
    <xf numFmtId="0" fontId="28" fillId="0" borderId="9" xfId="0" applyNumberFormat="1" applyFont="1" applyFill="1" applyBorder="1" applyAlignment="1" applyProtection="1">
      <alignment horizontal="center" vertical="center" wrapText="1"/>
      <protection locked="0"/>
    </xf>
    <xf numFmtId="0" fontId="39" fillId="2" borderId="32" xfId="0" applyNumberFormat="1" applyFont="1" applyFill="1" applyBorder="1" applyAlignment="1" applyProtection="1">
      <alignment vertical="center"/>
    </xf>
    <xf numFmtId="0" fontId="39" fillId="2" borderId="43" xfId="0" applyNumberFormat="1" applyFont="1" applyFill="1" applyBorder="1" applyAlignment="1" applyProtection="1">
      <alignment vertical="center" wrapText="1"/>
    </xf>
    <xf numFmtId="0" fontId="28" fillId="0" borderId="43" xfId="0" applyNumberFormat="1" applyFont="1" applyFill="1" applyBorder="1" applyAlignment="1" applyProtection="1">
      <alignment horizontal="center" vertical="center" wrapText="1"/>
      <protection locked="0"/>
    </xf>
    <xf numFmtId="0" fontId="28" fillId="0" borderId="80" xfId="0" applyNumberFormat="1" applyFont="1" applyFill="1" applyBorder="1" applyAlignment="1" applyProtection="1">
      <alignment horizontal="center" vertical="center" wrapText="1"/>
      <protection locked="0"/>
    </xf>
    <xf numFmtId="0" fontId="39" fillId="2" borderId="20" xfId="0" applyNumberFormat="1" applyFont="1" applyFill="1" applyBorder="1" applyAlignment="1" applyProtection="1">
      <alignment vertical="center" wrapText="1"/>
    </xf>
    <xf numFmtId="0" fontId="28" fillId="2" borderId="81" xfId="0" applyNumberFormat="1" applyFont="1" applyFill="1" applyBorder="1" applyAlignment="1" applyProtection="1">
      <alignment horizontal="center" vertical="center" wrapText="1"/>
    </xf>
    <xf numFmtId="0" fontId="28" fillId="0" borderId="3"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vertical="center" wrapText="1"/>
    </xf>
    <xf numFmtId="0" fontId="28" fillId="2" borderId="41" xfId="0" applyNumberFormat="1" applyFont="1" applyFill="1" applyBorder="1" applyAlignment="1" applyProtection="1">
      <alignment horizontal="center" vertical="center" wrapText="1"/>
    </xf>
    <xf numFmtId="0" fontId="32" fillId="2" borderId="5" xfId="0" applyNumberFormat="1" applyFont="1" applyFill="1" applyBorder="1" applyAlignment="1" applyProtection="1">
      <alignment horizontal="center" vertical="center" wrapText="1"/>
    </xf>
    <xf numFmtId="0" fontId="32" fillId="0" borderId="5" xfId="0" applyNumberFormat="1" applyFont="1" applyFill="1" applyBorder="1" applyAlignment="1" applyProtection="1">
      <alignment horizontal="center" vertical="center" wrapText="1"/>
      <protection locked="0"/>
    </xf>
    <xf numFmtId="0" fontId="37" fillId="2" borderId="68" xfId="0" applyNumberFormat="1" applyFont="1" applyFill="1" applyBorder="1" applyAlignment="1" applyProtection="1">
      <alignment vertical="center" wrapText="1"/>
    </xf>
    <xf numFmtId="0" fontId="30" fillId="2" borderId="82" xfId="0" applyNumberFormat="1" applyFont="1" applyFill="1" applyBorder="1" applyAlignment="1" applyProtection="1">
      <alignment horizontal="center" vertical="center" wrapText="1"/>
    </xf>
    <xf numFmtId="0" fontId="32" fillId="0" borderId="83" xfId="0" applyNumberFormat="1" applyFont="1" applyFill="1" applyBorder="1" applyAlignment="1" applyProtection="1">
      <alignment horizontal="center" vertical="center" wrapText="1"/>
      <protection locked="0"/>
    </xf>
    <xf numFmtId="0" fontId="28" fillId="2" borderId="84" xfId="0" applyNumberFormat="1" applyFont="1" applyFill="1" applyBorder="1" applyAlignment="1" applyProtection="1">
      <alignment horizontal="center" vertical="center" wrapText="1"/>
    </xf>
    <xf numFmtId="0" fontId="32" fillId="2" borderId="85" xfId="0" applyNumberFormat="1" applyFont="1" applyFill="1" applyBorder="1" applyAlignment="1" applyProtection="1">
      <alignment horizontal="center" vertical="center" wrapText="1"/>
    </xf>
    <xf numFmtId="0" fontId="28" fillId="2" borderId="82" xfId="0" applyNumberFormat="1" applyFont="1" applyFill="1" applyBorder="1" applyAlignment="1" applyProtection="1">
      <alignment horizontal="center" vertical="center" wrapText="1"/>
    </xf>
    <xf numFmtId="0" fontId="32" fillId="2" borderId="83" xfId="0" applyNumberFormat="1" applyFont="1" applyFill="1" applyBorder="1" applyAlignment="1" applyProtection="1">
      <alignment horizontal="center" vertical="center" wrapText="1"/>
    </xf>
    <xf numFmtId="0" fontId="32" fillId="2" borderId="35" xfId="0" applyNumberFormat="1" applyFont="1" applyFill="1" applyBorder="1" applyAlignment="1" applyProtection="1">
      <alignment horizontal="center" vertical="center" wrapText="1"/>
    </xf>
    <xf numFmtId="0" fontId="32" fillId="0" borderId="1" xfId="0" applyNumberFormat="1" applyFont="1" applyFill="1" applyBorder="1" applyAlignment="1" applyProtection="1">
      <alignment horizontal="center" vertical="center" wrapText="1"/>
      <protection locked="0"/>
    </xf>
    <xf numFmtId="0" fontId="28" fillId="0" borderId="83" xfId="0" applyNumberFormat="1" applyFont="1" applyFill="1" applyBorder="1" applyAlignment="1" applyProtection="1">
      <alignment horizontal="center" vertical="center" wrapText="1"/>
      <protection locked="0"/>
    </xf>
    <xf numFmtId="0" fontId="43" fillId="2" borderId="68" xfId="0" applyNumberFormat="1" applyFont="1" applyFill="1" applyBorder="1" applyAlignment="1" applyProtection="1">
      <alignment vertical="center" wrapText="1"/>
    </xf>
    <xf numFmtId="0" fontId="28" fillId="0" borderId="85" xfId="0" applyNumberFormat="1" applyFont="1" applyFill="1" applyBorder="1" applyAlignment="1" applyProtection="1">
      <alignment horizontal="center" vertical="center" wrapText="1"/>
      <protection locked="0"/>
    </xf>
    <xf numFmtId="0" fontId="30" fillId="0" borderId="85" xfId="0" applyNumberFormat="1" applyFont="1" applyFill="1" applyBorder="1" applyAlignment="1" applyProtection="1">
      <alignment horizontal="center" vertical="center" wrapText="1"/>
      <protection locked="0"/>
    </xf>
    <xf numFmtId="0" fontId="30" fillId="0" borderId="83" xfId="0" applyNumberFormat="1" applyFont="1" applyFill="1" applyBorder="1" applyAlignment="1" applyProtection="1">
      <alignment horizontal="center" vertical="center" wrapText="1"/>
      <protection locked="0"/>
    </xf>
    <xf numFmtId="0" fontId="28" fillId="2" borderId="5" xfId="0" applyNumberFormat="1" applyFont="1" applyFill="1" applyBorder="1" applyAlignment="1" applyProtection="1">
      <alignment horizontal="center" vertical="center" wrapText="1"/>
    </xf>
    <xf numFmtId="0" fontId="42" fillId="2" borderId="84" xfId="0" applyNumberFormat="1" applyFont="1" applyFill="1" applyBorder="1" applyAlignment="1" applyProtection="1">
      <alignment horizontal="center" vertical="center" wrapText="1"/>
    </xf>
    <xf numFmtId="0" fontId="28" fillId="2" borderId="85" xfId="0" applyNumberFormat="1" applyFont="1" applyFill="1" applyBorder="1" applyAlignment="1" applyProtection="1">
      <alignment horizontal="center" vertical="center" wrapText="1"/>
    </xf>
    <xf numFmtId="183" fontId="34" fillId="2" borderId="54" xfId="0" applyNumberFormat="1" applyFont="1" applyFill="1" applyBorder="1" applyAlignment="1" applyProtection="1">
      <alignment horizontal="center" vertical="center"/>
    </xf>
    <xf numFmtId="177" fontId="34" fillId="2" borderId="54" xfId="0" applyNumberFormat="1" applyFont="1" applyFill="1" applyBorder="1" applyAlignment="1" applyProtection="1">
      <alignment vertical="center"/>
      <protection locked="0"/>
    </xf>
    <xf numFmtId="0" fontId="34" fillId="2" borderId="54"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183" fontId="34" fillId="2" borderId="0" xfId="0" applyNumberFormat="1" applyFont="1" applyFill="1" applyBorder="1" applyAlignment="1" applyProtection="1">
      <alignment horizontal="center" vertical="center"/>
      <protection locked="0"/>
    </xf>
    <xf numFmtId="177" fontId="34" fillId="2" borderId="0" xfId="0" applyNumberFormat="1" applyFont="1" applyFill="1" applyBorder="1" applyAlignment="1" applyProtection="1">
      <alignment vertical="center"/>
      <protection locked="0"/>
    </xf>
    <xf numFmtId="183" fontId="28" fillId="2" borderId="11" xfId="0" applyNumberFormat="1" applyFont="1" applyFill="1" applyBorder="1" applyAlignment="1" applyProtection="1">
      <alignment horizontal="center" vertical="center" wrapText="1"/>
    </xf>
    <xf numFmtId="177" fontId="28" fillId="2" borderId="0" xfId="0" applyNumberFormat="1" applyFont="1" applyFill="1" applyBorder="1" applyAlignment="1" applyProtection="1">
      <alignment vertical="center" wrapText="1"/>
      <protection locked="0"/>
    </xf>
    <xf numFmtId="0" fontId="32" fillId="2" borderId="0" xfId="0" applyFont="1" applyFill="1" applyBorder="1" applyAlignment="1" applyProtection="1">
      <alignment horizontal="center" vertical="center"/>
      <protection locked="0"/>
    </xf>
    <xf numFmtId="0" fontId="32" fillId="2" borderId="18" xfId="0"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wrapText="1"/>
    </xf>
    <xf numFmtId="0" fontId="32" fillId="2" borderId="34" xfId="0" applyFont="1" applyFill="1" applyBorder="1" applyAlignment="1" applyProtection="1">
      <alignment horizontal="center" vertical="center" wrapText="1"/>
    </xf>
    <xf numFmtId="0" fontId="28" fillId="2" borderId="11" xfId="0" applyNumberFormat="1" applyFont="1" applyFill="1" applyBorder="1" applyAlignment="1" applyProtection="1">
      <alignment horizontal="center" vertical="center" wrapText="1"/>
    </xf>
    <xf numFmtId="177" fontId="28" fillId="2"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xf>
    <xf numFmtId="0" fontId="28" fillId="2" borderId="74"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177" fontId="29" fillId="2" borderId="0" xfId="0" applyNumberFormat="1" applyFont="1" applyFill="1" applyBorder="1" applyAlignment="1" applyProtection="1">
      <alignment horizontal="center" vertical="center" wrapText="1"/>
      <protection locked="0"/>
    </xf>
    <xf numFmtId="0" fontId="29" fillId="2" borderId="0" xfId="0" applyFont="1" applyFill="1" applyBorder="1" applyAlignment="1" applyProtection="1">
      <alignment horizontal="center" vertical="center"/>
      <protection locked="0"/>
    </xf>
    <xf numFmtId="0" fontId="29" fillId="2" borderId="74" xfId="0" applyFont="1" applyFill="1" applyBorder="1" applyAlignment="1" applyProtection="1">
      <alignment horizontal="center" vertical="center"/>
      <protection locked="0"/>
    </xf>
    <xf numFmtId="0" fontId="46" fillId="2" borderId="11" xfId="0" applyNumberFormat="1" applyFont="1" applyFill="1" applyBorder="1" applyAlignment="1" applyProtection="1">
      <alignment horizontal="center" vertical="center" wrapText="1"/>
    </xf>
    <xf numFmtId="177" fontId="30" fillId="2" borderId="0" xfId="0" applyNumberFormat="1" applyFont="1" applyFill="1" applyBorder="1" applyAlignment="1" applyProtection="1">
      <alignment horizontal="center" vertical="center" wrapText="1"/>
      <protection locked="0"/>
    </xf>
    <xf numFmtId="0" fontId="32" fillId="2" borderId="74" xfId="0" applyFont="1" applyFill="1" applyBorder="1" applyAlignment="1" applyProtection="1">
      <alignment horizontal="center" vertical="center"/>
      <protection locked="0"/>
    </xf>
    <xf numFmtId="177" fontId="31" fillId="2" borderId="0" xfId="0" applyNumberFormat="1" applyFont="1" applyFill="1" applyBorder="1" applyAlignment="1" applyProtection="1">
      <alignment horizontal="center" vertical="center" wrapText="1"/>
      <protection locked="0"/>
    </xf>
    <xf numFmtId="0" fontId="46" fillId="0" borderId="22" xfId="0" applyNumberFormat="1" applyFont="1" applyFill="1" applyBorder="1" applyAlignment="1" applyProtection="1">
      <alignment horizontal="center" vertical="center" wrapText="1"/>
      <protection locked="0"/>
    </xf>
    <xf numFmtId="0" fontId="32" fillId="2" borderId="9" xfId="0" applyFont="1" applyFill="1" applyBorder="1" applyAlignment="1" applyProtection="1">
      <alignment horizontal="center" vertical="center" wrapText="1"/>
    </xf>
    <xf numFmtId="0" fontId="46" fillId="2" borderId="29" xfId="0" applyNumberFormat="1" applyFont="1" applyFill="1" applyBorder="1" applyAlignment="1" applyProtection="1">
      <alignment horizontal="center" vertical="center" wrapText="1"/>
    </xf>
    <xf numFmtId="0" fontId="32" fillId="2" borderId="35" xfId="0" applyFont="1" applyFill="1" applyBorder="1" applyAlignment="1" applyProtection="1">
      <alignment horizontal="center" vertical="center" wrapText="1"/>
    </xf>
    <xf numFmtId="0" fontId="46" fillId="2" borderId="68" xfId="0" applyNumberFormat="1" applyFont="1" applyFill="1" applyBorder="1" applyAlignment="1" applyProtection="1">
      <alignment horizontal="center" vertical="center" wrapText="1"/>
    </xf>
    <xf numFmtId="0" fontId="32" fillId="2" borderId="9" xfId="0" applyFont="1" applyFill="1" applyBorder="1" applyAlignment="1" applyProtection="1">
      <alignment horizontal="center" vertical="center" textRotation="255" wrapText="1"/>
    </xf>
    <xf numFmtId="0" fontId="30" fillId="2" borderId="0" xfId="0" applyFont="1" applyFill="1" applyBorder="1" applyAlignment="1" applyProtection="1">
      <alignment horizontal="center" vertical="center"/>
      <protection locked="0"/>
    </xf>
    <xf numFmtId="0" fontId="30" fillId="2" borderId="74" xfId="0" applyFont="1" applyFill="1" applyBorder="1" applyAlignment="1" applyProtection="1">
      <alignment horizontal="center" vertical="center"/>
      <protection locked="0"/>
    </xf>
    <xf numFmtId="0" fontId="32" fillId="2" borderId="35" xfId="0" applyFont="1" applyFill="1" applyBorder="1" applyAlignment="1" applyProtection="1">
      <alignment horizontal="center" vertical="center" textRotation="255" wrapText="1"/>
    </xf>
    <xf numFmtId="183" fontId="32" fillId="2" borderId="11" xfId="0" applyNumberFormat="1" applyFont="1" applyFill="1" applyBorder="1" applyAlignment="1" applyProtection="1">
      <alignment horizontal="center" vertical="center"/>
    </xf>
    <xf numFmtId="177" fontId="32" fillId="2" borderId="0" xfId="0" applyNumberFormat="1" applyFont="1" applyFill="1" applyBorder="1" applyAlignment="1" applyProtection="1">
      <alignment vertical="center" wrapText="1"/>
      <protection locked="0"/>
    </xf>
    <xf numFmtId="186" fontId="32" fillId="8" borderId="46" xfId="0" applyNumberFormat="1" applyFont="1" applyFill="1" applyBorder="1" applyAlignment="1" applyProtection="1">
      <alignment horizontal="left" vertical="center" wrapText="1"/>
    </xf>
    <xf numFmtId="183" fontId="32" fillId="2" borderId="1" xfId="0" applyNumberFormat="1" applyFont="1" applyFill="1" applyBorder="1" applyAlignment="1" applyProtection="1">
      <alignment horizontal="center" vertical="center" wrapText="1"/>
    </xf>
    <xf numFmtId="0" fontId="32" fillId="2" borderId="10" xfId="0" applyFont="1" applyFill="1" applyBorder="1" applyAlignment="1" applyProtection="1">
      <alignment horizontal="center" vertical="center" wrapText="1"/>
    </xf>
    <xf numFmtId="183" fontId="32" fillId="9" borderId="0" xfId="0" applyNumberFormat="1" applyFont="1" applyFill="1" applyAlignment="1" applyProtection="1">
      <alignment horizontal="center" vertical="center"/>
      <protection locked="0"/>
    </xf>
    <xf numFmtId="177" fontId="32" fillId="2" borderId="0" xfId="0" applyNumberFormat="1" applyFont="1" applyFill="1" applyAlignment="1" applyProtection="1">
      <alignment horizontal="center" vertical="center"/>
      <protection locked="0"/>
    </xf>
    <xf numFmtId="183" fontId="31" fillId="9" borderId="0" xfId="0" applyNumberFormat="1" applyFont="1" applyFill="1" applyAlignment="1" applyProtection="1">
      <alignment horizontal="center" vertical="center"/>
      <protection locked="0"/>
    </xf>
    <xf numFmtId="177" fontId="31" fillId="2" borderId="0" xfId="0" applyNumberFormat="1" applyFont="1" applyFill="1" applyAlignment="1" applyProtection="1">
      <alignment horizontal="center" vertical="center"/>
      <protection locked="0"/>
    </xf>
    <xf numFmtId="183" fontId="31" fillId="2" borderId="0" xfId="0" applyNumberFormat="1" applyFont="1" applyFill="1" applyAlignment="1" applyProtection="1">
      <alignment horizontal="center" vertical="center"/>
      <protection locked="0"/>
    </xf>
    <xf numFmtId="183" fontId="32" fillId="2" borderId="0" xfId="0" applyNumberFormat="1" applyFont="1" applyFill="1" applyAlignment="1" applyProtection="1">
      <alignment horizontal="center" vertical="center"/>
      <protection locked="0"/>
    </xf>
    <xf numFmtId="183" fontId="32" fillId="2" borderId="0" xfId="0" applyNumberFormat="1" applyFont="1" applyFill="1" applyBorder="1" applyAlignment="1" applyProtection="1">
      <alignment horizontal="center"/>
    </xf>
    <xf numFmtId="177" fontId="32" fillId="2" borderId="0" xfId="0" applyNumberFormat="1" applyFont="1" applyFill="1" applyBorder="1" applyAlignment="1" applyProtection="1"/>
    <xf numFmtId="0" fontId="32" fillId="2" borderId="0" xfId="0" applyFont="1" applyFill="1" applyBorder="1" applyAlignment="1" applyProtection="1">
      <protection locked="0"/>
    </xf>
    <xf numFmtId="49" fontId="28" fillId="2" borderId="0" xfId="0" applyNumberFormat="1" applyFont="1" applyFill="1" applyBorder="1" applyAlignment="1" applyProtection="1">
      <alignment horizontal="center" vertical="center"/>
      <protection locked="0"/>
    </xf>
    <xf numFmtId="0" fontId="28" fillId="0" borderId="18" xfId="0" applyNumberFormat="1" applyFont="1" applyFill="1" applyBorder="1" applyAlignment="1" applyProtection="1">
      <alignment horizontal="center" vertical="center" wrapText="1"/>
      <protection locked="0"/>
    </xf>
    <xf numFmtId="0" fontId="28" fillId="0" borderId="57" xfId="0" applyNumberFormat="1" applyFont="1" applyFill="1" applyBorder="1" applyAlignment="1" applyProtection="1">
      <alignment horizontal="center" vertical="center" wrapText="1"/>
      <protection locked="0"/>
    </xf>
    <xf numFmtId="9" fontId="28" fillId="2" borderId="0" xfId="0" applyNumberFormat="1" applyFont="1" applyFill="1" applyBorder="1" applyAlignment="1" applyProtection="1">
      <alignment horizontal="center" vertical="center" wrapText="1"/>
      <protection locked="0"/>
    </xf>
    <xf numFmtId="0" fontId="28" fillId="0" borderId="16" xfId="0" applyNumberFormat="1" applyFont="1" applyFill="1" applyBorder="1" applyAlignment="1" applyProtection="1">
      <alignment horizontal="center" vertical="center" wrapText="1"/>
      <protection locked="0"/>
    </xf>
    <xf numFmtId="0" fontId="28" fillId="0" borderId="86" xfId="0" applyNumberFormat="1" applyFont="1" applyFill="1" applyBorder="1" applyAlignment="1" applyProtection="1">
      <alignment horizontal="center" vertical="center" wrapText="1"/>
      <protection locked="0"/>
    </xf>
    <xf numFmtId="0" fontId="28" fillId="0" borderId="3" xfId="0" applyNumberFormat="1" applyFont="1" applyFill="1" applyBorder="1" applyAlignment="1" applyProtection="1">
      <alignment horizontal="left" vertical="center" wrapText="1"/>
      <protection locked="0"/>
    </xf>
    <xf numFmtId="0" fontId="28" fillId="0" borderId="72" xfId="0" applyNumberFormat="1" applyFont="1" applyFill="1" applyBorder="1" applyAlignment="1" applyProtection="1">
      <alignment horizontal="center" vertical="center" wrapText="1"/>
      <protection locked="0"/>
    </xf>
    <xf numFmtId="0" fontId="28" fillId="2" borderId="0" xfId="0" applyNumberFormat="1" applyFont="1" applyFill="1" applyBorder="1" applyAlignment="1" applyProtection="1">
      <alignment horizontal="center" vertical="center" wrapText="1"/>
      <protection locked="0"/>
    </xf>
    <xf numFmtId="0" fontId="47" fillId="2" borderId="0" xfId="0" applyFont="1" applyFill="1" applyBorder="1" applyAlignment="1" applyProtection="1">
      <alignment vertical="center"/>
      <protection locked="0"/>
    </xf>
    <xf numFmtId="0" fontId="31" fillId="0" borderId="5" xfId="0" applyNumberFormat="1" applyFont="1" applyFill="1" applyBorder="1" applyAlignment="1" applyProtection="1">
      <alignment horizontal="center" vertical="center" wrapText="1"/>
      <protection locked="0"/>
    </xf>
    <xf numFmtId="0" fontId="31" fillId="0" borderId="5" xfId="0" applyNumberFormat="1" applyFont="1" applyFill="1" applyBorder="1" applyAlignment="1" applyProtection="1">
      <alignment horizontal="left" vertical="center" wrapText="1"/>
      <protection locked="0"/>
    </xf>
    <xf numFmtId="0" fontId="31" fillId="0" borderId="13" xfId="0" applyNumberFormat="1" applyFont="1" applyFill="1" applyBorder="1" applyAlignment="1" applyProtection="1">
      <alignment horizontal="center" vertical="center" wrapText="1"/>
      <protection locked="0"/>
    </xf>
    <xf numFmtId="0" fontId="31" fillId="2"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wrapText="1"/>
      <protection locked="0"/>
    </xf>
    <xf numFmtId="0" fontId="32" fillId="0" borderId="87" xfId="0" applyNumberFormat="1" applyFont="1" applyFill="1" applyBorder="1" applyAlignment="1" applyProtection="1">
      <alignment horizontal="center" vertical="center" wrapText="1"/>
      <protection locked="0"/>
    </xf>
    <xf numFmtId="0" fontId="32" fillId="2" borderId="0" xfId="0" applyNumberFormat="1" applyFont="1" applyFill="1" applyBorder="1" applyAlignment="1" applyProtection="1">
      <alignment horizontal="center" vertical="center" wrapText="1"/>
      <protection locked="0"/>
    </xf>
    <xf numFmtId="0" fontId="31" fillId="2" borderId="85" xfId="0" applyNumberFormat="1" applyFont="1" applyFill="1" applyBorder="1" applyAlignment="1" applyProtection="1">
      <alignment horizontal="center" vertical="center" wrapText="1"/>
    </xf>
    <xf numFmtId="0" fontId="31" fillId="2" borderId="85" xfId="0" applyNumberFormat="1" applyFont="1" applyFill="1" applyBorder="1" applyAlignment="1" applyProtection="1">
      <alignment horizontal="left" vertical="center" wrapText="1"/>
    </xf>
    <xf numFmtId="0" fontId="31" fillId="2" borderId="88" xfId="0" applyNumberFormat="1" applyFont="1" applyFill="1" applyBorder="1" applyAlignment="1" applyProtection="1">
      <alignment horizontal="center" vertical="center" wrapText="1"/>
    </xf>
    <xf numFmtId="0" fontId="32" fillId="2" borderId="87"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14" xfId="0" applyNumberFormat="1" applyFont="1" applyFill="1" applyBorder="1" applyAlignment="1" applyProtection="1">
      <alignment horizontal="center" vertical="center" wrapText="1"/>
      <protection locked="0"/>
    </xf>
    <xf numFmtId="0" fontId="30" fillId="0" borderId="85" xfId="0" applyNumberFormat="1" applyFont="1" applyFill="1" applyBorder="1" applyAlignment="1" applyProtection="1">
      <alignment horizontal="left" vertical="center" wrapText="1"/>
      <protection locked="0"/>
    </xf>
    <xf numFmtId="0" fontId="30" fillId="0" borderId="88" xfId="0" applyNumberFormat="1" applyFont="1" applyFill="1" applyBorder="1" applyAlignment="1" applyProtection="1">
      <alignment horizontal="center" vertical="center" wrapText="1"/>
      <protection locked="0"/>
    </xf>
    <xf numFmtId="0" fontId="30" fillId="2" borderId="0" xfId="0" applyNumberFormat="1" applyFont="1" applyFill="1" applyBorder="1" applyAlignment="1" applyProtection="1">
      <alignment horizontal="center" vertical="center" wrapText="1"/>
      <protection locked="0"/>
    </xf>
    <xf numFmtId="0" fontId="30" fillId="2" borderId="0" xfId="0" applyFont="1" applyFill="1" applyBorder="1" applyAlignment="1" applyProtection="1">
      <alignment horizontal="center" vertical="center" wrapText="1"/>
      <protection locked="0"/>
    </xf>
    <xf numFmtId="0" fontId="30" fillId="0" borderId="87" xfId="0" applyNumberFormat="1" applyFont="1" applyFill="1" applyBorder="1" applyAlignment="1" applyProtection="1">
      <alignment horizontal="center" vertical="center" wrapText="1"/>
      <protection locked="0"/>
    </xf>
    <xf numFmtId="0" fontId="31" fillId="2" borderId="5" xfId="0" applyNumberFormat="1" applyFont="1" applyFill="1" applyBorder="1" applyAlignment="1" applyProtection="1">
      <alignment horizontal="center" vertical="center" wrapText="1"/>
    </xf>
    <xf numFmtId="0" fontId="31" fillId="2" borderId="5" xfId="0" applyNumberFormat="1" applyFont="1" applyFill="1" applyBorder="1" applyAlignment="1" applyProtection="1">
      <alignment horizontal="left" vertical="center" wrapText="1"/>
    </xf>
    <xf numFmtId="0" fontId="31" fillId="2" borderId="13" xfId="0" applyNumberFormat="1" applyFont="1" applyFill="1" applyBorder="1" applyAlignment="1" applyProtection="1">
      <alignment horizontal="center" vertical="center" wrapText="1"/>
    </xf>
    <xf numFmtId="0" fontId="28" fillId="2" borderId="0" xfId="0" applyFont="1" applyFill="1" applyBorder="1" applyAlignment="1" applyProtection="1">
      <alignment vertical="center" wrapText="1"/>
      <protection locked="0"/>
    </xf>
    <xf numFmtId="0" fontId="32" fillId="2" borderId="58" xfId="0" applyFont="1" applyFill="1" applyBorder="1" applyAlignment="1" applyProtection="1">
      <alignment horizontal="center" vertical="center" wrapText="1"/>
    </xf>
    <xf numFmtId="0" fontId="32" fillId="2" borderId="18" xfId="0" applyFont="1" applyFill="1" applyBorder="1" applyAlignment="1" applyProtection="1">
      <alignment horizontal="center" vertical="center"/>
    </xf>
    <xf numFmtId="0" fontId="32" fillId="2" borderId="58" xfId="0" applyFont="1" applyFill="1" applyBorder="1" applyAlignment="1" applyProtection="1">
      <alignment horizontal="center" vertical="center"/>
    </xf>
    <xf numFmtId="0" fontId="32" fillId="2" borderId="1" xfId="0" applyFont="1" applyFill="1" applyBorder="1" applyAlignment="1" applyProtection="1">
      <alignment horizontal="center" vertical="center"/>
    </xf>
    <xf numFmtId="0" fontId="32" fillId="2" borderId="35" xfId="0" applyFont="1" applyFill="1" applyBorder="1" applyAlignment="1" applyProtection="1">
      <alignment horizontal="center" vertical="center"/>
    </xf>
    <xf numFmtId="0" fontId="32" fillId="2" borderId="74" xfId="0"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xf>
    <xf numFmtId="0" fontId="32" fillId="2" borderId="74" xfId="0" applyFont="1" applyFill="1" applyBorder="1" applyAlignment="1" applyProtection="1">
      <alignment horizontal="center" vertical="center"/>
    </xf>
    <xf numFmtId="0" fontId="32" fillId="2" borderId="81" xfId="0" applyFont="1" applyFill="1" applyBorder="1" applyAlignment="1" applyProtection="1">
      <alignment horizontal="center" vertical="center" wrapText="1"/>
    </xf>
    <xf numFmtId="0" fontId="32" fillId="2" borderId="34" xfId="0" applyFont="1" applyFill="1" applyBorder="1" applyAlignment="1" applyProtection="1">
      <alignment horizontal="center" vertical="center"/>
    </xf>
    <xf numFmtId="0" fontId="32" fillId="2" borderId="81"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187" fontId="28" fillId="2" borderId="10" xfId="0" applyNumberFormat="1" applyFont="1" applyFill="1" applyBorder="1" applyAlignment="1" applyProtection="1">
      <alignment horizontal="center" vertical="center"/>
    </xf>
    <xf numFmtId="49" fontId="28" fillId="2" borderId="11" xfId="0" applyNumberFormat="1" applyFont="1" applyFill="1" applyBorder="1" applyAlignment="1" applyProtection="1">
      <alignment horizontal="center" vertical="center"/>
    </xf>
    <xf numFmtId="0" fontId="28" fillId="2" borderId="35" xfId="0" applyFont="1" applyFill="1" applyBorder="1" applyAlignment="1" applyProtection="1">
      <alignment horizontal="center" vertical="center"/>
    </xf>
    <xf numFmtId="0" fontId="28" fillId="2" borderId="11" xfId="0" applyFont="1" applyFill="1" applyBorder="1" applyAlignment="1" applyProtection="1">
      <alignment horizontal="center" vertical="center"/>
    </xf>
    <xf numFmtId="0" fontId="28" fillId="2" borderId="1" xfId="0" applyFont="1" applyFill="1" applyBorder="1" applyAlignment="1" applyProtection="1">
      <alignment horizontal="center" vertical="center" wrapText="1"/>
    </xf>
    <xf numFmtId="187" fontId="32" fillId="2" borderId="10" xfId="0" applyNumberFormat="1" applyFont="1" applyFill="1" applyBorder="1" applyAlignment="1" applyProtection="1">
      <alignment horizontal="center" vertical="center"/>
    </xf>
    <xf numFmtId="49" fontId="32" fillId="2" borderId="1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187" fontId="30" fillId="2" borderId="10" xfId="0" applyNumberFormat="1" applyFont="1" applyFill="1" applyBorder="1" applyAlignment="1" applyProtection="1">
      <alignment horizontal="center" vertical="center"/>
    </xf>
    <xf numFmtId="49" fontId="30" fillId="2" borderId="11" xfId="0" applyNumberFormat="1" applyFont="1" applyFill="1" applyBorder="1" applyAlignment="1" applyProtection="1">
      <alignment horizontal="center" vertical="center"/>
    </xf>
    <xf numFmtId="0" fontId="30" fillId="2" borderId="35" xfId="0" applyFont="1" applyFill="1" applyBorder="1" applyAlignment="1" applyProtection="1">
      <alignment horizontal="center" vertical="center"/>
    </xf>
    <xf numFmtId="0" fontId="32" fillId="2" borderId="1" xfId="0" applyNumberFormat="1" applyFont="1" applyFill="1" applyBorder="1" applyAlignment="1" applyProtection="1">
      <alignment horizontal="center" vertical="center"/>
    </xf>
    <xf numFmtId="0" fontId="32" fillId="2" borderId="11" xfId="0" applyFont="1" applyFill="1" applyBorder="1" applyAlignment="1" applyProtection="1">
      <alignment horizontal="center" vertical="center" wrapText="1"/>
    </xf>
    <xf numFmtId="0" fontId="37" fillId="8" borderId="1" xfId="0" applyNumberFormat="1" applyFont="1" applyFill="1" applyBorder="1" applyAlignment="1" applyProtection="1">
      <alignment horizontal="center" vertical="center"/>
    </xf>
    <xf numFmtId="49" fontId="28" fillId="2" borderId="0" xfId="0" applyNumberFormat="1" applyFont="1" applyFill="1" applyAlignment="1" applyProtection="1">
      <alignment horizontal="center" vertical="center"/>
      <protection locked="0"/>
    </xf>
    <xf numFmtId="0" fontId="28" fillId="2" borderId="0" xfId="0" applyFont="1" applyFill="1" applyAlignment="1" applyProtection="1">
      <alignment horizontal="center" vertical="center"/>
      <protection locked="0"/>
    </xf>
    <xf numFmtId="9" fontId="30" fillId="2" borderId="0" xfId="0" applyNumberFormat="1" applyFont="1" applyFill="1" applyBorder="1" applyAlignment="1" applyProtection="1">
      <alignment horizontal="center" vertical="center" wrapText="1"/>
      <protection locked="0"/>
    </xf>
    <xf numFmtId="0" fontId="30" fillId="2" borderId="0" xfId="0" applyFont="1" applyFill="1" applyAlignment="1" applyProtection="1">
      <alignment horizontal="center" vertical="center"/>
      <protection locked="0"/>
    </xf>
    <xf numFmtId="9" fontId="30" fillId="2" borderId="0" xfId="0" applyNumberFormat="1"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34" fillId="2" borderId="89" xfId="0" applyFont="1" applyFill="1" applyBorder="1" applyAlignment="1" applyProtection="1">
      <alignment horizontal="center" vertical="center"/>
      <protection locked="0"/>
    </xf>
    <xf numFmtId="0" fontId="27" fillId="2" borderId="0" xfId="0" applyFont="1" applyFill="1" applyAlignment="1" applyProtection="1">
      <alignment horizontal="center" vertical="center"/>
      <protection locked="0"/>
    </xf>
    <xf numFmtId="0" fontId="32" fillId="2" borderId="9" xfId="0" applyFont="1" applyFill="1" applyBorder="1" applyAlignment="1" applyProtection="1">
      <alignment horizontal="center" vertical="center"/>
    </xf>
    <xf numFmtId="0" fontId="32" fillId="2" borderId="3" xfId="0" applyFont="1" applyFill="1" applyBorder="1" applyAlignment="1" applyProtection="1">
      <alignment horizontal="center" vertical="center"/>
    </xf>
    <xf numFmtId="0" fontId="28" fillId="2" borderId="1" xfId="0" applyNumberFormat="1"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0" fontId="32" fillId="2" borderId="3" xfId="0" applyFont="1" applyFill="1" applyBorder="1" applyAlignment="1" applyProtection="1">
      <alignment vertical="center" textRotation="255" wrapText="1"/>
    </xf>
    <xf numFmtId="0" fontId="42" fillId="2" borderId="35" xfId="0" applyNumberFormat="1" applyFont="1" applyFill="1" applyBorder="1" applyAlignment="1" applyProtection="1">
      <alignment horizontal="center" vertical="center" wrapText="1"/>
    </xf>
    <xf numFmtId="0" fontId="48" fillId="2" borderId="35" xfId="0" applyNumberFormat="1" applyFont="1" applyFill="1" applyBorder="1" applyAlignment="1" applyProtection="1">
      <alignment horizontal="center" vertical="center" wrapText="1"/>
    </xf>
    <xf numFmtId="0" fontId="28" fillId="2" borderId="35" xfId="0" applyNumberFormat="1" applyFont="1" applyFill="1" applyBorder="1" applyAlignment="1" applyProtection="1">
      <alignment horizontal="center" vertical="center" wrapText="1"/>
    </xf>
    <xf numFmtId="0" fontId="32" fillId="0" borderId="85" xfId="0" applyNumberFormat="1" applyFont="1" applyFill="1" applyBorder="1" applyAlignment="1" applyProtection="1">
      <alignment horizontal="center" vertical="center" wrapText="1"/>
      <protection locked="0"/>
    </xf>
    <xf numFmtId="0" fontId="39" fillId="2" borderId="68" xfId="0" applyNumberFormat="1" applyFont="1" applyFill="1" applyBorder="1" applyAlignment="1" applyProtection="1">
      <alignment vertical="center" wrapText="1"/>
    </xf>
    <xf numFmtId="0" fontId="28" fillId="2" borderId="1" xfId="0" applyNumberFormat="1" applyFont="1" applyFill="1" applyBorder="1" applyAlignment="1" applyProtection="1">
      <alignment horizontal="center" vertical="center" wrapText="1"/>
    </xf>
    <xf numFmtId="0" fontId="28" fillId="2" borderId="83" xfId="0" applyNumberFormat="1" applyFont="1" applyFill="1" applyBorder="1" applyAlignment="1" applyProtection="1">
      <alignment horizontal="center" vertical="center" wrapText="1"/>
    </xf>
    <xf numFmtId="0" fontId="37" fillId="2" borderId="68" xfId="0" applyNumberFormat="1" applyFont="1" applyFill="1" applyBorder="1" applyAlignment="1" applyProtection="1">
      <alignment vertical="center" textRotation="255" wrapText="1"/>
    </xf>
    <xf numFmtId="0" fontId="28" fillId="0" borderId="1" xfId="0" applyNumberFormat="1" applyFont="1" applyFill="1" applyBorder="1" applyAlignment="1" applyProtection="1">
      <alignment horizontal="center" vertical="center" wrapText="1"/>
      <protection locked="0"/>
    </xf>
    <xf numFmtId="0" fontId="43" fillId="2" borderId="68" xfId="0" applyNumberFormat="1" applyFont="1" applyFill="1" applyBorder="1" applyAlignment="1" applyProtection="1">
      <alignment vertical="center" textRotation="255" wrapText="1"/>
    </xf>
    <xf numFmtId="0" fontId="32" fillId="2" borderId="84" xfId="0" applyNumberFormat="1" applyFont="1" applyFill="1" applyBorder="1" applyAlignment="1" applyProtection="1">
      <alignment horizontal="center" vertical="center" wrapText="1"/>
    </xf>
    <xf numFmtId="0" fontId="32" fillId="0" borderId="0" xfId="0" applyFont="1" applyFill="1" applyAlignment="1" applyProtection="1">
      <alignment horizontal="center" vertical="center"/>
      <protection locked="0"/>
    </xf>
    <xf numFmtId="0" fontId="32" fillId="2" borderId="88" xfId="0" applyNumberFormat="1" applyFont="1" applyFill="1" applyBorder="1" applyAlignment="1" applyProtection="1">
      <alignment horizontal="center" vertical="center" wrapText="1"/>
    </xf>
    <xf numFmtId="0" fontId="31" fillId="0" borderId="85" xfId="0" applyNumberFormat="1" applyFont="1" applyFill="1" applyBorder="1" applyAlignment="1" applyProtection="1">
      <alignment horizontal="center" vertical="center" wrapText="1"/>
      <protection locked="0"/>
    </xf>
    <xf numFmtId="0" fontId="31" fillId="0" borderId="85" xfId="0" applyNumberFormat="1" applyFont="1" applyFill="1" applyBorder="1" applyAlignment="1" applyProtection="1">
      <alignment horizontal="left" vertical="center" wrapText="1"/>
      <protection locked="0"/>
    </xf>
    <xf numFmtId="0" fontId="31" fillId="0" borderId="88" xfId="0" applyNumberFormat="1" applyFont="1" applyFill="1" applyBorder="1" applyAlignment="1" applyProtection="1">
      <alignment horizontal="center" vertical="center" wrapText="1"/>
      <protection locked="0"/>
    </xf>
    <xf numFmtId="0" fontId="28" fillId="0" borderId="85" xfId="0" applyNumberFormat="1" applyFont="1" applyFill="1" applyBorder="1" applyAlignment="1" applyProtection="1">
      <alignment horizontal="left" vertical="center" wrapText="1"/>
      <protection locked="0"/>
    </xf>
    <xf numFmtId="0" fontId="28" fillId="0" borderId="88" xfId="0" applyNumberFormat="1" applyFont="1" applyFill="1" applyBorder="1" applyAlignment="1" applyProtection="1">
      <alignment horizontal="center" vertical="center" wrapText="1"/>
      <protection locked="0"/>
    </xf>
    <xf numFmtId="0" fontId="31" fillId="2" borderId="35" xfId="0" applyNumberFormat="1" applyFont="1" applyFill="1" applyBorder="1" applyAlignment="1" applyProtection="1">
      <alignment horizontal="center" vertical="center" wrapText="1"/>
    </xf>
    <xf numFmtId="0" fontId="31" fillId="2" borderId="35" xfId="0" applyNumberFormat="1" applyFont="1" applyFill="1" applyBorder="1" applyAlignment="1" applyProtection="1">
      <alignment horizontal="left" vertical="center" wrapText="1"/>
    </xf>
    <xf numFmtId="0" fontId="31" fillId="2" borderId="73" xfId="0" applyNumberFormat="1" applyFont="1" applyFill="1" applyBorder="1" applyAlignment="1" applyProtection="1">
      <alignment horizontal="center" vertical="center" wrapText="1"/>
    </xf>
    <xf numFmtId="0" fontId="28" fillId="2" borderId="88" xfId="0" applyNumberFormat="1" applyFont="1" applyFill="1" applyBorder="1" applyAlignment="1" applyProtection="1">
      <alignment horizontal="center" vertical="center" wrapText="1"/>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14" xfId="0" applyNumberFormat="1"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183" fontId="32" fillId="0" borderId="0" xfId="0" applyNumberFormat="1" applyFont="1" applyFill="1" applyAlignment="1" applyProtection="1">
      <alignment horizontal="center" vertical="center"/>
      <protection locked="0"/>
    </xf>
    <xf numFmtId="177" fontId="32" fillId="0" borderId="0" xfId="0" applyNumberFormat="1" applyFont="1" applyFill="1" applyAlignment="1" applyProtection="1">
      <alignment horizontal="center" vertical="center"/>
      <protection locked="0"/>
    </xf>
    <xf numFmtId="9" fontId="32" fillId="2" borderId="0" xfId="0" applyNumberFormat="1" applyFont="1" applyFill="1" applyBorder="1" applyAlignment="1" applyProtection="1">
      <alignment horizontal="center" vertical="center" wrapText="1"/>
      <protection locked="0"/>
    </xf>
    <xf numFmtId="0" fontId="49" fillId="2" borderId="9" xfId="0" applyFont="1" applyFill="1" applyBorder="1" applyAlignment="1" applyProtection="1">
      <alignment horizontal="center" vertical="center"/>
    </xf>
    <xf numFmtId="0" fontId="38" fillId="0" borderId="7" xfId="0" applyFont="1" applyFill="1" applyBorder="1" applyAlignment="1" applyProtection="1">
      <alignment horizontal="center" vertical="center" wrapText="1"/>
      <protection locked="0"/>
    </xf>
    <xf numFmtId="0" fontId="38" fillId="0" borderId="15" xfId="0" applyFont="1" applyFill="1" applyBorder="1" applyAlignment="1" applyProtection="1">
      <alignment horizontal="center" vertical="center" wrapText="1"/>
      <protection locked="0"/>
    </xf>
    <xf numFmtId="49" fontId="28" fillId="5" borderId="56" xfId="0" applyNumberFormat="1" applyFont="1" applyFill="1" applyBorder="1" applyAlignment="1" applyProtection="1">
      <alignment horizontal="center" vertical="center" wrapText="1"/>
      <protection locked="0"/>
    </xf>
    <xf numFmtId="0" fontId="28" fillId="2" borderId="70" xfId="0" applyFont="1" applyFill="1" applyBorder="1" applyAlignment="1" applyProtection="1">
      <alignment horizontal="center" vertical="center" wrapText="1"/>
    </xf>
    <xf numFmtId="0" fontId="32" fillId="2" borderId="73" xfId="0" applyFont="1" applyFill="1" applyBorder="1" applyAlignment="1" applyProtection="1">
      <alignment horizontal="center" vertical="center"/>
    </xf>
    <xf numFmtId="0" fontId="28" fillId="2" borderId="57" xfId="0" applyFont="1" applyFill="1" applyBorder="1" applyAlignment="1" applyProtection="1">
      <alignment horizontal="center" vertical="center" wrapText="1"/>
    </xf>
    <xf numFmtId="0" fontId="28" fillId="0" borderId="57" xfId="0" applyFont="1" applyFill="1" applyBorder="1" applyAlignment="1" applyProtection="1">
      <alignment horizontal="center" vertical="center" wrapText="1"/>
      <protection locked="0"/>
    </xf>
    <xf numFmtId="0" fontId="39" fillId="2" borderId="21" xfId="0" applyFont="1" applyFill="1" applyBorder="1" applyAlignment="1" applyProtection="1">
      <alignment vertical="center" wrapText="1"/>
    </xf>
    <xf numFmtId="0" fontId="28" fillId="0" borderId="15" xfId="0" applyFont="1" applyFill="1" applyBorder="1" applyAlignment="1" applyProtection="1">
      <alignment horizontal="center" vertical="center" wrapText="1"/>
      <protection locked="0"/>
    </xf>
    <xf numFmtId="0" fontId="28" fillId="2" borderId="86" xfId="0" applyNumberFormat="1" applyFont="1" applyFill="1" applyBorder="1" applyAlignment="1" applyProtection="1">
      <alignment horizontal="center" vertical="center" wrapText="1"/>
    </xf>
    <xf numFmtId="0" fontId="28" fillId="0" borderId="76" xfId="0" applyNumberFormat="1" applyFont="1" applyFill="1" applyBorder="1" applyAlignment="1" applyProtection="1">
      <alignment horizontal="center" vertical="center" wrapText="1"/>
      <protection locked="0"/>
    </xf>
    <xf numFmtId="0" fontId="28" fillId="2" borderId="16" xfId="0" applyNumberFormat="1" applyFont="1" applyFill="1" applyBorder="1" applyAlignment="1" applyProtection="1">
      <alignment horizontal="center" vertical="center" wrapText="1"/>
    </xf>
    <xf numFmtId="0" fontId="28" fillId="2" borderId="13" xfId="0" applyFont="1" applyFill="1" applyBorder="1" applyAlignment="1" applyProtection="1">
      <alignment horizontal="center" vertical="center" wrapText="1"/>
    </xf>
    <xf numFmtId="0" fontId="32" fillId="2" borderId="29" xfId="0" applyNumberFormat="1" applyFont="1" applyFill="1" applyBorder="1" applyAlignment="1" applyProtection="1">
      <alignment horizontal="center" vertical="center" wrapText="1"/>
    </xf>
    <xf numFmtId="0" fontId="43" fillId="2" borderId="21" xfId="0" applyFont="1" applyFill="1" applyBorder="1" applyAlignment="1" applyProtection="1">
      <alignment vertical="center" textRotation="255" wrapText="1"/>
    </xf>
    <xf numFmtId="0" fontId="28" fillId="2" borderId="14" xfId="0" applyFont="1" applyFill="1" applyBorder="1" applyAlignment="1" applyProtection="1">
      <alignment horizontal="center" vertical="center" wrapText="1"/>
    </xf>
    <xf numFmtId="49" fontId="28" fillId="0" borderId="64" xfId="0" applyNumberFormat="1" applyFont="1" applyFill="1" applyBorder="1" applyAlignment="1" applyProtection="1">
      <alignment horizontal="center" vertical="center" wrapText="1"/>
      <protection locked="0"/>
    </xf>
    <xf numFmtId="0" fontId="37" fillId="2" borderId="21" xfId="0" applyFont="1" applyFill="1" applyBorder="1" applyAlignment="1" applyProtection="1">
      <alignment vertical="center" textRotation="255" wrapText="1"/>
    </xf>
    <xf numFmtId="0" fontId="39" fillId="2" borderId="21" xfId="0" applyFont="1" applyFill="1" applyBorder="1" applyAlignment="1" applyProtection="1">
      <alignment vertical="center" textRotation="255" wrapText="1"/>
    </xf>
    <xf numFmtId="0" fontId="37" fillId="2" borderId="32" xfId="0" applyFont="1" applyFill="1" applyBorder="1" applyAlignment="1" applyProtection="1">
      <alignment vertical="center" textRotation="255" wrapText="1"/>
    </xf>
    <xf numFmtId="49" fontId="50" fillId="2" borderId="59" xfId="0" applyNumberFormat="1" applyFont="1" applyFill="1" applyBorder="1" applyAlignment="1" applyProtection="1">
      <alignment vertical="center"/>
    </xf>
    <xf numFmtId="49" fontId="50" fillId="3" borderId="78" xfId="0" applyNumberFormat="1" applyFont="1" applyFill="1" applyBorder="1" applyAlignment="1" applyProtection="1">
      <alignment vertical="center"/>
      <protection locked="0"/>
    </xf>
    <xf numFmtId="0" fontId="32" fillId="2" borderId="0" xfId="0" applyFont="1" applyFill="1" applyBorder="1" applyAlignment="1" applyProtection="1">
      <alignment horizontal="center"/>
      <protection locked="0"/>
    </xf>
    <xf numFmtId="0" fontId="28" fillId="2" borderId="58" xfId="0" applyNumberFormat="1" applyFont="1" applyFill="1" applyBorder="1" applyAlignment="1" applyProtection="1">
      <alignment horizontal="center" vertical="center" wrapText="1"/>
      <protection locked="0"/>
    </xf>
    <xf numFmtId="183" fontId="32" fillId="2" borderId="0" xfId="0" applyNumberFormat="1" applyFont="1" applyFill="1" applyBorder="1" applyAlignment="1" applyProtection="1">
      <alignment horizontal="center"/>
      <protection locked="0"/>
    </xf>
    <xf numFmtId="177" fontId="32" fillId="2" borderId="0" xfId="0" applyNumberFormat="1" applyFont="1" applyFill="1" applyBorder="1" applyAlignment="1" applyProtection="1">
      <protection locked="0"/>
    </xf>
    <xf numFmtId="49" fontId="32" fillId="0" borderId="5" xfId="0" applyNumberFormat="1" applyFont="1" applyFill="1" applyBorder="1" applyAlignment="1" applyProtection="1">
      <alignment horizontal="center" vertical="center" wrapText="1"/>
      <protection locked="0"/>
    </xf>
    <xf numFmtId="49" fontId="31" fillId="0" borderId="5" xfId="0" applyNumberFormat="1" applyFont="1" applyFill="1" applyBorder="1" applyAlignment="1" applyProtection="1">
      <alignment horizontal="center" vertical="center" wrapText="1"/>
      <protection locked="0"/>
    </xf>
    <xf numFmtId="49" fontId="31" fillId="0" borderId="5" xfId="0" applyNumberFormat="1" applyFont="1" applyFill="1" applyBorder="1" applyAlignment="1" applyProtection="1">
      <alignment horizontal="left" vertical="center" wrapText="1"/>
      <protection locked="0"/>
    </xf>
    <xf numFmtId="49" fontId="31" fillId="0" borderId="13" xfId="0" applyNumberFormat="1" applyFont="1" applyFill="1" applyBorder="1" applyAlignment="1" applyProtection="1">
      <alignment horizontal="center" vertical="center" wrapText="1"/>
      <protection locked="0"/>
    </xf>
    <xf numFmtId="0" fontId="32" fillId="0" borderId="35" xfId="0" applyNumberFormat="1" applyFont="1" applyFill="1" applyBorder="1" applyAlignment="1" applyProtection="1">
      <alignment horizontal="center" vertical="center" wrapText="1"/>
      <protection locked="0"/>
    </xf>
    <xf numFmtId="0" fontId="31" fillId="0" borderId="35" xfId="0" applyNumberFormat="1" applyFont="1" applyFill="1" applyBorder="1" applyAlignment="1" applyProtection="1">
      <alignment horizontal="center" vertical="center" wrapText="1"/>
      <protection locked="0"/>
    </xf>
    <xf numFmtId="0" fontId="31" fillId="0" borderId="35" xfId="0" applyNumberFormat="1" applyFont="1" applyFill="1" applyBorder="1" applyAlignment="1" applyProtection="1">
      <alignment horizontal="left" vertical="center" wrapText="1"/>
      <protection locked="0"/>
    </xf>
    <xf numFmtId="0" fontId="31" fillId="0" borderId="73" xfId="0" applyNumberFormat="1" applyFont="1" applyFill="1" applyBorder="1" applyAlignment="1" applyProtection="1">
      <alignment horizontal="center" vertical="center" wrapText="1"/>
      <protection locked="0"/>
    </xf>
    <xf numFmtId="0" fontId="34" fillId="2" borderId="54" xfId="0" applyFont="1" applyFill="1" applyBorder="1" applyAlignment="1" applyProtection="1">
      <alignment horizontal="right" vertical="center"/>
    </xf>
    <xf numFmtId="0" fontId="37" fillId="2" borderId="64" xfId="0" applyFont="1" applyFill="1" applyBorder="1" applyAlignment="1" applyProtection="1">
      <alignment vertical="center" wrapText="1"/>
    </xf>
    <xf numFmtId="0" fontId="28" fillId="0" borderId="6" xfId="0" applyNumberFormat="1" applyFont="1" applyFill="1" applyBorder="1" applyAlignment="1" applyProtection="1">
      <alignment horizontal="center" vertical="center" wrapText="1"/>
      <protection locked="0"/>
    </xf>
    <xf numFmtId="0" fontId="28" fillId="0" borderId="11" xfId="0" applyNumberFormat="1" applyFont="1" applyFill="1" applyBorder="1" applyAlignment="1" applyProtection="1">
      <alignment horizontal="center" vertical="center" wrapText="1"/>
      <protection locked="0"/>
    </xf>
    <xf numFmtId="0" fontId="28" fillId="0" borderId="12" xfId="0" applyNumberFormat="1" applyFont="1" applyFill="1" applyBorder="1" applyAlignment="1" applyProtection="1">
      <alignment horizontal="center" vertical="center" wrapText="1"/>
      <protection locked="0"/>
    </xf>
    <xf numFmtId="49" fontId="32" fillId="5" borderId="74" xfId="0" applyNumberFormat="1" applyFont="1" applyFill="1" applyBorder="1" applyAlignment="1" applyProtection="1">
      <alignment horizontal="center" vertical="center" wrapText="1"/>
      <protection locked="0"/>
    </xf>
    <xf numFmtId="49" fontId="32" fillId="5" borderId="68" xfId="0" applyNumberFormat="1" applyFont="1" applyFill="1" applyBorder="1" applyAlignment="1" applyProtection="1">
      <alignment horizontal="center" vertical="center" wrapText="1"/>
      <protection locked="0"/>
    </xf>
    <xf numFmtId="49" fontId="32" fillId="5" borderId="81" xfId="0" applyNumberFormat="1" applyFont="1" applyFill="1" applyBorder="1" applyAlignment="1" applyProtection="1">
      <alignment horizontal="center" vertical="center" wrapText="1"/>
      <protection locked="0"/>
    </xf>
    <xf numFmtId="49" fontId="32" fillId="5" borderId="29" xfId="0" applyNumberFormat="1" applyFont="1" applyFill="1" applyBorder="1" applyAlignment="1" applyProtection="1">
      <alignment horizontal="center" vertical="center" wrapText="1"/>
      <protection locked="0"/>
    </xf>
    <xf numFmtId="0" fontId="28" fillId="2" borderId="20"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protection locked="0"/>
    </xf>
    <xf numFmtId="0" fontId="28" fillId="2" borderId="72" xfId="0" applyNumberFormat="1" applyFont="1" applyFill="1" applyBorder="1" applyAlignment="1" applyProtection="1">
      <alignment horizontal="center" vertical="center" wrapText="1"/>
    </xf>
    <xf numFmtId="0" fontId="28" fillId="2" borderId="34" xfId="0" applyNumberFormat="1" applyFont="1" applyFill="1" applyBorder="1" applyAlignment="1" applyProtection="1">
      <alignment horizontal="center" vertical="center" wrapText="1"/>
    </xf>
    <xf numFmtId="0" fontId="37" fillId="2" borderId="76" xfId="0" applyFont="1" applyFill="1" applyBorder="1" applyAlignment="1" applyProtection="1">
      <alignment vertical="center" wrapText="1"/>
    </xf>
    <xf numFmtId="0" fontId="28" fillId="2" borderId="10" xfId="0" applyNumberFormat="1"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32" fillId="2" borderId="3"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32" fillId="2" borderId="3" xfId="0" applyFont="1" applyFill="1" applyBorder="1" applyAlignment="1" applyProtection="1">
      <alignment horizontal="center" vertical="center" textRotation="255" wrapText="1"/>
    </xf>
    <xf numFmtId="0" fontId="30" fillId="0" borderId="3" xfId="0" applyNumberFormat="1" applyFont="1" applyFill="1" applyBorder="1" applyAlignment="1" applyProtection="1">
      <alignment horizontal="center" vertical="center" wrapText="1"/>
      <protection locked="0"/>
    </xf>
    <xf numFmtId="0" fontId="43" fillId="2" borderId="76" xfId="0" applyNumberFormat="1" applyFont="1" applyFill="1" applyBorder="1" applyAlignment="1" applyProtection="1">
      <alignment vertical="center" wrapText="1"/>
    </xf>
    <xf numFmtId="0" fontId="28" fillId="2" borderId="80" xfId="0" applyNumberFormat="1" applyFont="1" applyFill="1" applyBorder="1" applyAlignment="1" applyProtection="1">
      <alignment horizontal="center" vertical="center" wrapText="1"/>
    </xf>
    <xf numFmtId="0" fontId="28" fillId="0" borderId="8" xfId="0" applyNumberFormat="1" applyFont="1" applyFill="1" applyBorder="1" applyAlignment="1" applyProtection="1">
      <alignment horizontal="center" vertical="center" wrapText="1"/>
      <protection locked="0"/>
    </xf>
    <xf numFmtId="0" fontId="30" fillId="0" borderId="8" xfId="0" applyNumberFormat="1" applyFont="1" applyFill="1" applyBorder="1" applyAlignment="1" applyProtection="1">
      <alignment horizontal="center" vertical="center" wrapText="1"/>
      <protection locked="0"/>
    </xf>
    <xf numFmtId="0" fontId="32" fillId="0" borderId="3" xfId="0" applyNumberFormat="1" applyFont="1" applyFill="1" applyBorder="1" applyAlignment="1" applyProtection="1">
      <alignment horizontal="center" vertical="center" wrapText="1"/>
      <protection locked="0"/>
    </xf>
    <xf numFmtId="0" fontId="37" fillId="2" borderId="76" xfId="0" applyNumberFormat="1" applyFont="1" applyFill="1" applyBorder="1" applyAlignment="1" applyProtection="1">
      <alignment vertical="center" wrapText="1"/>
    </xf>
    <xf numFmtId="0" fontId="32" fillId="0" borderId="8" xfId="0" applyNumberFormat="1" applyFont="1" applyFill="1" applyBorder="1" applyAlignment="1" applyProtection="1">
      <alignment horizontal="center" vertical="center" wrapText="1"/>
      <protection locked="0"/>
    </xf>
    <xf numFmtId="0" fontId="28" fillId="2" borderId="20" xfId="0" applyNumberFormat="1" applyFont="1" applyFill="1" applyBorder="1" applyAlignment="1" applyProtection="1">
      <alignment horizontal="center" vertical="center"/>
    </xf>
    <xf numFmtId="0" fontId="30" fillId="0" borderId="3" xfId="0" applyNumberFormat="1" applyFont="1" applyFill="1" applyBorder="1" applyAlignment="1" applyProtection="1">
      <alignment horizontal="left" vertical="center" wrapText="1"/>
      <protection locked="0"/>
    </xf>
    <xf numFmtId="0" fontId="30" fillId="0" borderId="72" xfId="0" applyNumberFormat="1" applyFont="1" applyFill="1" applyBorder="1" applyAlignment="1" applyProtection="1">
      <alignment horizontal="center" vertical="center" wrapText="1"/>
      <protection locked="0"/>
    </xf>
    <xf numFmtId="0" fontId="30" fillId="2" borderId="0" xfId="0" applyFont="1" applyFill="1" applyBorder="1" applyAlignment="1" applyProtection="1">
      <alignment vertical="center" wrapText="1"/>
      <protection locked="0"/>
    </xf>
    <xf numFmtId="0" fontId="30" fillId="0" borderId="15" xfId="0" applyNumberFormat="1" applyFont="1" applyFill="1" applyBorder="1" applyAlignment="1" applyProtection="1">
      <alignment horizontal="center" vertical="center" wrapText="1"/>
      <protection locked="0"/>
    </xf>
    <xf numFmtId="0" fontId="31" fillId="0" borderId="3" xfId="0" applyNumberFormat="1" applyFont="1" applyFill="1" applyBorder="1" applyAlignment="1" applyProtection="1">
      <alignment horizontal="center" vertical="center" wrapText="1"/>
      <protection locked="0"/>
    </xf>
    <xf numFmtId="0" fontId="31" fillId="0" borderId="3" xfId="0" applyNumberFormat="1" applyFont="1" applyFill="1" applyBorder="1" applyAlignment="1" applyProtection="1">
      <alignment horizontal="left" vertical="center" wrapText="1"/>
      <protection locked="0"/>
    </xf>
    <xf numFmtId="0" fontId="31" fillId="0" borderId="72" xfId="0" applyNumberFormat="1" applyFont="1" applyFill="1" applyBorder="1" applyAlignment="1" applyProtection="1">
      <alignment horizontal="center" vertical="center" wrapText="1"/>
      <protection locked="0"/>
    </xf>
    <xf numFmtId="0" fontId="32" fillId="0" borderId="15" xfId="0" applyNumberFormat="1" applyFont="1" applyFill="1" applyBorder="1" applyAlignment="1" applyProtection="1">
      <alignment horizontal="center" vertical="center" wrapText="1"/>
      <protection locked="0"/>
    </xf>
    <xf numFmtId="0" fontId="51" fillId="5" borderId="54" xfId="0" applyFont="1" applyFill="1" applyBorder="1" applyAlignment="1" applyProtection="1">
      <alignment vertical="center"/>
      <protection locked="0"/>
    </xf>
    <xf numFmtId="0" fontId="32" fillId="0" borderId="12" xfId="0" applyNumberFormat="1" applyFont="1" applyFill="1" applyBorder="1" applyAlignment="1" applyProtection="1">
      <alignment horizontal="center" vertical="center" wrapText="1"/>
      <protection locked="0"/>
    </xf>
    <xf numFmtId="49" fontId="32" fillId="2" borderId="69" xfId="0" applyNumberFormat="1" applyFont="1" applyFill="1" applyBorder="1" applyAlignment="1" applyProtection="1">
      <alignment horizontal="center" vertical="center" wrapText="1"/>
    </xf>
    <xf numFmtId="0" fontId="42" fillId="2" borderId="18" xfId="0" applyFont="1" applyFill="1" applyBorder="1" applyAlignment="1" applyProtection="1">
      <alignment horizontal="center" vertical="center" wrapText="1"/>
    </xf>
    <xf numFmtId="0" fontId="42" fillId="2" borderId="20" xfId="0" applyFont="1" applyFill="1" applyBorder="1" applyAlignment="1" applyProtection="1">
      <alignment horizontal="center" vertical="center" wrapText="1"/>
    </xf>
    <xf numFmtId="49" fontId="32" fillId="2" borderId="22" xfId="0" applyNumberFormat="1" applyFont="1" applyFill="1" applyBorder="1" applyAlignment="1" applyProtection="1">
      <alignment horizontal="center" vertical="center" wrapText="1"/>
    </xf>
    <xf numFmtId="0" fontId="28" fillId="5" borderId="29" xfId="0" applyNumberFormat="1" applyFont="1" applyFill="1" applyBorder="1" applyAlignment="1" applyProtection="1">
      <alignment horizontal="center" vertical="center" wrapText="1"/>
      <protection locked="0"/>
    </xf>
    <xf numFmtId="0" fontId="32" fillId="5" borderId="4" xfId="0" applyFont="1" applyFill="1" applyBorder="1" applyAlignment="1" applyProtection="1">
      <alignment horizontal="center" vertical="center" wrapText="1"/>
      <protection locked="0"/>
    </xf>
    <xf numFmtId="0" fontId="32" fillId="5" borderId="6" xfId="0" applyFont="1" applyFill="1" applyBorder="1" applyAlignment="1" applyProtection="1">
      <alignment horizontal="center" vertical="center" wrapText="1"/>
      <protection locked="0"/>
    </xf>
    <xf numFmtId="0" fontId="32" fillId="5" borderId="11" xfId="0" applyFont="1" applyFill="1" applyBorder="1" applyAlignment="1" applyProtection="1">
      <alignment horizontal="center" vertical="center" wrapText="1"/>
      <protection locked="0"/>
    </xf>
    <xf numFmtId="49" fontId="32" fillId="5" borderId="6" xfId="0" applyNumberFormat="1" applyFont="1" applyFill="1" applyBorder="1" applyAlignment="1" applyProtection="1">
      <alignment horizontal="center" vertical="center" wrapText="1"/>
      <protection locked="0"/>
    </xf>
    <xf numFmtId="17" fontId="30" fillId="0" borderId="64" xfId="0" applyNumberFormat="1" applyFont="1" applyFill="1" applyBorder="1" applyAlignment="1" applyProtection="1">
      <alignment horizontal="center" vertical="center" wrapText="1"/>
      <protection locked="0"/>
    </xf>
    <xf numFmtId="0" fontId="30" fillId="0" borderId="64" xfId="0" applyNumberFormat="1" applyFont="1" applyFill="1" applyBorder="1" applyAlignment="1" applyProtection="1">
      <alignment horizontal="center" vertical="center" wrapText="1"/>
      <protection locked="0"/>
    </xf>
    <xf numFmtId="0" fontId="28" fillId="0" borderId="58" xfId="0" applyNumberFormat="1" applyFont="1" applyFill="1" applyBorder="1" applyAlignment="1" applyProtection="1">
      <alignment horizontal="center" vertical="center" wrapText="1"/>
      <protection locked="0"/>
    </xf>
    <xf numFmtId="0" fontId="28" fillId="2" borderId="0" xfId="0" applyFont="1" applyFill="1" applyAlignment="1" applyProtection="1">
      <alignment horizontal="center" vertical="center"/>
    </xf>
    <xf numFmtId="0" fontId="28" fillId="0" borderId="90" xfId="0" applyNumberFormat="1" applyFont="1" applyFill="1" applyBorder="1" applyAlignment="1" applyProtection="1">
      <alignment horizontal="center" vertical="center"/>
      <protection locked="0"/>
    </xf>
    <xf numFmtId="0" fontId="47" fillId="0" borderId="85" xfId="0" applyNumberFormat="1" applyFont="1" applyFill="1" applyBorder="1" applyAlignment="1" applyProtection="1">
      <alignment horizontal="center" vertical="center" wrapText="1"/>
      <protection locked="0"/>
    </xf>
    <xf numFmtId="0" fontId="46" fillId="0" borderId="0" xfId="0" applyFont="1" applyFill="1" applyAlignment="1" applyProtection="1">
      <alignment horizontal="center" vertical="center"/>
    </xf>
    <xf numFmtId="0" fontId="34" fillId="2" borderId="10" xfId="0" applyFont="1" applyFill="1" applyBorder="1" applyAlignment="1" applyProtection="1">
      <alignment horizontal="right" vertical="center"/>
    </xf>
    <xf numFmtId="0" fontId="34" fillId="2" borderId="12" xfId="0" applyFont="1" applyFill="1" applyBorder="1" applyAlignment="1" applyProtection="1">
      <alignment horizontal="center" vertical="center"/>
    </xf>
    <xf numFmtId="0" fontId="34" fillId="5" borderId="12" xfId="0" applyFont="1" applyFill="1" applyBorder="1" applyAlignment="1" applyProtection="1">
      <alignment vertical="center"/>
      <protection locked="0"/>
    </xf>
    <xf numFmtId="0" fontId="36" fillId="2" borderId="3" xfId="0" applyFont="1" applyFill="1" applyBorder="1" applyAlignment="1" applyProtection="1">
      <alignment horizontal="right" vertical="center"/>
    </xf>
    <xf numFmtId="0" fontId="52" fillId="2" borderId="0" xfId="0" applyFont="1" applyFill="1" applyBorder="1" applyAlignment="1" applyProtection="1">
      <alignment vertical="center"/>
      <protection locked="0"/>
    </xf>
    <xf numFmtId="49" fontId="28" fillId="5" borderId="62" xfId="0" applyNumberFormat="1" applyFont="1" applyFill="1" applyBorder="1" applyAlignment="1" applyProtection="1">
      <alignment horizontal="center" vertical="center" wrapText="1"/>
      <protection locked="0"/>
    </xf>
    <xf numFmtId="0" fontId="28" fillId="2" borderId="39" xfId="0" applyNumberFormat="1" applyFont="1" applyFill="1" applyBorder="1" applyAlignment="1" applyProtection="1">
      <alignment horizontal="center" vertical="center" wrapText="1"/>
    </xf>
    <xf numFmtId="49" fontId="32" fillId="5" borderId="11" xfId="0" applyNumberFormat="1" applyFont="1" applyFill="1" applyBorder="1" applyAlignment="1" applyProtection="1">
      <alignment horizontal="center" vertical="center" wrapText="1"/>
      <protection locked="0"/>
    </xf>
    <xf numFmtId="49" fontId="28" fillId="0" borderId="81" xfId="0" applyNumberFormat="1" applyFont="1" applyFill="1" applyBorder="1" applyAlignment="1" applyProtection="1">
      <alignment horizontal="center" vertical="center" wrapText="1"/>
      <protection locked="0"/>
    </xf>
    <xf numFmtId="49" fontId="28" fillId="0" borderId="29" xfId="0" applyNumberFormat="1" applyFont="1" applyFill="1" applyBorder="1" applyAlignment="1" applyProtection="1">
      <alignment horizontal="center" vertical="center" wrapText="1"/>
      <protection locked="0"/>
    </xf>
    <xf numFmtId="0" fontId="32" fillId="5" borderId="56" xfId="0" applyFont="1" applyFill="1" applyBorder="1" applyAlignment="1" applyProtection="1">
      <alignment horizontal="center" vertical="center" wrapText="1"/>
      <protection locked="0"/>
    </xf>
    <xf numFmtId="0" fontId="32" fillId="0" borderId="83" xfId="0" applyNumberFormat="1"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xf>
    <xf numFmtId="183" fontId="36" fillId="2" borderId="0" xfId="0" applyNumberFormat="1" applyFont="1" applyFill="1" applyBorder="1" applyAlignment="1" applyProtection="1">
      <alignment horizontal="center" vertical="center"/>
      <protection locked="0"/>
    </xf>
    <xf numFmtId="177" fontId="36" fillId="2" borderId="0" xfId="0" applyNumberFormat="1" applyFont="1" applyFill="1" applyBorder="1" applyAlignment="1" applyProtection="1">
      <alignment vertical="center"/>
      <protection locked="0"/>
    </xf>
    <xf numFmtId="0" fontId="36"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xf>
    <xf numFmtId="183" fontId="28" fillId="2" borderId="44" xfId="0" applyNumberFormat="1" applyFont="1" applyFill="1" applyBorder="1" applyAlignment="1" applyProtection="1">
      <alignment horizontal="center" vertical="center" wrapText="1"/>
    </xf>
    <xf numFmtId="183" fontId="28" fillId="2" borderId="46" xfId="0" applyNumberFormat="1" applyFont="1" applyFill="1" applyBorder="1" applyAlignment="1" applyProtection="1">
      <alignment horizontal="center" vertical="center" wrapText="1"/>
    </xf>
    <xf numFmtId="0" fontId="28" fillId="2" borderId="46" xfId="0" applyNumberFormat="1" applyFont="1" applyFill="1" applyBorder="1" applyAlignment="1" applyProtection="1">
      <alignment horizontal="center" vertical="center" wrapText="1"/>
    </xf>
    <xf numFmtId="0" fontId="46" fillId="0" borderId="46" xfId="0" applyNumberFormat="1" applyFont="1" applyFill="1" applyBorder="1" applyAlignment="1" applyProtection="1">
      <alignment horizontal="center" vertical="center" wrapText="1"/>
      <protection locked="0"/>
    </xf>
    <xf numFmtId="0" fontId="46" fillId="2" borderId="46" xfId="0" applyNumberFormat="1" applyFont="1" applyFill="1" applyBorder="1" applyAlignment="1" applyProtection="1">
      <alignment horizontal="center" vertical="center" wrapText="1"/>
    </xf>
    <xf numFmtId="0" fontId="46" fillId="0" borderId="91" xfId="0" applyNumberFormat="1" applyFont="1" applyFill="1" applyBorder="1" applyAlignment="1" applyProtection="1">
      <alignment horizontal="center" vertical="center" wrapText="1"/>
      <protection locked="0"/>
    </xf>
    <xf numFmtId="0" fontId="46" fillId="2" borderId="92" xfId="0" applyNumberFormat="1" applyFont="1" applyFill="1" applyBorder="1" applyAlignment="1" applyProtection="1">
      <alignment horizontal="center" vertical="center" wrapText="1"/>
    </xf>
    <xf numFmtId="0" fontId="46" fillId="2" borderId="93" xfId="0" applyNumberFormat="1" applyFont="1" applyFill="1" applyBorder="1" applyAlignment="1" applyProtection="1">
      <alignment horizontal="center" vertical="center" wrapText="1"/>
    </xf>
    <xf numFmtId="0" fontId="32" fillId="0" borderId="11" xfId="0" applyNumberFormat="1" applyFont="1" applyFill="1" applyBorder="1" applyAlignment="1" applyProtection="1">
      <alignment horizontal="center" vertical="center" wrapText="1"/>
      <protection locked="0"/>
    </xf>
    <xf numFmtId="183" fontId="32" fillId="2" borderId="46" xfId="0" applyNumberFormat="1" applyFont="1" applyFill="1" applyBorder="1" applyAlignment="1" applyProtection="1">
      <alignment horizontal="center" vertical="center"/>
    </xf>
    <xf numFmtId="183" fontId="32" fillId="2" borderId="15" xfId="0" applyNumberFormat="1" applyFont="1" applyFill="1" applyBorder="1" applyAlignment="1" applyProtection="1">
      <alignment horizontal="center" vertical="center" wrapText="1"/>
    </xf>
    <xf numFmtId="0" fontId="32" fillId="0" borderId="87" xfId="0" applyNumberFormat="1"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xf>
    <xf numFmtId="0" fontId="46" fillId="2" borderId="0" xfId="0" applyFont="1" applyFill="1" applyBorder="1" applyAlignment="1" applyProtection="1">
      <alignment horizontal="center" vertical="center"/>
    </xf>
    <xf numFmtId="0" fontId="46" fillId="2" borderId="0" xfId="0" applyFont="1" applyFill="1" applyAlignment="1" applyProtection="1">
      <alignment horizontal="center" vertical="center"/>
    </xf>
    <xf numFmtId="0" fontId="30" fillId="2" borderId="85" xfId="0" applyNumberFormat="1" applyFont="1" applyFill="1" applyBorder="1" applyAlignment="1" applyProtection="1">
      <alignment horizontal="center" vertical="center" wrapText="1"/>
    </xf>
    <xf numFmtId="0" fontId="30" fillId="2" borderId="85" xfId="0" applyNumberFormat="1" applyFont="1" applyFill="1" applyBorder="1" applyAlignment="1" applyProtection="1">
      <alignment horizontal="left" vertical="center" wrapText="1"/>
    </xf>
    <xf numFmtId="0" fontId="30" fillId="2" borderId="88" xfId="0" applyNumberFormat="1" applyFont="1" applyFill="1" applyBorder="1" applyAlignment="1" applyProtection="1">
      <alignment horizontal="center" vertical="center" wrapText="1"/>
    </xf>
    <xf numFmtId="0" fontId="30" fillId="2" borderId="1" xfId="0" applyNumberFormat="1" applyFont="1" applyFill="1" applyBorder="1" applyAlignment="1" applyProtection="1">
      <alignment horizontal="center" vertical="center" wrapText="1"/>
    </xf>
    <xf numFmtId="0" fontId="30" fillId="2" borderId="1" xfId="0" applyNumberFormat="1" applyFont="1" applyFill="1" applyBorder="1" applyAlignment="1" applyProtection="1">
      <alignment horizontal="left" vertical="center" wrapText="1"/>
    </xf>
    <xf numFmtId="0" fontId="30" fillId="2" borderId="14" xfId="0" applyNumberFormat="1" applyFont="1" applyFill="1" applyBorder="1" applyAlignment="1" applyProtection="1">
      <alignment horizontal="center" vertical="center" wrapText="1"/>
    </xf>
    <xf numFmtId="0" fontId="30" fillId="2" borderId="83" xfId="0" applyNumberFormat="1" applyFont="1" applyFill="1" applyBorder="1" applyAlignment="1" applyProtection="1">
      <alignment horizontal="center" vertical="center" wrapText="1"/>
    </xf>
    <xf numFmtId="0" fontId="30" fillId="2" borderId="87" xfId="0" applyNumberFormat="1" applyFont="1" applyFill="1" applyBorder="1" applyAlignment="1" applyProtection="1">
      <alignment horizontal="center" vertical="center" wrapText="1"/>
    </xf>
    <xf numFmtId="0" fontId="53" fillId="0" borderId="0" xfId="0" applyFont="1" applyFill="1" applyAlignment="1" applyProtection="1">
      <alignment horizontal="left" vertical="center"/>
      <protection locked="0"/>
    </xf>
    <xf numFmtId="0" fontId="48" fillId="0" borderId="0" xfId="0" applyFont="1" applyFill="1" applyAlignment="1" applyProtection="1">
      <alignment horizontal="center" vertical="center"/>
      <protection locked="0"/>
    </xf>
    <xf numFmtId="0" fontId="54" fillId="2" borderId="19" xfId="0" applyFont="1" applyFill="1" applyBorder="1" applyAlignment="1" applyProtection="1">
      <alignment horizontal="center" vertical="center"/>
    </xf>
    <xf numFmtId="0" fontId="55" fillId="2" borderId="55" xfId="0" applyFont="1" applyFill="1" applyBorder="1" applyAlignment="1" applyProtection="1">
      <alignment horizontal="center" vertical="center"/>
    </xf>
    <xf numFmtId="0" fontId="48" fillId="2" borderId="55" xfId="0" applyFont="1" applyFill="1" applyBorder="1" applyAlignment="1" applyProtection="1">
      <alignment horizontal="center" vertical="center"/>
    </xf>
    <xf numFmtId="0" fontId="48" fillId="2" borderId="45" xfId="0" applyFont="1" applyFill="1" applyBorder="1" applyAlignment="1" applyProtection="1">
      <alignment horizontal="center" vertical="center"/>
    </xf>
    <xf numFmtId="0" fontId="55" fillId="2" borderId="65" xfId="0" applyFont="1" applyFill="1" applyBorder="1" applyProtection="1">
      <alignment vertical="center"/>
    </xf>
    <xf numFmtId="0" fontId="54" fillId="2" borderId="1"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94"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6" fillId="2" borderId="29" xfId="0" applyFont="1" applyFill="1" applyBorder="1" applyAlignment="1" applyProtection="1">
      <alignment horizontal="center" vertical="center"/>
    </xf>
    <xf numFmtId="0" fontId="46" fillId="0" borderId="3" xfId="0" applyFont="1" applyBorder="1" applyAlignment="1" applyProtection="1">
      <alignment horizontal="center" vertical="center"/>
      <protection locked="0"/>
    </xf>
    <xf numFmtId="0" fontId="54" fillId="0" borderId="3" xfId="0" applyFont="1" applyBorder="1" applyAlignment="1" applyProtection="1">
      <alignment horizontal="center" vertical="center"/>
      <protection locked="0"/>
    </xf>
    <xf numFmtId="0" fontId="46" fillId="0" borderId="34" xfId="0" applyFont="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6" fillId="0" borderId="72" xfId="0" applyFont="1" applyBorder="1" applyAlignment="1" applyProtection="1">
      <alignment horizontal="center" vertical="center"/>
      <protection locked="0"/>
    </xf>
    <xf numFmtId="0" fontId="46" fillId="2" borderId="6"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55" fillId="0" borderId="1"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46" fillId="0" borderId="94" xfId="0" applyFont="1" applyFill="1" applyBorder="1" applyAlignment="1" applyProtection="1">
      <alignment horizontal="center" vertical="center"/>
      <protection locked="0"/>
    </xf>
    <xf numFmtId="0" fontId="46" fillId="0" borderId="1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47" fillId="0" borderId="94" xfId="0" applyFont="1" applyFill="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46" fillId="2" borderId="8" xfId="0" applyFont="1" applyFill="1" applyBorder="1" applyAlignment="1" applyProtection="1">
      <alignment horizontal="center" vertical="center"/>
    </xf>
    <xf numFmtId="0" fontId="55" fillId="2" borderId="17" xfId="0" applyFont="1" applyFill="1" applyBorder="1" applyAlignment="1" applyProtection="1">
      <alignment horizontal="center" vertical="center"/>
    </xf>
    <xf numFmtId="0" fontId="55" fillId="2" borderId="96" xfId="0" applyFont="1" applyFill="1" applyBorder="1" applyAlignment="1" applyProtection="1">
      <alignment horizontal="left" vertical="center"/>
    </xf>
    <xf numFmtId="0" fontId="48" fillId="2" borderId="17" xfId="0" applyFont="1" applyFill="1" applyBorder="1" applyAlignment="1" applyProtection="1">
      <alignment horizontal="center" vertical="center"/>
    </xf>
    <xf numFmtId="0" fontId="48" fillId="2" borderId="67" xfId="0" applyFont="1" applyFill="1" applyBorder="1" applyAlignment="1" applyProtection="1">
      <alignment horizontal="center" vertical="center"/>
    </xf>
    <xf numFmtId="0" fontId="56" fillId="0" borderId="0" xfId="0" applyFont="1" applyFill="1" applyAlignment="1" applyProtection="1">
      <alignment horizontal="left" vertical="center"/>
      <protection locked="0"/>
    </xf>
    <xf numFmtId="183" fontId="48" fillId="0" borderId="0" xfId="0" applyNumberFormat="1" applyFont="1" applyFill="1" applyAlignment="1" applyProtection="1">
      <alignment horizontal="center" vertical="center"/>
      <protection locked="0"/>
    </xf>
    <xf numFmtId="0" fontId="54" fillId="2" borderId="55" xfId="0" applyFont="1" applyFill="1" applyBorder="1" applyAlignment="1" applyProtection="1">
      <alignment horizontal="center" vertical="center"/>
    </xf>
    <xf numFmtId="0" fontId="55" fillId="2" borderId="45" xfId="0" applyFont="1" applyFill="1" applyBorder="1" applyAlignment="1" applyProtection="1">
      <alignment horizontal="center" vertical="center"/>
    </xf>
    <xf numFmtId="0" fontId="55" fillId="2" borderId="89" xfId="0" applyFont="1" applyFill="1" applyBorder="1" applyAlignment="1" applyProtection="1">
      <alignment horizontal="center" vertical="center"/>
    </xf>
    <xf numFmtId="0" fontId="54" fillId="2" borderId="81" xfId="0" applyFont="1" applyFill="1" applyBorder="1" applyAlignment="1" applyProtection="1">
      <alignment horizontal="center" vertical="center"/>
    </xf>
    <xf numFmtId="180" fontId="46" fillId="2" borderId="72" xfId="0" applyNumberFormat="1" applyFont="1" applyFill="1" applyBorder="1" applyAlignment="1" applyProtection="1">
      <alignment horizontal="center" vertical="center"/>
    </xf>
    <xf numFmtId="0" fontId="54" fillId="2" borderId="11" xfId="0" applyFont="1" applyFill="1" applyBorder="1" applyAlignment="1" applyProtection="1">
      <alignment horizontal="center" vertical="center"/>
    </xf>
    <xf numFmtId="0" fontId="46" fillId="2" borderId="1" xfId="0" applyFont="1" applyFill="1" applyBorder="1" applyAlignment="1" applyProtection="1">
      <alignment horizontal="center" vertical="center"/>
    </xf>
    <xf numFmtId="0" fontId="46" fillId="2" borderId="14" xfId="0" applyFont="1" applyFill="1" applyBorder="1" applyAlignment="1" applyProtection="1">
      <alignment horizontal="center" vertical="center"/>
    </xf>
    <xf numFmtId="188" fontId="46" fillId="2" borderId="14" xfId="0" applyNumberFormat="1" applyFont="1" applyFill="1" applyBorder="1" applyAlignment="1" applyProtection="1">
      <alignment horizontal="center" vertical="center"/>
    </xf>
    <xf numFmtId="188" fontId="46" fillId="0" borderId="14" xfId="0" applyNumberFormat="1" applyFont="1" applyBorder="1" applyAlignment="1" applyProtection="1">
      <alignment horizontal="center" vertical="center"/>
      <protection locked="0"/>
    </xf>
    <xf numFmtId="0" fontId="54" fillId="2" borderId="97" xfId="0" applyFont="1" applyFill="1" applyBorder="1" applyAlignment="1" applyProtection="1">
      <alignment horizontal="center" vertical="center"/>
    </xf>
    <xf numFmtId="0" fontId="46" fillId="0" borderId="8" xfId="0" applyFont="1" applyBorder="1" applyAlignment="1" applyProtection="1">
      <alignment horizontal="center" vertical="center"/>
      <protection locked="0"/>
    </xf>
    <xf numFmtId="188" fontId="46" fillId="2" borderId="15" xfId="0" applyNumberFormat="1" applyFont="1" applyFill="1" applyBorder="1" applyAlignment="1" applyProtection="1">
      <alignment horizontal="center" vertical="center"/>
    </xf>
    <xf numFmtId="0" fontId="46" fillId="6" borderId="0" xfId="0" applyFont="1" applyFill="1" applyAlignment="1" applyProtection="1">
      <alignment vertical="center"/>
      <protection locked="0"/>
    </xf>
    <xf numFmtId="0" fontId="20" fillId="6" borderId="0" xfId="0" applyFont="1" applyFill="1" applyAlignment="1" applyProtection="1">
      <alignment vertical="center"/>
      <protection locked="0"/>
    </xf>
    <xf numFmtId="0" fontId="20"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7" fillId="7" borderId="0" xfId="0" applyFont="1" applyFill="1" applyAlignment="1" applyProtection="1">
      <alignment horizontal="left" vertical="center"/>
      <protection locked="0"/>
    </xf>
    <xf numFmtId="0" fontId="17" fillId="7" borderId="0" xfId="0" applyFont="1" applyFill="1" applyAlignment="1" applyProtection="1">
      <alignment vertical="center"/>
      <protection locked="0"/>
    </xf>
    <xf numFmtId="0" fontId="17" fillId="7" borderId="0" xfId="0" applyFont="1" applyFill="1" applyAlignment="1" applyProtection="1">
      <alignment horizontal="center" vertical="center"/>
      <protection locked="0"/>
    </xf>
    <xf numFmtId="0" fontId="17" fillId="6" borderId="0" xfId="0" applyFont="1" applyFill="1" applyAlignment="1" applyProtection="1">
      <alignment vertical="center"/>
      <protection locked="0"/>
    </xf>
    <xf numFmtId="0" fontId="33" fillId="2" borderId="59" xfId="59" applyFont="1" applyFill="1" applyBorder="1" applyAlignment="1" applyProtection="1">
      <alignment vertical="center"/>
    </xf>
    <xf numFmtId="0" fontId="36" fillId="2" borderId="78" xfId="59" applyFont="1" applyFill="1" applyBorder="1" applyAlignment="1" applyProtection="1">
      <alignment vertical="center"/>
    </xf>
    <xf numFmtId="0" fontId="36" fillId="2" borderId="55" xfId="59" applyFont="1" applyFill="1" applyBorder="1" applyAlignment="1" applyProtection="1">
      <alignment vertical="center"/>
      <protection locked="0"/>
    </xf>
    <xf numFmtId="0" fontId="36" fillId="2" borderId="0" xfId="59" applyFont="1" applyFill="1" applyBorder="1" applyAlignment="1" applyProtection="1">
      <alignment vertical="center"/>
      <protection locked="0"/>
    </xf>
    <xf numFmtId="0" fontId="36" fillId="2" borderId="9" xfId="59" applyFont="1" applyFill="1" applyBorder="1" applyAlignment="1" applyProtection="1">
      <alignment horizontal="right" vertical="center"/>
    </xf>
    <xf numFmtId="0" fontId="36" fillId="9" borderId="0" xfId="59" applyFont="1" applyFill="1" applyBorder="1" applyAlignment="1" applyProtection="1">
      <alignment vertical="center"/>
      <protection locked="0"/>
    </xf>
    <xf numFmtId="0" fontId="50" fillId="2" borderId="9" xfId="59" applyFont="1" applyFill="1" applyBorder="1" applyAlignment="1" applyProtection="1">
      <alignment vertical="center"/>
    </xf>
    <xf numFmtId="0" fontId="37" fillId="2" borderId="9" xfId="0" applyFont="1" applyFill="1" applyBorder="1" applyAlignment="1" applyProtection="1">
      <alignment vertical="center"/>
    </xf>
    <xf numFmtId="0" fontId="36" fillId="2" borderId="1" xfId="0" applyFont="1" applyFill="1" applyBorder="1" applyAlignment="1" applyProtection="1">
      <alignment vertical="center"/>
    </xf>
    <xf numFmtId="0" fontId="27" fillId="9" borderId="0" xfId="0" applyFont="1" applyFill="1" applyAlignment="1" applyProtection="1">
      <alignment horizontal="center" vertical="center"/>
      <protection locked="0"/>
    </xf>
    <xf numFmtId="0" fontId="36" fillId="2" borderId="0" xfId="59" applyFont="1" applyFill="1" applyBorder="1" applyAlignment="1" applyProtection="1">
      <alignment vertical="center"/>
    </xf>
    <xf numFmtId="0" fontId="36" fillId="2" borderId="18" xfId="0" applyFont="1" applyFill="1" applyBorder="1" applyAlignment="1" applyProtection="1">
      <alignment vertical="center"/>
    </xf>
    <xf numFmtId="0" fontId="57" fillId="2" borderId="58" xfId="0" applyFont="1" applyFill="1" applyBorder="1" applyAlignment="1" applyProtection="1">
      <alignment horizontal="left" vertical="center"/>
    </xf>
    <xf numFmtId="0" fontId="20" fillId="2" borderId="4" xfId="59" applyFont="1" applyFill="1" applyBorder="1" applyAlignment="1" applyProtection="1">
      <alignment horizontal="left" vertical="center"/>
    </xf>
    <xf numFmtId="0" fontId="20" fillId="2" borderId="39" xfId="59" applyFont="1" applyFill="1" applyBorder="1" applyAlignment="1" applyProtection="1">
      <alignment vertical="center"/>
    </xf>
    <xf numFmtId="178" fontId="20" fillId="2" borderId="5" xfId="59" applyNumberFormat="1" applyFont="1" applyFill="1" applyBorder="1" applyAlignment="1" applyProtection="1">
      <alignment horizontal="center" vertical="center"/>
    </xf>
    <xf numFmtId="0" fontId="20" fillId="2" borderId="5" xfId="59" applyFont="1" applyFill="1" applyBorder="1" applyAlignment="1" applyProtection="1">
      <alignment horizontal="center" vertical="center"/>
    </xf>
    <xf numFmtId="0" fontId="2" fillId="2" borderId="13" xfId="59" applyFont="1" applyFill="1" applyBorder="1" applyAlignment="1" applyProtection="1">
      <alignment horizontal="left" vertical="center"/>
    </xf>
    <xf numFmtId="49" fontId="20" fillId="2" borderId="6" xfId="59" applyNumberFormat="1" applyFont="1" applyFill="1" applyBorder="1" applyAlignment="1" applyProtection="1">
      <alignment horizontal="left" vertical="center"/>
    </xf>
    <xf numFmtId="0" fontId="20" fillId="2" borderId="10" xfId="59" applyFont="1" applyFill="1" applyBorder="1" applyAlignment="1" applyProtection="1">
      <alignment vertical="center"/>
    </xf>
    <xf numFmtId="178" fontId="20" fillId="2" borderId="1" xfId="59" applyNumberFormat="1" applyFont="1" applyFill="1" applyBorder="1" applyAlignment="1" applyProtection="1">
      <alignment horizontal="center" vertical="center"/>
    </xf>
    <xf numFmtId="0" fontId="20" fillId="2" borderId="1" xfId="59" applyFont="1" applyFill="1" applyBorder="1" applyAlignment="1" applyProtection="1">
      <alignment horizontal="center" vertical="center"/>
    </xf>
    <xf numFmtId="0" fontId="58" fillId="3" borderId="14" xfId="59" applyFont="1" applyFill="1" applyBorder="1" applyAlignment="1" applyProtection="1">
      <alignment vertical="center"/>
      <protection locked="0"/>
    </xf>
    <xf numFmtId="0" fontId="59" fillId="2" borderId="10" xfId="59" applyFont="1" applyFill="1" applyBorder="1" applyAlignment="1" applyProtection="1">
      <alignment vertical="center"/>
    </xf>
    <xf numFmtId="178" fontId="17" fillId="0" borderId="1" xfId="59" applyNumberFormat="1" applyFont="1" applyFill="1" applyBorder="1" applyAlignment="1" applyProtection="1">
      <alignment horizontal="center" vertical="center"/>
      <protection locked="0"/>
    </xf>
    <xf numFmtId="0" fontId="17" fillId="0" borderId="1" xfId="59" applyFont="1" applyFill="1" applyBorder="1" applyAlignment="1" applyProtection="1">
      <alignment horizontal="center" vertical="center"/>
      <protection locked="0"/>
    </xf>
    <xf numFmtId="0" fontId="20" fillId="2" borderId="14" xfId="59" applyFont="1" applyFill="1" applyBorder="1" applyAlignment="1" applyProtection="1">
      <alignment horizontal="left" vertical="center"/>
    </xf>
    <xf numFmtId="182" fontId="20" fillId="2" borderId="1" xfId="59" applyNumberFormat="1" applyFont="1" applyFill="1" applyBorder="1" applyAlignment="1" applyProtection="1">
      <alignment horizontal="center" vertical="center"/>
    </xf>
    <xf numFmtId="9" fontId="20" fillId="2" borderId="10" xfId="59" applyNumberFormat="1" applyFont="1" applyFill="1" applyBorder="1" applyAlignment="1" applyProtection="1">
      <alignment horizontal="center" vertical="center"/>
    </xf>
    <xf numFmtId="0" fontId="17" fillId="2" borderId="14" xfId="59" applyFont="1" applyFill="1" applyBorder="1" applyAlignment="1" applyProtection="1">
      <alignment vertical="center" wrapText="1"/>
    </xf>
    <xf numFmtId="0" fontId="17" fillId="2" borderId="10" xfId="59" applyFont="1" applyFill="1" applyBorder="1" applyAlignment="1" applyProtection="1">
      <alignment vertical="center"/>
    </xf>
    <xf numFmtId="178" fontId="17" fillId="2" borderId="1" xfId="59" applyNumberFormat="1" applyFont="1" applyFill="1" applyBorder="1" applyAlignment="1" applyProtection="1">
      <alignment horizontal="center" vertical="center"/>
    </xf>
    <xf numFmtId="178" fontId="17" fillId="2" borderId="1" xfId="59" applyNumberFormat="1" applyFont="1" applyFill="1" applyBorder="1" applyAlignment="1" applyProtection="1">
      <alignment vertical="center"/>
    </xf>
    <xf numFmtId="10" fontId="17" fillId="2" borderId="1" xfId="59" applyNumberFormat="1" applyFont="1" applyFill="1" applyBorder="1" applyAlignment="1" applyProtection="1">
      <alignment horizontal="center" vertical="center"/>
    </xf>
    <xf numFmtId="0" fontId="1" fillId="2" borderId="14" xfId="59" applyFont="1" applyFill="1" applyBorder="1" applyAlignment="1" applyProtection="1">
      <alignment horizontal="left" vertical="center"/>
    </xf>
    <xf numFmtId="49" fontId="2" fillId="2" borderId="6" xfId="59" applyNumberFormat="1" applyFont="1" applyFill="1" applyBorder="1" applyAlignment="1" applyProtection="1">
      <alignment horizontal="left" vertical="center"/>
    </xf>
    <xf numFmtId="0" fontId="60" fillId="2" borderId="10" xfId="59" applyFont="1" applyFill="1" applyBorder="1" applyAlignment="1" applyProtection="1">
      <alignment vertical="center"/>
    </xf>
    <xf numFmtId="178" fontId="60" fillId="2" borderId="1" xfId="59" applyNumberFormat="1" applyFont="1" applyFill="1" applyBorder="1" applyAlignment="1" applyProtection="1">
      <alignment horizontal="center" vertical="center"/>
    </xf>
    <xf numFmtId="0" fontId="61" fillId="2" borderId="10" xfId="59" applyFont="1" applyFill="1" applyBorder="1" applyAlignment="1" applyProtection="1">
      <alignment vertical="center"/>
    </xf>
    <xf numFmtId="178" fontId="60" fillId="0" borderId="1" xfId="59" applyNumberFormat="1" applyFont="1" applyFill="1" applyBorder="1" applyAlignment="1" applyProtection="1">
      <alignment horizontal="center" vertical="center"/>
      <protection locked="0"/>
    </xf>
    <xf numFmtId="10" fontId="17" fillId="2" borderId="10" xfId="59" applyNumberFormat="1" applyFont="1" applyFill="1" applyBorder="1" applyAlignment="1" applyProtection="1">
      <alignment horizontal="center" vertical="center"/>
    </xf>
    <xf numFmtId="0" fontId="1" fillId="2" borderId="14" xfId="59" applyFont="1" applyFill="1" applyBorder="1" applyAlignment="1" applyProtection="1">
      <alignment vertical="center" wrapText="1"/>
    </xf>
    <xf numFmtId="49" fontId="20" fillId="2" borderId="6" xfId="0" applyNumberFormat="1" applyFont="1" applyFill="1" applyBorder="1" applyAlignment="1" applyProtection="1">
      <alignment horizontal="left" vertical="center"/>
    </xf>
    <xf numFmtId="0" fontId="20" fillId="2" borderId="1" xfId="0" applyNumberFormat="1" applyFont="1" applyFill="1" applyBorder="1" applyAlignment="1" applyProtection="1">
      <alignment horizontal="center" vertical="center"/>
    </xf>
    <xf numFmtId="0" fontId="20" fillId="2" borderId="1" xfId="0" applyFont="1" applyFill="1" applyBorder="1" applyAlignment="1" applyProtection="1">
      <alignment horizontal="right" vertical="center"/>
    </xf>
    <xf numFmtId="0" fontId="20" fillId="2" borderId="1" xfId="0" applyFont="1" applyFill="1" applyBorder="1" applyAlignment="1" applyProtection="1">
      <alignment horizontal="left" vertical="center"/>
    </xf>
    <xf numFmtId="10" fontId="20" fillId="2" borderId="10" xfId="59" applyNumberFormat="1" applyFont="1" applyFill="1" applyBorder="1" applyAlignment="1" applyProtection="1">
      <alignment horizontal="center" vertical="center"/>
    </xf>
    <xf numFmtId="0" fontId="20" fillId="2" borderId="14" xfId="0" applyFont="1" applyFill="1" applyBorder="1" applyAlignment="1" applyProtection="1">
      <alignment vertical="center" wrapText="1"/>
    </xf>
    <xf numFmtId="0" fontId="3" fillId="6" borderId="0" xfId="0" applyFont="1" applyFill="1" applyAlignment="1" applyProtection="1">
      <alignment vertical="center"/>
      <protection locked="0"/>
    </xf>
    <xf numFmtId="9" fontId="20" fillId="0" borderId="10" xfId="59" applyNumberFormat="1" applyFont="1" applyFill="1" applyBorder="1" applyAlignment="1" applyProtection="1">
      <alignment horizontal="center" vertical="center"/>
      <protection locked="0"/>
    </xf>
    <xf numFmtId="0" fontId="20" fillId="2" borderId="10" xfId="59" applyNumberFormat="1" applyFont="1" applyFill="1" applyBorder="1" applyAlignment="1" applyProtection="1">
      <alignment horizontal="center" vertical="center"/>
    </xf>
    <xf numFmtId="49" fontId="20" fillId="2" borderId="7" xfId="59" applyNumberFormat="1" applyFont="1" applyFill="1" applyBorder="1" applyAlignment="1" applyProtection="1">
      <alignment horizontal="left" vertical="center"/>
    </xf>
    <xf numFmtId="0" fontId="20" fillId="2" borderId="42" xfId="59" applyFont="1" applyFill="1" applyBorder="1" applyAlignment="1" applyProtection="1">
      <alignment vertical="center"/>
    </xf>
    <xf numFmtId="178" fontId="20" fillId="2" borderId="8" xfId="59" applyNumberFormat="1" applyFont="1" applyFill="1" applyBorder="1" applyAlignment="1" applyProtection="1">
      <alignment horizontal="center" vertical="center"/>
    </xf>
    <xf numFmtId="182" fontId="20" fillId="2" borderId="8" xfId="59" applyNumberFormat="1" applyFont="1" applyFill="1" applyBorder="1" applyAlignment="1" applyProtection="1">
      <alignment horizontal="center" vertical="center"/>
    </xf>
    <xf numFmtId="9" fontId="20" fillId="2" borderId="42" xfId="59" applyNumberFormat="1" applyFont="1" applyFill="1" applyBorder="1" applyAlignment="1" applyProtection="1">
      <alignment horizontal="center" vertical="center"/>
    </xf>
    <xf numFmtId="0" fontId="20" fillId="2" borderId="15" xfId="0" applyFont="1" applyFill="1" applyBorder="1" applyAlignment="1" applyProtection="1">
      <alignment vertical="center" wrapText="1"/>
    </xf>
    <xf numFmtId="0" fontId="17" fillId="0" borderId="0" xfId="0" applyFont="1" applyFill="1" applyAlignment="1" applyProtection="1">
      <alignment horizontal="left" vertical="center"/>
      <protection locked="0"/>
    </xf>
    <xf numFmtId="0" fontId="62" fillId="2" borderId="64" xfId="0" applyFont="1" applyFill="1" applyBorder="1" applyAlignment="1">
      <alignment horizontal="left" vertical="center"/>
    </xf>
    <xf numFmtId="0" fontId="62" fillId="2" borderId="12" xfId="0" applyFont="1" applyFill="1" applyBorder="1" applyAlignment="1">
      <alignment horizontal="left" vertical="center"/>
    </xf>
    <xf numFmtId="0" fontId="62" fillId="2" borderId="11" xfId="0" applyFont="1" applyFill="1" applyBorder="1" applyAlignment="1">
      <alignment horizontal="left" vertical="center"/>
    </xf>
    <xf numFmtId="0" fontId="63" fillId="2" borderId="1" xfId="0" applyFont="1" applyFill="1" applyBorder="1" applyAlignment="1">
      <alignment horizontal="center" vertical="center"/>
    </xf>
    <xf numFmtId="0" fontId="2" fillId="2" borderId="6" xfId="0" applyFont="1" applyFill="1" applyBorder="1" applyAlignment="1">
      <alignment horizontal="left"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0" fontId="64" fillId="0" borderId="1" xfId="0" applyFont="1" applyFill="1" applyBorder="1" applyAlignment="1">
      <alignment horizontal="center" vertical="center"/>
    </xf>
    <xf numFmtId="0" fontId="0" fillId="0" borderId="1" xfId="0" applyFill="1" applyBorder="1" applyAlignment="1">
      <alignment vertical="center"/>
    </xf>
    <xf numFmtId="0" fontId="6" fillId="0" borderId="1" xfId="0" applyFont="1" applyFill="1" applyBorder="1" applyAlignment="1">
      <alignment horizontal="center" vertical="center" wrapText="1"/>
    </xf>
    <xf numFmtId="0" fontId="64" fillId="0" borderId="1" xfId="0" applyFont="1" applyFill="1" applyBorder="1" applyAlignment="1">
      <alignment vertical="center"/>
    </xf>
    <xf numFmtId="0" fontId="2" fillId="2" borderId="1" xfId="0" applyFont="1" applyFill="1" applyBorder="1" applyAlignment="1">
      <alignment horizontal="left" vertical="center" wrapText="1"/>
    </xf>
    <xf numFmtId="9" fontId="11" fillId="0" borderId="1" xfId="0" applyNumberFormat="1" applyFont="1" applyFill="1" applyBorder="1" applyAlignment="1">
      <alignment horizontal="center" vertical="center"/>
    </xf>
    <xf numFmtId="0" fontId="11" fillId="2" borderId="75" xfId="0" applyFont="1" applyFill="1" applyBorder="1" applyAlignment="1">
      <alignment vertical="center"/>
    </xf>
    <xf numFmtId="0" fontId="11" fillId="2" borderId="54" xfId="0" applyFont="1" applyFill="1" applyBorder="1" applyAlignment="1">
      <alignment vertical="center"/>
    </xf>
    <xf numFmtId="0" fontId="11" fillId="2" borderId="58" xfId="0" applyFont="1" applyFill="1" applyBorder="1" applyAlignment="1">
      <alignment vertical="center"/>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11" fillId="2" borderId="32" xfId="0" applyFont="1" applyFill="1" applyBorder="1" applyAlignment="1">
      <alignment vertical="center"/>
    </xf>
    <xf numFmtId="0" fontId="11" fillId="2" borderId="17" xfId="0" applyFont="1" applyFill="1" applyBorder="1" applyAlignment="1">
      <alignment vertical="center"/>
    </xf>
    <xf numFmtId="0" fontId="11" fillId="2" borderId="43" xfId="0" applyFont="1" applyFill="1" applyBorder="1" applyAlignment="1">
      <alignment vertical="center"/>
    </xf>
    <xf numFmtId="0" fontId="11" fillId="0" borderId="8" xfId="0" applyFont="1" applyFill="1" applyBorder="1" applyAlignment="1">
      <alignment horizontal="center" vertical="center"/>
    </xf>
    <xf numFmtId="9" fontId="11" fillId="0" borderId="8" xfId="0" applyNumberFormat="1" applyFont="1" applyFill="1" applyBorder="1" applyAlignment="1">
      <alignment horizontal="center" vertical="center"/>
    </xf>
    <xf numFmtId="178" fontId="11" fillId="0" borderId="8" xfId="0" applyNumberFormat="1" applyFont="1" applyFill="1" applyBorder="1" applyAlignment="1">
      <alignment horizontal="center" vertical="center"/>
    </xf>
    <xf numFmtId="0" fontId="11" fillId="10" borderId="1" xfId="0" applyFont="1" applyFill="1" applyBorder="1" applyAlignment="1">
      <alignment vertical="center"/>
    </xf>
    <xf numFmtId="0" fontId="2" fillId="10" borderId="1" xfId="0" applyFont="1" applyFill="1" applyBorder="1" applyAlignment="1">
      <alignment horizontal="center" vertical="center"/>
    </xf>
    <xf numFmtId="0" fontId="65" fillId="0" borderId="0" xfId="0" applyFont="1">
      <alignment vertical="center"/>
    </xf>
    <xf numFmtId="0" fontId="1" fillId="0" borderId="1" xfId="0" applyFont="1" applyBorder="1" applyAlignment="1">
      <alignment horizontal="center"/>
    </xf>
    <xf numFmtId="0" fontId="1" fillId="0" borderId="1" xfId="0" applyFont="1" applyBorder="1" applyAlignment="1"/>
    <xf numFmtId="49" fontId="1" fillId="0" borderId="1" xfId="0" applyNumberFormat="1" applyFont="1" applyBorder="1" applyAlignment="1">
      <alignment horizontal="center"/>
    </xf>
    <xf numFmtId="9" fontId="1" fillId="0" borderId="1" xfId="0" applyNumberFormat="1" applyFont="1" applyBorder="1" applyAlignment="1"/>
    <xf numFmtId="0" fontId="11" fillId="10" borderId="10" xfId="0" applyFont="1" applyFill="1" applyBorder="1" applyAlignment="1">
      <alignment horizontal="left" vertical="center"/>
    </xf>
    <xf numFmtId="0" fontId="11" fillId="10" borderId="12" xfId="0" applyFont="1" applyFill="1" applyBorder="1" applyAlignment="1">
      <alignment horizontal="left" vertical="center"/>
    </xf>
    <xf numFmtId="0" fontId="11" fillId="10" borderId="11" xfId="0" applyFont="1" applyFill="1" applyBorder="1" applyAlignment="1">
      <alignment horizontal="left" vertical="center"/>
    </xf>
    <xf numFmtId="0" fontId="1" fillId="0" borderId="1" xfId="0" applyFont="1" applyFill="1" applyBorder="1" applyAlignment="1">
      <alignment horizontal="center"/>
    </xf>
    <xf numFmtId="0" fontId="63" fillId="2" borderId="14" xfId="0" applyFont="1" applyFill="1" applyBorder="1" applyAlignment="1">
      <alignment horizontal="center" vertical="center"/>
    </xf>
    <xf numFmtId="178" fontId="1" fillId="0" borderId="14" xfId="0" applyNumberFormat="1" applyFont="1" applyFill="1" applyBorder="1" applyAlignment="1">
      <alignment horizontal="center" vertical="center"/>
    </xf>
    <xf numFmtId="0" fontId="1" fillId="0" borderId="14" xfId="0" applyFont="1" applyFill="1" applyBorder="1" applyAlignment="1">
      <alignment horizontal="center" vertical="center"/>
    </xf>
    <xf numFmtId="0" fontId="2" fillId="0" borderId="14" xfId="0" applyFont="1" applyFill="1" applyBorder="1" applyAlignment="1">
      <alignment horizontal="center" vertical="center"/>
    </xf>
    <xf numFmtId="0" fontId="11" fillId="0" borderId="14" xfId="0" applyFont="1" applyFill="1" applyBorder="1" applyAlignment="1">
      <alignment horizontal="center" vertical="center"/>
    </xf>
    <xf numFmtId="0" fontId="6"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7"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49" fontId="46" fillId="0" borderId="0" xfId="0" applyNumberFormat="1"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46" fillId="0" borderId="0" xfId="0" applyFont="1" applyFill="1" applyAlignment="1" applyProtection="1">
      <alignment vertical="center"/>
      <protection locked="0"/>
    </xf>
    <xf numFmtId="0" fontId="46" fillId="0" borderId="0" xfId="0" applyFont="1" applyFill="1" applyAlignment="1" applyProtection="1">
      <alignment horizontal="left" vertical="center"/>
      <protection locked="0"/>
    </xf>
    <xf numFmtId="49" fontId="35" fillId="2" borderId="89" xfId="0" applyNumberFormat="1" applyFont="1" applyFill="1" applyBorder="1" applyAlignment="1" applyProtection="1"/>
    <xf numFmtId="0" fontId="67" fillId="2" borderId="0" xfId="0" applyFont="1" applyFill="1" applyAlignment="1" applyProtection="1">
      <alignment horizontal="center" vertical="center"/>
    </xf>
    <xf numFmtId="49" fontId="34" fillId="5" borderId="98" xfId="0" applyNumberFormat="1" applyFont="1" applyFill="1" applyBorder="1" applyAlignment="1" applyProtection="1">
      <alignment horizontal="left"/>
      <protection locked="0"/>
    </xf>
    <xf numFmtId="0" fontId="27" fillId="2" borderId="0" xfId="0" applyFont="1" applyFill="1" applyAlignment="1" applyProtection="1">
      <alignment vertical="center"/>
      <protection locked="0"/>
    </xf>
    <xf numFmtId="49" fontId="64" fillId="2" borderId="0" xfId="0" applyNumberFormat="1" applyFont="1" applyFill="1" applyBorder="1" applyAlignment="1" applyProtection="1">
      <alignment horizontal="center"/>
    </xf>
    <xf numFmtId="0" fontId="46" fillId="2" borderId="0" xfId="0" applyNumberFormat="1" applyFont="1" applyFill="1" applyBorder="1" applyAlignment="1" applyProtection="1">
      <alignment horizontal="center"/>
    </xf>
    <xf numFmtId="178" fontId="34" fillId="2" borderId="89" xfId="0" applyNumberFormat="1" applyFont="1" applyFill="1" applyBorder="1" applyAlignment="1" applyProtection="1"/>
    <xf numFmtId="0" fontId="27" fillId="2" borderId="0" xfId="0" applyFont="1" applyFill="1" applyAlignment="1" applyProtection="1">
      <alignment vertical="center"/>
    </xf>
    <xf numFmtId="49" fontId="36" fillId="2" borderId="1" xfId="59" applyNumberFormat="1" applyFont="1" applyFill="1" applyBorder="1" applyAlignment="1" applyProtection="1">
      <alignment vertical="center"/>
    </xf>
    <xf numFmtId="0" fontId="46" fillId="2" borderId="0" xfId="0" applyFont="1" applyFill="1" applyBorder="1" applyAlignment="1" applyProtection="1">
      <alignment vertical="center"/>
    </xf>
    <xf numFmtId="0" fontId="46" fillId="2" borderId="0" xfId="0" applyFont="1" applyFill="1" applyBorder="1" applyAlignment="1" applyProtection="1">
      <alignment vertical="center"/>
      <protection locked="0"/>
    </xf>
    <xf numFmtId="49" fontId="36" fillId="2" borderId="0" xfId="0" applyNumberFormat="1" applyFont="1" applyFill="1" applyBorder="1" applyAlignment="1" applyProtection="1">
      <protection locked="0"/>
    </xf>
    <xf numFmtId="178" fontId="36" fillId="2" borderId="0" xfId="0" applyNumberFormat="1" applyFont="1" applyFill="1" applyBorder="1" applyAlignment="1" applyProtection="1"/>
    <xf numFmtId="49" fontId="36" fillId="2" borderId="0" xfId="0" applyNumberFormat="1" applyFont="1" applyFill="1" applyBorder="1" applyAlignment="1" applyProtection="1">
      <alignment horizontal="center"/>
    </xf>
    <xf numFmtId="49" fontId="50" fillId="2" borderId="1" xfId="59" applyNumberFormat="1" applyFont="1" applyFill="1" applyBorder="1" applyAlignment="1" applyProtection="1">
      <alignment vertical="center"/>
    </xf>
    <xf numFmtId="0" fontId="25" fillId="2" borderId="1" xfId="0" applyFont="1" applyFill="1" applyBorder="1" applyAlignment="1" applyProtection="1">
      <alignment horizontal="right" vertical="center"/>
    </xf>
    <xf numFmtId="49" fontId="34" fillId="2" borderId="0" xfId="0" applyNumberFormat="1" applyFont="1" applyFill="1" applyBorder="1" applyAlignment="1" applyProtection="1">
      <alignment horizontal="center"/>
    </xf>
    <xf numFmtId="49" fontId="37" fillId="2" borderId="35" xfId="0" applyNumberFormat="1" applyFont="1" applyFill="1" applyBorder="1" applyAlignment="1" applyProtection="1">
      <alignment vertical="center"/>
    </xf>
    <xf numFmtId="0" fontId="36" fillId="2" borderId="3" xfId="0" applyFont="1" applyFill="1" applyBorder="1" applyAlignment="1" applyProtection="1">
      <alignment vertical="center"/>
    </xf>
    <xf numFmtId="0" fontId="27" fillId="2" borderId="0" xfId="0" applyFont="1" applyFill="1" applyAlignment="1" applyProtection="1">
      <alignment horizontal="center" vertical="center"/>
    </xf>
    <xf numFmtId="49" fontId="36" fillId="2" borderId="0" xfId="59" applyNumberFormat="1" applyFont="1" applyFill="1" applyBorder="1" applyAlignment="1" applyProtection="1">
      <alignment vertical="center"/>
    </xf>
    <xf numFmtId="49" fontId="16" fillId="2" borderId="69" xfId="0" applyNumberFormat="1" applyFont="1" applyFill="1" applyBorder="1" applyAlignment="1" applyProtection="1">
      <alignment horizontal="center" vertical="center"/>
    </xf>
    <xf numFmtId="0" fontId="16" fillId="2" borderId="41" xfId="0" applyFont="1" applyFill="1" applyBorder="1" applyAlignment="1" applyProtection="1">
      <alignment horizontal="center" vertical="center"/>
    </xf>
    <xf numFmtId="0" fontId="16" fillId="2" borderId="39" xfId="0" applyFont="1" applyFill="1" applyBorder="1" applyAlignment="1" applyProtection="1">
      <alignment horizontal="right" vertical="center"/>
    </xf>
    <xf numFmtId="0" fontId="16" fillId="2" borderId="44" xfId="0" applyFont="1" applyFill="1" applyBorder="1" applyAlignment="1" applyProtection="1">
      <alignment horizontal="center" vertical="center"/>
    </xf>
    <xf numFmtId="0" fontId="46" fillId="2" borderId="0" xfId="0" applyFont="1" applyFill="1" applyAlignment="1" applyProtection="1">
      <alignment vertical="center"/>
    </xf>
    <xf numFmtId="49" fontId="21" fillId="2" borderId="22" xfId="0" applyNumberFormat="1" applyFont="1" applyFill="1" applyBorder="1" applyAlignment="1" applyProtection="1">
      <alignment vertical="center"/>
    </xf>
    <xf numFmtId="0" fontId="21" fillId="2" borderId="9" xfId="0" applyFont="1" applyFill="1" applyBorder="1" applyAlignment="1" applyProtection="1">
      <alignment vertical="center" wrapText="1"/>
    </xf>
    <xf numFmtId="0" fontId="68" fillId="2" borderId="9" xfId="0" applyFont="1" applyFill="1" applyBorder="1" applyAlignment="1" applyProtection="1">
      <alignment vertical="center"/>
    </xf>
    <xf numFmtId="0" fontId="16" fillId="2" borderId="34" xfId="0" applyFont="1" applyFill="1" applyBorder="1" applyAlignment="1" applyProtection="1">
      <alignment horizontal="right" vertical="center"/>
    </xf>
    <xf numFmtId="0" fontId="16" fillId="2" borderId="66" xfId="0" applyFont="1" applyFill="1" applyBorder="1" applyAlignment="1" applyProtection="1">
      <alignment horizontal="center" vertical="center"/>
    </xf>
    <xf numFmtId="49" fontId="16" fillId="2" borderId="22" xfId="0" applyNumberFormat="1" applyFont="1" applyFill="1" applyBorder="1" applyAlignment="1" applyProtection="1">
      <alignment horizontal="left" vertical="center"/>
    </xf>
    <xf numFmtId="0" fontId="69" fillId="2" borderId="9" xfId="0" applyFont="1" applyFill="1" applyBorder="1" applyAlignment="1" applyProtection="1">
      <alignment vertical="top" wrapText="1"/>
    </xf>
    <xf numFmtId="0" fontId="21" fillId="2" borderId="58" xfId="0" applyFont="1" applyFill="1" applyBorder="1" applyAlignment="1" applyProtection="1">
      <alignment horizontal="center" vertical="center"/>
    </xf>
    <xf numFmtId="0" fontId="16" fillId="2" borderId="58" xfId="0" applyFont="1" applyFill="1" applyBorder="1" applyAlignment="1" applyProtection="1">
      <alignment vertical="center"/>
    </xf>
    <xf numFmtId="0" fontId="16" fillId="2" borderId="11" xfId="0" applyFont="1" applyFill="1" applyBorder="1" applyAlignment="1" applyProtection="1">
      <alignment horizontal="left" vertical="center"/>
    </xf>
    <xf numFmtId="0" fontId="21" fillId="2" borderId="14" xfId="0" applyFont="1" applyFill="1" applyBorder="1" applyAlignment="1" applyProtection="1">
      <alignment horizontal="center" vertical="center"/>
    </xf>
    <xf numFmtId="49" fontId="16" fillId="2" borderId="22" xfId="0" applyNumberFormat="1" applyFont="1" applyFill="1" applyBorder="1" applyAlignment="1" applyProtection="1">
      <alignment horizontal="center" vertical="center"/>
    </xf>
    <xf numFmtId="49" fontId="16" fillId="2" borderId="35" xfId="0" applyNumberFormat="1" applyFont="1" applyFill="1" applyBorder="1" applyAlignment="1" applyProtection="1">
      <alignment horizontal="left" vertical="center"/>
    </xf>
    <xf numFmtId="0" fontId="69" fillId="2" borderId="74" xfId="0" applyFont="1" applyFill="1" applyBorder="1" applyAlignment="1" applyProtection="1">
      <alignment vertical="top" wrapText="1"/>
    </xf>
    <xf numFmtId="0" fontId="21" fillId="2" borderId="74" xfId="0" applyFont="1" applyFill="1" applyBorder="1" applyAlignment="1" applyProtection="1">
      <alignment horizontal="center" vertical="center"/>
    </xf>
    <xf numFmtId="0" fontId="16" fillId="2" borderId="74" xfId="0" applyFont="1" applyFill="1" applyBorder="1" applyAlignment="1" applyProtection="1">
      <alignment vertical="center"/>
    </xf>
    <xf numFmtId="49" fontId="16" fillId="2" borderId="68" xfId="0" applyNumberFormat="1" applyFont="1" applyFill="1" applyBorder="1" applyAlignment="1" applyProtection="1">
      <alignment horizontal="center" vertical="center"/>
    </xf>
    <xf numFmtId="49" fontId="16" fillId="2" borderId="74" xfId="0" applyNumberFormat="1" applyFont="1" applyFill="1" applyBorder="1" applyAlignment="1" applyProtection="1">
      <alignment horizontal="left" vertical="center"/>
    </xf>
    <xf numFmtId="0" fontId="69" fillId="2" borderId="35" xfId="0" applyFont="1" applyFill="1" applyBorder="1" applyAlignment="1" applyProtection="1">
      <alignment vertical="top" wrapText="1"/>
    </xf>
    <xf numFmtId="49" fontId="21" fillId="2" borderId="68" xfId="0" applyNumberFormat="1" applyFont="1" applyFill="1" applyBorder="1" applyAlignment="1" applyProtection="1">
      <alignment vertical="center"/>
    </xf>
    <xf numFmtId="0" fontId="69" fillId="2" borderId="3" xfId="0" applyFont="1" applyFill="1" applyBorder="1" applyAlignment="1" applyProtection="1">
      <alignment vertical="top" wrapText="1"/>
    </xf>
    <xf numFmtId="177" fontId="21" fillId="2" borderId="14" xfId="0" applyNumberFormat="1" applyFont="1" applyFill="1" applyBorder="1" applyAlignment="1" applyProtection="1">
      <alignment horizontal="center" vertical="center"/>
    </xf>
    <xf numFmtId="49" fontId="21" fillId="2" borderId="68" xfId="0" applyNumberFormat="1" applyFont="1" applyFill="1" applyBorder="1" applyAlignment="1" applyProtection="1">
      <alignment horizontal="center" vertical="center"/>
    </xf>
    <xf numFmtId="0" fontId="24" fillId="2" borderId="58" xfId="0" applyFont="1" applyFill="1" applyBorder="1" applyAlignment="1" applyProtection="1">
      <alignment vertical="center" wrapText="1"/>
    </xf>
    <xf numFmtId="0" fontId="24" fillId="2" borderId="58" xfId="0" applyFont="1" applyFill="1" applyBorder="1" applyAlignment="1" applyProtection="1">
      <alignment vertical="center"/>
    </xf>
    <xf numFmtId="0" fontId="24" fillId="2" borderId="9" xfId="0" applyFont="1" applyFill="1" applyBorder="1" applyAlignment="1" applyProtection="1">
      <alignment horizontal="left" vertical="center"/>
    </xf>
    <xf numFmtId="177" fontId="21" fillId="3" borderId="57" xfId="0" applyNumberFormat="1" applyFont="1" applyFill="1" applyBorder="1" applyAlignment="1" applyProtection="1">
      <alignment horizontal="center" vertical="center"/>
      <protection locked="0"/>
    </xf>
    <xf numFmtId="49" fontId="16" fillId="2" borderId="75" xfId="0" applyNumberFormat="1" applyFont="1" applyFill="1" applyBorder="1" applyAlignment="1" applyProtection="1">
      <alignment horizontal="center" vertical="center"/>
    </xf>
    <xf numFmtId="49" fontId="21" fillId="2" borderId="29" xfId="0" applyNumberFormat="1" applyFont="1" applyFill="1" applyBorder="1" applyAlignment="1" applyProtection="1">
      <alignment vertical="center"/>
    </xf>
    <xf numFmtId="0" fontId="70" fillId="2" borderId="1" xfId="0" applyFont="1" applyFill="1" applyBorder="1" applyAlignment="1" applyProtection="1">
      <alignment horizontal="right" vertical="center" wrapText="1"/>
    </xf>
    <xf numFmtId="0" fontId="21" fillId="2" borderId="1" xfId="0" applyFont="1" applyFill="1" applyBorder="1" applyAlignment="1" applyProtection="1">
      <alignment horizontal="center" vertical="center"/>
      <protection locked="0"/>
    </xf>
    <xf numFmtId="0" fontId="16" fillId="2" borderId="35" xfId="0" applyFont="1" applyFill="1" applyBorder="1" applyAlignment="1" applyProtection="1">
      <alignment vertical="center"/>
    </xf>
    <xf numFmtId="177" fontId="21" fillId="2" borderId="57" xfId="0" applyNumberFormat="1" applyFont="1" applyFill="1" applyBorder="1" applyAlignment="1" applyProtection="1">
      <alignment horizontal="center" vertical="center"/>
    </xf>
    <xf numFmtId="49" fontId="21" fillId="2" borderId="65" xfId="0" applyNumberFormat="1" applyFont="1" applyFill="1" applyBorder="1" applyAlignment="1" applyProtection="1">
      <alignment horizontal="center" vertical="center"/>
    </xf>
    <xf numFmtId="49" fontId="16" fillId="2" borderId="99" xfId="0" applyNumberFormat="1" applyFont="1" applyFill="1" applyBorder="1" applyAlignment="1" applyProtection="1">
      <alignment vertical="center"/>
    </xf>
    <xf numFmtId="0" fontId="24" fillId="2" borderId="100" xfId="0" applyFont="1" applyFill="1" applyBorder="1" applyAlignment="1" applyProtection="1">
      <alignment vertical="center" wrapText="1"/>
    </xf>
    <xf numFmtId="0" fontId="21" fillId="0" borderId="83" xfId="0" applyFont="1" applyFill="1" applyBorder="1" applyAlignment="1" applyProtection="1">
      <alignment horizontal="center" vertical="center"/>
      <protection locked="0"/>
    </xf>
    <xf numFmtId="0" fontId="16" fillId="2" borderId="83" xfId="0" applyFont="1" applyFill="1" applyBorder="1" applyAlignment="1" applyProtection="1">
      <alignment vertical="center"/>
    </xf>
    <xf numFmtId="0" fontId="71" fillId="2" borderId="83" xfId="0" applyFont="1" applyFill="1" applyBorder="1" applyAlignment="1" applyProtection="1">
      <alignment horizontal="left" vertical="center"/>
    </xf>
    <xf numFmtId="177" fontId="21" fillId="2" borderId="87" xfId="0" applyNumberFormat="1" applyFont="1" applyFill="1" applyBorder="1" applyAlignment="1" applyProtection="1">
      <alignment horizontal="center" vertical="center"/>
    </xf>
    <xf numFmtId="49" fontId="16" fillId="2" borderId="99" xfId="0" applyNumberFormat="1" applyFont="1" applyFill="1" applyBorder="1" applyAlignment="1" applyProtection="1">
      <alignment horizontal="center" vertical="center"/>
    </xf>
    <xf numFmtId="49" fontId="21" fillId="2" borderId="29" xfId="0" applyNumberFormat="1"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3" xfId="0" applyFont="1" applyFill="1" applyBorder="1" applyAlignment="1" applyProtection="1">
      <alignment horizontal="center" vertical="center"/>
    </xf>
    <xf numFmtId="0" fontId="16" fillId="2" borderId="35" xfId="0" applyFont="1" applyFill="1" applyBorder="1" applyAlignment="1" applyProtection="1">
      <alignment horizontal="left" vertical="center"/>
    </xf>
    <xf numFmtId="0" fontId="16" fillId="2" borderId="9" xfId="0" applyFont="1" applyFill="1" applyBorder="1" applyAlignment="1" applyProtection="1">
      <alignment horizontal="left" vertical="center"/>
    </xf>
    <xf numFmtId="177" fontId="16" fillId="2" borderId="57" xfId="0" applyNumberFormat="1" applyFont="1" applyFill="1" applyBorder="1" applyAlignment="1" applyProtection="1">
      <alignment horizontal="center" vertical="center"/>
    </xf>
    <xf numFmtId="49" fontId="16" fillId="2" borderId="6" xfId="0" applyNumberFormat="1" applyFont="1" applyFill="1" applyBorder="1" applyAlignment="1" applyProtection="1">
      <alignment horizontal="left" vertical="center"/>
    </xf>
    <xf numFmtId="0" fontId="16" fillId="2" borderId="1" xfId="0" applyFont="1" applyFill="1" applyBorder="1" applyAlignment="1" applyProtection="1">
      <alignment horizontal="left" vertical="center"/>
    </xf>
    <xf numFmtId="0" fontId="72" fillId="2" borderId="10" xfId="0" applyFont="1" applyFill="1" applyBorder="1" applyAlignment="1" applyProtection="1">
      <alignment horizontal="center" vertical="center"/>
    </xf>
    <xf numFmtId="0" fontId="16" fillId="2" borderId="10" xfId="0" applyFont="1" applyFill="1" applyBorder="1" applyAlignment="1" applyProtection="1">
      <alignment horizontal="left" vertical="center" wrapText="1"/>
    </xf>
    <xf numFmtId="0" fontId="16" fillId="2" borderId="12" xfId="0" applyFont="1" applyFill="1" applyBorder="1" applyAlignment="1" applyProtection="1">
      <alignment horizontal="left" vertical="center" wrapText="1"/>
    </xf>
    <xf numFmtId="182" fontId="21" fillId="2" borderId="46" xfId="0" applyNumberFormat="1" applyFont="1" applyFill="1" applyBorder="1" applyAlignment="1" applyProtection="1">
      <alignment horizontal="center" vertical="center"/>
    </xf>
    <xf numFmtId="0" fontId="16" fillId="2" borderId="3" xfId="0" applyFont="1" applyFill="1" applyBorder="1" applyAlignment="1" applyProtection="1">
      <alignment horizontal="left" vertical="center"/>
    </xf>
    <xf numFmtId="177" fontId="16" fillId="2" borderId="72" xfId="0" applyNumberFormat="1" applyFont="1" applyFill="1" applyBorder="1" applyAlignment="1" applyProtection="1">
      <alignment horizontal="center" vertical="center"/>
    </xf>
    <xf numFmtId="0" fontId="66" fillId="2" borderId="0" xfId="0" applyFont="1" applyFill="1" applyAlignment="1" applyProtection="1">
      <alignment vertical="center"/>
    </xf>
    <xf numFmtId="177" fontId="16" fillId="2" borderId="14" xfId="0" applyNumberFormat="1" applyFont="1" applyFill="1" applyBorder="1" applyAlignment="1" applyProtection="1">
      <alignment horizontal="center" vertical="center"/>
    </xf>
    <xf numFmtId="49" fontId="21" fillId="2" borderId="6" xfId="0" applyNumberFormat="1" applyFont="1" applyFill="1" applyBorder="1" applyAlignment="1" applyProtection="1">
      <alignment horizontal="left" vertical="center"/>
    </xf>
    <xf numFmtId="0" fontId="16" fillId="2" borderId="46" xfId="0" applyFont="1" applyFill="1" applyBorder="1" applyAlignment="1" applyProtection="1">
      <alignment horizontal="center" vertical="center"/>
    </xf>
    <xf numFmtId="0" fontId="16" fillId="2" borderId="10" xfId="0" applyFont="1" applyFill="1" applyBorder="1" applyAlignment="1" applyProtection="1">
      <alignment vertical="center"/>
    </xf>
    <xf numFmtId="0" fontId="16" fillId="2" borderId="1" xfId="0" applyFont="1" applyFill="1" applyBorder="1" applyAlignment="1" applyProtection="1">
      <alignment vertical="center" wrapText="1"/>
    </xf>
    <xf numFmtId="49" fontId="16" fillId="2" borderId="9" xfId="0" applyNumberFormat="1" applyFont="1" applyFill="1" applyBorder="1" applyAlignment="1" applyProtection="1">
      <alignment horizontal="left" vertical="center"/>
    </xf>
    <xf numFmtId="49" fontId="16" fillId="2" borderId="3" xfId="0" applyNumberFormat="1" applyFont="1" applyFill="1" applyBorder="1" applyAlignment="1" applyProtection="1">
      <alignment vertical="center"/>
    </xf>
    <xf numFmtId="0" fontId="71" fillId="2" borderId="10" xfId="0" applyFont="1" applyFill="1" applyBorder="1" applyAlignment="1" applyProtection="1">
      <alignment vertical="center"/>
    </xf>
    <xf numFmtId="49" fontId="16" fillId="2" borderId="29" xfId="0" applyNumberFormat="1" applyFont="1" applyFill="1" applyBorder="1" applyAlignment="1" applyProtection="1">
      <alignment horizontal="left" vertical="center"/>
    </xf>
    <xf numFmtId="0" fontId="71" fillId="2" borderId="1" xfId="0" applyFont="1" applyFill="1" applyBorder="1" applyAlignment="1" applyProtection="1">
      <alignment vertical="center"/>
    </xf>
    <xf numFmtId="0" fontId="16" fillId="2" borderId="14" xfId="0" applyFont="1" applyFill="1" applyBorder="1" applyAlignment="1" applyProtection="1">
      <alignment horizontal="center" vertical="center"/>
    </xf>
    <xf numFmtId="10" fontId="16" fillId="2" borderId="14" xfId="0" applyNumberFormat="1" applyFont="1" applyFill="1" applyBorder="1" applyAlignment="1" applyProtection="1">
      <alignment horizontal="center" vertical="center"/>
    </xf>
    <xf numFmtId="49" fontId="16" fillId="2" borderId="99" xfId="0" applyNumberFormat="1" applyFont="1" applyFill="1" applyBorder="1" applyAlignment="1" applyProtection="1">
      <alignment horizontal="left" vertical="center"/>
    </xf>
    <xf numFmtId="0" fontId="16" fillId="2" borderId="83" xfId="0" applyFont="1" applyFill="1" applyBorder="1" applyAlignment="1" applyProtection="1">
      <alignment horizontal="center" vertical="center"/>
    </xf>
    <xf numFmtId="0" fontId="16" fillId="2" borderId="83" xfId="0" applyFont="1" applyFill="1" applyBorder="1" applyAlignment="1" applyProtection="1">
      <alignment horizontal="left" vertical="center" wrapText="1"/>
    </xf>
    <xf numFmtId="0" fontId="16" fillId="2" borderId="83" xfId="0" applyFont="1" applyFill="1" applyBorder="1" applyAlignment="1" applyProtection="1">
      <alignment horizontal="left" vertical="center"/>
    </xf>
    <xf numFmtId="177" fontId="16" fillId="2" borderId="87" xfId="0" applyNumberFormat="1" applyFont="1" applyFill="1" applyBorder="1" applyAlignment="1" applyProtection="1">
      <alignment horizontal="center" vertical="center"/>
    </xf>
    <xf numFmtId="49" fontId="21" fillId="2" borderId="7" xfId="0" applyNumberFormat="1" applyFont="1" applyFill="1" applyBorder="1" applyAlignment="1" applyProtection="1">
      <alignment horizontal="left" vertical="center"/>
    </xf>
    <xf numFmtId="0" fontId="16" fillId="2" borderId="34" xfId="0" applyFont="1" applyFill="1" applyBorder="1" applyAlignment="1" applyProtection="1">
      <alignment horizontal="left" vertical="center"/>
    </xf>
    <xf numFmtId="0" fontId="16" fillId="2" borderId="89" xfId="0" applyFont="1" applyFill="1" applyBorder="1" applyAlignment="1" applyProtection="1">
      <alignment horizontal="center" vertical="center"/>
    </xf>
    <xf numFmtId="0" fontId="46" fillId="2" borderId="0" xfId="0" applyFont="1" applyFill="1" applyAlignment="1" applyProtection="1">
      <alignment vertical="center"/>
      <protection locked="0"/>
    </xf>
    <xf numFmtId="49" fontId="20" fillId="2" borderId="0" xfId="0" applyNumberFormat="1" applyFont="1" applyFill="1" applyBorder="1" applyAlignment="1" applyProtection="1">
      <alignment horizontal="left" vertical="center"/>
      <protection locked="0"/>
    </xf>
    <xf numFmtId="0" fontId="16" fillId="8" borderId="1" xfId="0" applyFont="1" applyFill="1" applyBorder="1" applyAlignment="1" applyProtection="1">
      <alignment horizontal="center" vertical="center"/>
    </xf>
    <xf numFmtId="0" fontId="16" fillId="2" borderId="1" xfId="0" applyFont="1" applyFill="1" applyBorder="1" applyAlignment="1" applyProtection="1">
      <alignment horizontal="left" vertical="center" wrapText="1"/>
    </xf>
    <xf numFmtId="177" fontId="16" fillId="8" borderId="46" xfId="0" applyNumberFormat="1" applyFont="1" applyFill="1" applyBorder="1" applyAlignment="1" applyProtection="1">
      <alignment horizontal="center" vertical="center" wrapText="1"/>
    </xf>
    <xf numFmtId="49" fontId="73" fillId="2" borderId="0" xfId="0" applyNumberFormat="1" applyFont="1" applyFill="1" applyBorder="1" applyAlignment="1" applyProtection="1">
      <alignment horizontal="left" vertical="center"/>
      <protection locked="0"/>
    </xf>
    <xf numFmtId="49" fontId="74" fillId="2" borderId="0" xfId="0" applyNumberFormat="1" applyFont="1" applyFill="1" applyBorder="1" applyAlignment="1" applyProtection="1">
      <alignment horizontal="left" vertical="center"/>
      <protection locked="0"/>
    </xf>
    <xf numFmtId="0" fontId="16" fillId="5" borderId="1" xfId="0" applyFont="1" applyFill="1" applyBorder="1" applyAlignment="1" applyProtection="1">
      <alignment horizontal="left" vertical="center" wrapText="1"/>
      <protection locked="0"/>
    </xf>
    <xf numFmtId="0" fontId="47" fillId="2" borderId="0" xfId="0" applyFont="1" applyFill="1" applyAlignment="1" applyProtection="1">
      <protection locked="0"/>
    </xf>
    <xf numFmtId="49" fontId="16" fillId="2" borderId="22" xfId="0" applyNumberFormat="1" applyFont="1" applyFill="1" applyBorder="1" applyAlignment="1" applyProtection="1">
      <alignment vertical="center"/>
    </xf>
    <xf numFmtId="0" fontId="16" fillId="2" borderId="9" xfId="0" applyFont="1" applyFill="1" applyBorder="1" applyAlignment="1" applyProtection="1">
      <alignment vertical="center"/>
    </xf>
    <xf numFmtId="0" fontId="16" fillId="2" borderId="9" xfId="0" applyFont="1" applyFill="1" applyBorder="1" applyAlignment="1" applyProtection="1">
      <alignment horizontal="center" vertical="center"/>
    </xf>
    <xf numFmtId="0" fontId="16" fillId="2" borderId="9" xfId="0" applyFont="1" applyFill="1" applyBorder="1" applyAlignment="1" applyProtection="1">
      <alignment horizontal="left" vertical="center" wrapText="1"/>
    </xf>
    <xf numFmtId="49" fontId="16" fillId="2" borderId="29" xfId="0" applyNumberFormat="1" applyFont="1" applyFill="1" applyBorder="1" applyAlignment="1" applyProtection="1">
      <alignment vertical="center"/>
    </xf>
    <xf numFmtId="0" fontId="16" fillId="2" borderId="3" xfId="0" applyFont="1" applyFill="1" applyBorder="1" applyAlignment="1" applyProtection="1">
      <alignment vertical="center"/>
    </xf>
    <xf numFmtId="0" fontId="16" fillId="2" borderId="3" xfId="0" applyFont="1" applyFill="1" applyBorder="1" applyAlignment="1" applyProtection="1">
      <alignment horizontal="center" vertical="center"/>
    </xf>
    <xf numFmtId="0" fontId="16" fillId="2" borderId="3" xfId="0" applyFont="1" applyFill="1" applyBorder="1" applyAlignment="1" applyProtection="1">
      <alignment horizontal="left" vertical="center" wrapText="1"/>
    </xf>
    <xf numFmtId="10" fontId="21" fillId="2" borderId="14" xfId="0" applyNumberFormat="1" applyFont="1" applyFill="1" applyBorder="1" applyAlignment="1" applyProtection="1">
      <alignment horizontal="center" vertical="center"/>
    </xf>
    <xf numFmtId="189" fontId="21" fillId="2" borderId="14" xfId="0" applyNumberFormat="1" applyFont="1" applyFill="1" applyBorder="1" applyAlignment="1" applyProtection="1">
      <alignment horizontal="center" vertical="center"/>
    </xf>
    <xf numFmtId="0" fontId="28" fillId="2" borderId="0" xfId="0" applyFont="1" applyFill="1" applyBorder="1" applyAlignment="1" applyProtection="1">
      <alignment horizontal="center"/>
    </xf>
    <xf numFmtId="0" fontId="28" fillId="2" borderId="0" xfId="0" applyFont="1" applyFill="1" applyBorder="1" applyAlignment="1" applyProtection="1"/>
    <xf numFmtId="0" fontId="28" fillId="2" borderId="48" xfId="0" applyFont="1" applyFill="1" applyBorder="1" applyAlignment="1" applyProtection="1"/>
    <xf numFmtId="0" fontId="28" fillId="2" borderId="1" xfId="0" applyFont="1" applyFill="1" applyBorder="1" applyAlignment="1" applyProtection="1"/>
    <xf numFmtId="0" fontId="21" fillId="2" borderId="11" xfId="0" applyFont="1" applyFill="1" applyBorder="1" applyAlignment="1" applyProtection="1">
      <alignment horizontal="center" vertical="center"/>
    </xf>
    <xf numFmtId="0" fontId="16" fillId="2" borderId="12" xfId="0" applyFont="1" applyFill="1" applyBorder="1" applyAlignment="1" applyProtection="1">
      <alignment horizontal="center" vertical="center" wrapText="1"/>
    </xf>
    <xf numFmtId="0" fontId="16" fillId="2" borderId="46" xfId="0" applyFont="1" applyFill="1" applyBorder="1" applyAlignment="1" applyProtection="1">
      <alignment horizontal="center" vertical="center" wrapText="1"/>
    </xf>
    <xf numFmtId="0" fontId="28" fillId="2" borderId="1" xfId="0" applyFont="1" applyFill="1" applyBorder="1" applyAlignment="1" applyProtection="1">
      <alignment horizontal="center"/>
    </xf>
    <xf numFmtId="0" fontId="28" fillId="2" borderId="9" xfId="0" applyFont="1" applyFill="1" applyBorder="1" applyAlignment="1" applyProtection="1"/>
    <xf numFmtId="0" fontId="42" fillId="2" borderId="9" xfId="0" applyFont="1" applyFill="1" applyBorder="1" applyAlignment="1" applyProtection="1"/>
    <xf numFmtId="10" fontId="21" fillId="2" borderId="57" xfId="0" applyNumberFormat="1" applyFont="1" applyFill="1" applyBorder="1" applyAlignment="1" applyProtection="1">
      <alignment horizontal="center"/>
    </xf>
    <xf numFmtId="0" fontId="28" fillId="2" borderId="10" xfId="0" applyFont="1" applyFill="1" applyBorder="1" applyAlignment="1" applyProtection="1">
      <alignment horizontal="center"/>
    </xf>
    <xf numFmtId="0" fontId="28" fillId="2" borderId="10" xfId="0" applyFont="1" applyFill="1" applyBorder="1" applyAlignment="1" applyProtection="1"/>
    <xf numFmtId="0" fontId="28" fillId="2" borderId="12" xfId="0" applyFont="1" applyFill="1" applyBorder="1" applyAlignment="1" applyProtection="1"/>
    <xf numFmtId="0" fontId="28" fillId="2" borderId="46" xfId="0" applyFont="1" applyFill="1" applyBorder="1" applyAlignment="1" applyProtection="1"/>
    <xf numFmtId="0" fontId="21" fillId="2" borderId="9" xfId="0" applyNumberFormat="1" applyFont="1" applyFill="1" applyBorder="1" applyAlignment="1" applyProtection="1">
      <alignment horizontal="center" vertical="center"/>
    </xf>
    <xf numFmtId="0" fontId="28" fillId="2" borderId="35" xfId="0" applyFont="1" applyFill="1" applyBorder="1" applyAlignment="1" applyProtection="1"/>
    <xf numFmtId="177" fontId="21" fillId="2" borderId="72" xfId="0" applyNumberFormat="1" applyFont="1" applyFill="1" applyBorder="1" applyAlignment="1" applyProtection="1">
      <alignment horizontal="center" vertical="center"/>
    </xf>
    <xf numFmtId="49" fontId="16" fillId="2" borderId="76" xfId="0" applyNumberFormat="1" applyFont="1" applyFill="1" applyBorder="1" applyAlignment="1" applyProtection="1">
      <alignment horizontal="left" vertical="center"/>
    </xf>
    <xf numFmtId="0" fontId="46" fillId="2" borderId="80" xfId="0" applyFont="1" applyFill="1" applyBorder="1" applyAlignment="1" applyProtection="1">
      <alignment vertical="center"/>
    </xf>
    <xf numFmtId="0" fontId="28" fillId="2" borderId="80" xfId="0" applyFont="1" applyFill="1" applyBorder="1" applyAlignment="1" applyProtection="1">
      <alignment horizontal="center"/>
    </xf>
    <xf numFmtId="0" fontId="28" fillId="2" borderId="80" xfId="0" applyFont="1" applyFill="1" applyBorder="1" applyAlignment="1" applyProtection="1"/>
    <xf numFmtId="0" fontId="71" fillId="2" borderId="8" xfId="0" applyFont="1" applyFill="1" applyBorder="1" applyAlignment="1" applyProtection="1">
      <alignment horizontal="left" vertical="center"/>
    </xf>
    <xf numFmtId="182" fontId="21" fillId="2" borderId="15" xfId="0" applyNumberFormat="1" applyFont="1" applyFill="1" applyBorder="1" applyAlignment="1" applyProtection="1">
      <alignment horizontal="center" vertical="center"/>
    </xf>
    <xf numFmtId="49" fontId="28" fillId="6" borderId="0" xfId="0" applyNumberFormat="1" applyFont="1" applyFill="1" applyAlignment="1" applyProtection="1">
      <protection locked="0"/>
    </xf>
    <xf numFmtId="0" fontId="28" fillId="6" borderId="0" xfId="0" applyFont="1" applyFill="1" applyAlignment="1" applyProtection="1">
      <protection locked="0"/>
    </xf>
    <xf numFmtId="190" fontId="28" fillId="6" borderId="0" xfId="0" applyNumberFormat="1" applyFont="1" applyFill="1" applyAlignment="1" applyProtection="1">
      <alignment horizontal="center"/>
      <protection locked="0"/>
    </xf>
    <xf numFmtId="0" fontId="28" fillId="6" borderId="0" xfId="0" applyFont="1" applyFill="1" applyBorder="1" applyAlignment="1" applyProtection="1">
      <protection locked="0"/>
    </xf>
    <xf numFmtId="0" fontId="17" fillId="6" borderId="0" xfId="0" applyFont="1" applyFill="1" applyBorder="1" applyAlignment="1" applyProtection="1">
      <alignment horizontal="left" vertical="center"/>
      <protection locked="0"/>
    </xf>
    <xf numFmtId="182" fontId="17" fillId="6" borderId="0" xfId="0" applyNumberFormat="1" applyFont="1" applyFill="1" applyBorder="1" applyAlignment="1" applyProtection="1">
      <alignment horizontal="center" vertical="center"/>
      <protection locked="0"/>
    </xf>
    <xf numFmtId="0" fontId="17" fillId="6" borderId="0" xfId="0" applyFont="1" applyFill="1" applyBorder="1" applyAlignment="1" applyProtection="1">
      <alignment vertical="center" wrapText="1"/>
      <protection locked="0"/>
    </xf>
    <xf numFmtId="10" fontId="17" fillId="6" borderId="0" xfId="0" applyNumberFormat="1" applyFont="1" applyFill="1" applyBorder="1" applyAlignment="1" applyProtection="1">
      <alignment horizontal="center"/>
      <protection locked="0"/>
    </xf>
    <xf numFmtId="49" fontId="20" fillId="6" borderId="0" xfId="0" applyNumberFormat="1" applyFont="1" applyFill="1" applyBorder="1" applyAlignment="1" applyProtection="1">
      <alignment horizontal="left" vertical="center"/>
      <protection locked="0"/>
    </xf>
    <xf numFmtId="0" fontId="19" fillId="6" borderId="0" xfId="0" applyFont="1" applyFill="1" applyBorder="1" applyAlignment="1" applyProtection="1">
      <alignment horizontal="center"/>
      <protection locked="0"/>
    </xf>
    <xf numFmtId="0" fontId="46" fillId="6" borderId="0" xfId="0" applyFont="1" applyFill="1" applyBorder="1" applyAlignment="1" applyProtection="1">
      <alignment vertical="center"/>
      <protection locked="0"/>
    </xf>
    <xf numFmtId="49" fontId="46" fillId="6" borderId="0" xfId="0" applyNumberFormat="1" applyFont="1" applyFill="1" applyAlignment="1" applyProtection="1">
      <alignment vertical="center"/>
      <protection locked="0"/>
    </xf>
    <xf numFmtId="0" fontId="46" fillId="6" borderId="0" xfId="0" applyFont="1" applyFill="1" applyAlignment="1" applyProtection="1">
      <alignment horizontal="center" vertical="center"/>
      <protection locked="0"/>
    </xf>
    <xf numFmtId="49" fontId="34" fillId="2" borderId="0" xfId="0" applyNumberFormat="1" applyFont="1" applyFill="1" applyBorder="1" applyAlignment="1" applyProtection="1">
      <alignment horizontal="center"/>
      <protection locked="0"/>
    </xf>
    <xf numFmtId="49" fontId="34" fillId="2" borderId="0" xfId="0" applyNumberFormat="1" applyFont="1" applyFill="1" applyBorder="1" applyAlignment="1" applyProtection="1">
      <alignment horizontal="left"/>
      <protection locked="0"/>
    </xf>
    <xf numFmtId="0" fontId="27" fillId="6" borderId="0" xfId="0" applyFont="1" applyFill="1" applyAlignment="1" applyProtection="1">
      <alignment vertical="center"/>
      <protection locked="0"/>
    </xf>
    <xf numFmtId="49" fontId="36" fillId="2" borderId="0" xfId="0" applyNumberFormat="1" applyFont="1" applyFill="1" applyBorder="1" applyAlignment="1" applyProtection="1">
      <alignment horizontal="center"/>
      <protection locked="0"/>
    </xf>
    <xf numFmtId="49" fontId="36" fillId="2" borderId="0" xfId="0" applyNumberFormat="1" applyFont="1" applyFill="1" applyBorder="1" applyAlignment="1" applyProtection="1">
      <alignment horizontal="left"/>
      <protection locked="0"/>
    </xf>
    <xf numFmtId="0" fontId="21" fillId="2" borderId="9" xfId="0" applyFont="1" applyFill="1" applyBorder="1" applyAlignment="1" applyProtection="1">
      <alignment horizontal="center" vertical="center"/>
    </xf>
    <xf numFmtId="0" fontId="21" fillId="2" borderId="35" xfId="0" applyFont="1" applyFill="1" applyBorder="1" applyAlignment="1" applyProtection="1">
      <alignment horizontal="center" vertical="center"/>
    </xf>
    <xf numFmtId="0" fontId="24" fillId="2" borderId="9" xfId="0" applyFont="1" applyFill="1" applyBorder="1" applyAlignment="1" applyProtection="1">
      <alignment vertical="center" wrapText="1"/>
    </xf>
    <xf numFmtId="0" fontId="16" fillId="2" borderId="0" xfId="0" applyFont="1" applyFill="1" applyBorder="1" applyAlignment="1" applyProtection="1">
      <alignment vertical="center"/>
    </xf>
    <xf numFmtId="177" fontId="21" fillId="2" borderId="47" xfId="0" applyNumberFormat="1" applyFont="1" applyFill="1" applyBorder="1" applyAlignment="1" applyProtection="1">
      <alignment horizontal="center" vertical="center"/>
    </xf>
    <xf numFmtId="0" fontId="24" fillId="2" borderId="101" xfId="0" applyFont="1" applyFill="1" applyBorder="1" applyAlignment="1" applyProtection="1">
      <alignment vertical="center" wrapText="1"/>
    </xf>
    <xf numFmtId="0" fontId="21" fillId="0" borderId="82" xfId="0" applyFont="1" applyFill="1" applyBorder="1" applyAlignment="1" applyProtection="1">
      <alignment horizontal="center" vertical="center"/>
      <protection locked="0"/>
    </xf>
    <xf numFmtId="177" fontId="21" fillId="2" borderId="102" xfId="0" applyNumberFormat="1" applyFont="1" applyFill="1" applyBorder="1" applyAlignment="1" applyProtection="1">
      <alignment horizontal="center" vertical="center"/>
    </xf>
    <xf numFmtId="0" fontId="21" fillId="2" borderId="34" xfId="0" applyFont="1" applyFill="1" applyBorder="1" applyAlignment="1" applyProtection="1">
      <alignment horizontal="center" vertical="center"/>
    </xf>
    <xf numFmtId="0" fontId="75" fillId="2" borderId="12" xfId="0" applyFont="1" applyFill="1" applyBorder="1" applyAlignment="1" applyProtection="1">
      <alignment vertical="center"/>
    </xf>
    <xf numFmtId="0" fontId="75" fillId="2" borderId="46" xfId="0" applyFont="1" applyFill="1" applyBorder="1" applyAlignment="1" applyProtection="1">
      <alignment vertical="center"/>
    </xf>
    <xf numFmtId="0" fontId="71" fillId="2" borderId="1" xfId="0" applyFont="1" applyFill="1" applyBorder="1" applyAlignment="1" applyProtection="1">
      <alignment horizontal="left" vertical="center"/>
    </xf>
    <xf numFmtId="0" fontId="16" fillId="2" borderId="10" xfId="0" applyFont="1" applyFill="1" applyBorder="1" applyAlignment="1" applyProtection="1">
      <alignment horizontal="left" vertical="center"/>
    </xf>
    <xf numFmtId="177" fontId="21" fillId="2" borderId="9" xfId="0" applyNumberFormat="1" applyFont="1" applyFill="1" applyBorder="1" applyAlignment="1" applyProtection="1">
      <alignment horizontal="center" vertical="center"/>
    </xf>
    <xf numFmtId="0" fontId="66" fillId="6" borderId="0" xfId="0" applyFont="1" applyFill="1" applyAlignment="1" applyProtection="1">
      <alignment vertical="center"/>
      <protection locked="0"/>
    </xf>
    <xf numFmtId="0" fontId="21" fillId="2" borderId="1" xfId="0" applyFont="1" applyFill="1" applyBorder="1" applyAlignment="1" applyProtection="1">
      <alignment horizontal="left" vertical="center"/>
    </xf>
    <xf numFmtId="0" fontId="16" fillId="2" borderId="81" xfId="0" applyFont="1" applyFill="1" applyBorder="1" applyAlignment="1" applyProtection="1">
      <alignment vertical="center"/>
    </xf>
    <xf numFmtId="0" fontId="76" fillId="2" borderId="1" xfId="0" applyFont="1" applyFill="1" applyBorder="1" applyAlignment="1" applyProtection="1">
      <alignment horizontal="left" vertical="center" wrapText="1"/>
    </xf>
    <xf numFmtId="0" fontId="21" fillId="2" borderId="35" xfId="0" applyFont="1" applyFill="1" applyBorder="1" applyAlignment="1" applyProtection="1">
      <alignment vertical="center" wrapText="1"/>
    </xf>
    <xf numFmtId="0" fontId="16" fillId="2" borderId="35" xfId="0" applyFont="1" applyFill="1" applyBorder="1" applyAlignment="1" applyProtection="1">
      <alignment horizontal="left" vertical="center" wrapText="1"/>
    </xf>
    <xf numFmtId="182" fontId="21" fillId="2" borderId="14" xfId="0" applyNumberFormat="1" applyFont="1" applyFill="1" applyBorder="1" applyAlignment="1" applyProtection="1">
      <alignment horizontal="center" vertical="center"/>
    </xf>
    <xf numFmtId="0" fontId="21" fillId="2" borderId="3" xfId="0" applyFont="1" applyFill="1" applyBorder="1" applyAlignment="1" applyProtection="1">
      <alignment vertical="center" wrapText="1"/>
    </xf>
    <xf numFmtId="0" fontId="76" fillId="2" borderId="8" xfId="0" applyFont="1" applyFill="1" applyBorder="1" applyAlignment="1" applyProtection="1">
      <alignment horizontal="left" vertical="center"/>
    </xf>
    <xf numFmtId="0" fontId="21" fillId="2" borderId="8" xfId="0" applyFont="1" applyFill="1" applyBorder="1" applyAlignment="1" applyProtection="1">
      <alignment horizontal="center" vertical="center"/>
    </xf>
    <xf numFmtId="0" fontId="16" fillId="2" borderId="8" xfId="0" applyFont="1" applyFill="1" applyBorder="1" applyAlignment="1" applyProtection="1">
      <alignment vertical="center"/>
    </xf>
    <xf numFmtId="0" fontId="16" fillId="2" borderId="8"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9" fillId="2" borderId="0" xfId="0" applyFont="1" applyFill="1" applyBorder="1" applyAlignment="1" applyProtection="1">
      <alignment horizontal="center" vertical="center"/>
      <protection locked="0"/>
    </xf>
    <xf numFmtId="0" fontId="16" fillId="2" borderId="0" xfId="0" applyFont="1" applyFill="1" applyBorder="1" applyAlignment="1" applyProtection="1">
      <alignment vertical="center"/>
      <protection locked="0"/>
    </xf>
    <xf numFmtId="0" fontId="17" fillId="2" borderId="0" xfId="0" applyFont="1" applyFill="1" applyBorder="1" applyAlignment="1" applyProtection="1">
      <alignment horizontal="left" vertical="center"/>
      <protection locked="0"/>
    </xf>
    <xf numFmtId="182" fontId="19" fillId="2" borderId="0" xfId="0" applyNumberFormat="1" applyFont="1" applyFill="1" applyBorder="1" applyAlignment="1" applyProtection="1">
      <alignment horizontal="center" vertical="center"/>
      <protection locked="0"/>
    </xf>
    <xf numFmtId="0" fontId="74" fillId="2" borderId="0" xfId="0" applyFont="1" applyFill="1" applyBorder="1" applyAlignment="1" applyProtection="1">
      <alignment horizontal="left" vertical="center"/>
      <protection locked="0"/>
    </xf>
    <xf numFmtId="0" fontId="77" fillId="2" borderId="0" xfId="0" applyFont="1" applyFill="1" applyBorder="1" applyAlignment="1" applyProtection="1">
      <alignment horizontal="center" vertical="center"/>
      <protection locked="0"/>
    </xf>
    <xf numFmtId="0" fontId="78" fillId="2" borderId="0" xfId="0" applyFont="1" applyFill="1" applyBorder="1" applyAlignment="1" applyProtection="1">
      <alignment vertical="center"/>
      <protection locked="0"/>
    </xf>
    <xf numFmtId="0" fontId="79" fillId="2" borderId="0" xfId="0" applyFont="1" applyFill="1" applyBorder="1" applyAlignment="1" applyProtection="1">
      <alignment horizontal="left" vertical="center"/>
      <protection locked="0"/>
    </xf>
    <xf numFmtId="182" fontId="77" fillId="2" borderId="0" xfId="0" applyNumberFormat="1" applyFont="1" applyFill="1" applyBorder="1" applyAlignment="1" applyProtection="1">
      <alignment horizontal="center" vertical="center"/>
      <protection locked="0"/>
    </xf>
    <xf numFmtId="0" fontId="47" fillId="2" borderId="0" xfId="0" applyFont="1" applyFill="1" applyAlignment="1" applyProtection="1">
      <alignment horizontal="left"/>
      <protection locked="0"/>
    </xf>
    <xf numFmtId="0" fontId="80" fillId="2" borderId="0" xfId="0" applyFont="1" applyFill="1" applyAlignment="1" applyProtection="1">
      <alignment horizontal="left" vertical="center"/>
      <protection locked="0"/>
    </xf>
    <xf numFmtId="0" fontId="39" fillId="2" borderId="0" xfId="0" applyFont="1" applyFill="1" applyAlignment="1" applyProtection="1">
      <protection locked="0"/>
    </xf>
    <xf numFmtId="0" fontId="39" fillId="2" borderId="0" xfId="0" applyFont="1" applyFill="1" applyAlignment="1" applyProtection="1">
      <alignment horizontal="left"/>
      <protection locked="0"/>
    </xf>
    <xf numFmtId="0" fontId="16" fillId="2" borderId="0" xfId="0" applyFont="1" applyFill="1" applyAlignment="1" applyProtection="1">
      <alignment vertical="center"/>
      <protection locked="0"/>
    </xf>
    <xf numFmtId="0" fontId="16" fillId="2" borderId="0" xfId="0" applyFont="1" applyFill="1" applyAlignment="1" applyProtection="1">
      <alignment horizontal="left" vertical="center"/>
      <protection locked="0"/>
    </xf>
    <xf numFmtId="0" fontId="46" fillId="2" borderId="0" xfId="0" applyFont="1" applyFill="1" applyAlignment="1" applyProtection="1">
      <alignment horizontal="left" vertical="center"/>
      <protection locked="0"/>
    </xf>
    <xf numFmtId="0" fontId="81" fillId="6" borderId="103" xfId="0" applyFont="1" applyFill="1" applyBorder="1" applyAlignment="1" applyProtection="1">
      <alignment vertical="center"/>
      <protection locked="0"/>
    </xf>
    <xf numFmtId="0" fontId="46" fillId="6" borderId="104" xfId="0" applyFont="1" applyFill="1" applyBorder="1" applyAlignment="1" applyProtection="1">
      <alignment vertical="center"/>
      <protection locked="0"/>
    </xf>
    <xf numFmtId="0" fontId="46" fillId="6" borderId="105" xfId="0" applyFont="1" applyFill="1" applyBorder="1" applyAlignment="1" applyProtection="1">
      <alignment horizontal="left" vertical="center"/>
      <protection locked="0"/>
    </xf>
    <xf numFmtId="0" fontId="57" fillId="2" borderId="106" xfId="0" applyFont="1" applyFill="1" applyBorder="1" applyAlignment="1" applyProtection="1">
      <alignment horizontal="center" vertical="center"/>
    </xf>
    <xf numFmtId="0" fontId="12" fillId="2" borderId="0" xfId="0" applyFont="1" applyFill="1" applyAlignment="1" applyProtection="1">
      <alignment vertical="center"/>
    </xf>
    <xf numFmtId="0" fontId="82" fillId="2" borderId="4" xfId="0" applyFont="1" applyFill="1" applyBorder="1" applyAlignment="1" applyProtection="1">
      <alignment vertical="center"/>
    </xf>
    <xf numFmtId="0" fontId="82" fillId="3" borderId="13" xfId="0" applyFont="1" applyFill="1" applyBorder="1" applyAlignment="1" applyProtection="1">
      <alignment horizontal="center" vertical="center"/>
      <protection locked="0"/>
    </xf>
    <xf numFmtId="0" fontId="82" fillId="2" borderId="4" xfId="0" applyFont="1" applyFill="1" applyBorder="1" applyAlignment="1" applyProtection="1">
      <alignment horizontal="left" vertical="center"/>
    </xf>
    <xf numFmtId="0" fontId="46" fillId="2" borderId="13" xfId="0" applyFont="1" applyFill="1" applyBorder="1" applyAlignment="1" applyProtection="1">
      <alignment horizontal="center" vertical="center"/>
    </xf>
    <xf numFmtId="0" fontId="46" fillId="2" borderId="0" xfId="0" applyFont="1" applyFill="1" applyAlignment="1" applyProtection="1">
      <alignment horizontal="center" vertical="center"/>
      <protection locked="0"/>
    </xf>
    <xf numFmtId="0" fontId="83" fillId="2" borderId="106" xfId="0" applyFont="1" applyFill="1" applyBorder="1" applyAlignment="1" applyProtection="1">
      <alignment vertical="center" wrapText="1"/>
    </xf>
    <xf numFmtId="0" fontId="83" fillId="2" borderId="105" xfId="0" applyFont="1" applyFill="1" applyBorder="1" applyAlignment="1" applyProtection="1">
      <alignment vertical="center"/>
    </xf>
    <xf numFmtId="0" fontId="82" fillId="2" borderId="6" xfId="0" applyFont="1" applyFill="1" applyBorder="1" applyAlignment="1" applyProtection="1">
      <alignment vertical="center"/>
    </xf>
    <xf numFmtId="0" fontId="83" fillId="3" borderId="14" xfId="0" applyFont="1" applyFill="1" applyBorder="1" applyAlignment="1" applyProtection="1">
      <alignment horizontal="center"/>
      <protection locked="0"/>
    </xf>
    <xf numFmtId="0" fontId="83" fillId="2" borderId="6" xfId="0" applyFont="1" applyFill="1" applyBorder="1" applyAlignment="1" applyProtection="1">
      <alignment horizontal="left"/>
    </xf>
    <xf numFmtId="0" fontId="84" fillId="2" borderId="107" xfId="0" applyFont="1" applyFill="1" applyBorder="1" applyAlignment="1" applyProtection="1">
      <alignment vertical="center" wrapText="1"/>
    </xf>
    <xf numFmtId="0" fontId="83" fillId="2" borderId="67" xfId="0" applyFont="1" applyFill="1" applyBorder="1" applyAlignment="1" applyProtection="1">
      <alignment vertical="center"/>
    </xf>
    <xf numFmtId="0" fontId="46" fillId="6" borderId="14" xfId="0" applyFont="1" applyFill="1" applyBorder="1" applyAlignment="1" applyProtection="1">
      <alignment horizontal="center" vertical="center"/>
      <protection locked="0"/>
    </xf>
    <xf numFmtId="0" fontId="85" fillId="2" borderId="6" xfId="0" applyFont="1" applyFill="1" applyBorder="1" applyAlignment="1" applyProtection="1">
      <alignment horizontal="left"/>
    </xf>
    <xf numFmtId="0" fontId="46" fillId="0" borderId="14" xfId="0" applyFont="1" applyFill="1" applyBorder="1" applyAlignment="1" applyProtection="1">
      <alignment horizontal="center" vertical="center"/>
      <protection locked="0"/>
    </xf>
    <xf numFmtId="0" fontId="84" fillId="2" borderId="14" xfId="0" applyFont="1" applyFill="1" applyBorder="1" applyAlignment="1" applyProtection="1">
      <alignment horizontal="center"/>
    </xf>
    <xf numFmtId="0" fontId="84" fillId="2" borderId="107" xfId="0" applyFont="1" applyFill="1" applyBorder="1" applyAlignment="1" applyProtection="1">
      <alignment horizontal="right" vertical="center" wrapText="1"/>
    </xf>
    <xf numFmtId="49" fontId="82" fillId="2" borderId="6" xfId="0" applyNumberFormat="1" applyFont="1" applyFill="1" applyBorder="1" applyAlignment="1" applyProtection="1">
      <alignment horizontal="left" vertical="center"/>
    </xf>
    <xf numFmtId="0" fontId="46" fillId="2" borderId="14" xfId="0" applyNumberFormat="1" applyFont="1" applyFill="1" applyBorder="1" applyAlignment="1" applyProtection="1">
      <alignment horizontal="center" vertical="center"/>
    </xf>
    <xf numFmtId="191" fontId="46" fillId="2" borderId="14" xfId="0" applyNumberFormat="1" applyFont="1" applyFill="1" applyBorder="1" applyAlignment="1" applyProtection="1">
      <alignment horizontal="center" vertical="center"/>
    </xf>
    <xf numFmtId="0" fontId="82" fillId="2" borderId="7" xfId="0" applyFont="1" applyFill="1" applyBorder="1" applyAlignment="1" applyProtection="1">
      <alignment vertical="center"/>
    </xf>
    <xf numFmtId="10" fontId="46" fillId="0" borderId="15" xfId="0" applyNumberFormat="1" applyFont="1" applyFill="1" applyBorder="1" applyAlignment="1" applyProtection="1">
      <alignment horizontal="center" vertical="center"/>
      <protection locked="0"/>
    </xf>
    <xf numFmtId="0" fontId="82" fillId="2" borderId="60" xfId="0" applyFont="1" applyFill="1" applyBorder="1" applyAlignment="1" applyProtection="1">
      <alignment vertical="center" wrapText="1"/>
    </xf>
    <xf numFmtId="0" fontId="46" fillId="8" borderId="108" xfId="0" applyFont="1" applyFill="1" applyBorder="1" applyAlignment="1" applyProtection="1">
      <alignment horizontal="center" vertical="center"/>
    </xf>
    <xf numFmtId="0" fontId="86" fillId="2" borderId="63" xfId="0" applyFont="1" applyFill="1" applyBorder="1" applyAlignment="1" applyProtection="1">
      <alignment horizontal="left" vertical="center" wrapText="1"/>
    </xf>
    <xf numFmtId="0" fontId="86" fillId="2" borderId="105" xfId="0" applyFont="1" applyFill="1" applyBorder="1" applyAlignment="1" applyProtection="1">
      <alignment horizontal="left" vertical="center" wrapText="1"/>
    </xf>
    <xf numFmtId="0" fontId="46" fillId="6" borderId="0" xfId="0" applyFont="1" applyFill="1" applyAlignment="1" applyProtection="1">
      <alignment vertical="center"/>
    </xf>
    <xf numFmtId="0" fontId="46" fillId="6" borderId="0" xfId="0" applyFont="1" applyFill="1" applyAlignment="1" applyProtection="1">
      <alignment horizontal="left" vertical="center"/>
    </xf>
    <xf numFmtId="0" fontId="87" fillId="2" borderId="59" xfId="0" applyFont="1" applyFill="1" applyBorder="1" applyAlignment="1" applyProtection="1">
      <alignment horizontal="left" vertical="center" wrapText="1"/>
    </xf>
    <xf numFmtId="177" fontId="46" fillId="2" borderId="5" xfId="0" applyNumberFormat="1" applyFont="1" applyFill="1" applyBorder="1" applyAlignment="1" applyProtection="1">
      <alignment horizontal="center" vertical="center"/>
    </xf>
    <xf numFmtId="0" fontId="87" fillId="2" borderId="19" xfId="0" applyFont="1" applyFill="1" applyBorder="1" applyAlignment="1" applyProtection="1">
      <alignment horizontal="center" vertical="center"/>
    </xf>
    <xf numFmtId="0" fontId="46" fillId="3" borderId="44" xfId="0" applyFont="1" applyFill="1" applyBorder="1" applyAlignment="1" applyProtection="1">
      <alignment horizontal="center" vertical="center"/>
      <protection locked="0"/>
    </xf>
    <xf numFmtId="0" fontId="88" fillId="2" borderId="0" xfId="0" applyFont="1" applyFill="1" applyAlignment="1" applyProtection="1">
      <alignment vertical="center"/>
    </xf>
    <xf numFmtId="0" fontId="82" fillId="2" borderId="29" xfId="0" applyFont="1" applyFill="1" applyBorder="1" applyAlignment="1" applyProtection="1">
      <alignment vertical="center" wrapText="1"/>
    </xf>
    <xf numFmtId="0" fontId="46" fillId="3" borderId="0" xfId="0" applyFont="1" applyFill="1" applyAlignment="1" applyProtection="1">
      <alignment horizontal="center" vertical="center"/>
      <protection locked="0"/>
    </xf>
    <xf numFmtId="0" fontId="82" fillId="2" borderId="6" xfId="0" applyFont="1" applyFill="1" applyBorder="1" applyAlignment="1" applyProtection="1">
      <alignment vertical="center" wrapText="1"/>
    </xf>
    <xf numFmtId="0" fontId="46" fillId="2" borderId="10" xfId="0" applyFont="1" applyFill="1" applyBorder="1" applyAlignment="1" applyProtection="1">
      <alignment horizontal="center" vertical="center"/>
    </xf>
    <xf numFmtId="177" fontId="46" fillId="2" borderId="10" xfId="0" applyNumberFormat="1" applyFont="1" applyFill="1" applyBorder="1" applyAlignment="1" applyProtection="1">
      <alignment horizontal="center" vertical="center"/>
    </xf>
    <xf numFmtId="49" fontId="87" fillId="2" borderId="7" xfId="0" applyNumberFormat="1" applyFont="1" applyFill="1" applyBorder="1" applyAlignment="1" applyProtection="1">
      <alignment horizontal="left" vertical="center"/>
    </xf>
    <xf numFmtId="0" fontId="46" fillId="2" borderId="15" xfId="0" applyFont="1" applyFill="1" applyBorder="1" applyAlignment="1" applyProtection="1">
      <alignment horizontal="center" vertical="center"/>
    </xf>
    <xf numFmtId="0" fontId="87" fillId="2" borderId="7" xfId="0" applyFont="1" applyFill="1" applyBorder="1" applyAlignment="1" applyProtection="1">
      <alignment horizontal="center" vertical="center"/>
    </xf>
    <xf numFmtId="0" fontId="46" fillId="6" borderId="0" xfId="0" applyFont="1" applyFill="1" applyAlignment="1" applyProtection="1">
      <alignment horizontal="left" vertical="center"/>
      <protection locked="0"/>
    </xf>
    <xf numFmtId="0" fontId="82" fillId="2" borderId="1" xfId="0" applyFont="1" applyFill="1" applyBorder="1" applyAlignment="1" applyProtection="1"/>
    <xf numFmtId="0" fontId="82" fillId="2" borderId="1" xfId="0" applyFont="1" applyFill="1" applyBorder="1" applyAlignment="1" applyProtection="1">
      <alignment horizontal="center"/>
    </xf>
    <xf numFmtId="0" fontId="82" fillId="2" borderId="1" xfId="0" applyFont="1" applyFill="1" applyBorder="1" applyAlignment="1" applyProtection="1">
      <alignment horizontal="center" vertical="center"/>
    </xf>
    <xf numFmtId="9" fontId="46" fillId="2" borderId="1" xfId="0" applyNumberFormat="1" applyFont="1" applyFill="1" applyBorder="1" applyAlignment="1" applyProtection="1">
      <alignment horizontal="center" vertical="center"/>
    </xf>
    <xf numFmtId="0" fontId="83" fillId="2" borderId="105" xfId="0" applyFont="1" applyFill="1" applyBorder="1" applyAlignment="1" applyProtection="1">
      <alignment horizontal="center" vertical="center" wrapText="1"/>
    </xf>
    <xf numFmtId="0" fontId="84" fillId="2" borderId="67" xfId="0" applyFont="1" applyFill="1" applyBorder="1" applyAlignment="1" applyProtection="1">
      <alignment horizontal="center" vertical="center" wrapText="1"/>
    </xf>
    <xf numFmtId="10" fontId="84" fillId="2" borderId="67" xfId="0" applyNumberFormat="1" applyFont="1" applyFill="1" applyBorder="1" applyAlignment="1" applyProtection="1">
      <alignment horizontal="center" vertical="center" wrapText="1"/>
    </xf>
    <xf numFmtId="0" fontId="84" fillId="2" borderId="67" xfId="0" applyFont="1" applyFill="1" applyBorder="1" applyAlignment="1" applyProtection="1">
      <alignment vertical="center"/>
    </xf>
    <xf numFmtId="0" fontId="89" fillId="2" borderId="67" xfId="0" applyFont="1" applyFill="1" applyBorder="1" applyAlignment="1" applyProtection="1">
      <alignment vertical="center"/>
    </xf>
    <xf numFmtId="191" fontId="84" fillId="2" borderId="67" xfId="0" applyNumberFormat="1" applyFont="1" applyFill="1" applyBorder="1" applyAlignment="1" applyProtection="1">
      <alignment horizontal="center" vertical="center" wrapText="1"/>
    </xf>
    <xf numFmtId="0" fontId="90" fillId="2" borderId="67" xfId="0" applyFont="1" applyFill="1" applyBorder="1" applyAlignment="1" applyProtection="1">
      <alignment vertical="center"/>
    </xf>
    <xf numFmtId="0" fontId="0" fillId="0" borderId="0" xfId="0" applyFont="1">
      <alignment vertical="center"/>
    </xf>
    <xf numFmtId="49" fontId="91" fillId="2" borderId="59" xfId="0" applyNumberFormat="1" applyFont="1" applyFill="1" applyBorder="1" applyAlignment="1" applyProtection="1"/>
    <xf numFmtId="0" fontId="0" fillId="2" borderId="0" xfId="0" applyFont="1" applyFill="1" applyProtection="1">
      <alignment vertical="center"/>
      <protection locked="0"/>
    </xf>
    <xf numFmtId="0" fontId="0" fillId="0" borderId="0" xfId="0" applyFont="1" applyProtection="1">
      <alignment vertical="center"/>
      <protection locked="0"/>
    </xf>
    <xf numFmtId="0" fontId="92" fillId="2" borderId="1" xfId="0" applyFont="1" applyFill="1" applyBorder="1" applyProtection="1">
      <alignment vertical="center"/>
    </xf>
    <xf numFmtId="0" fontId="0" fillId="2" borderId="1" xfId="0" applyFont="1" applyFill="1" applyBorder="1" applyAlignment="1" applyProtection="1">
      <alignment horizontal="right" vertical="center"/>
    </xf>
    <xf numFmtId="0" fontId="0" fillId="9" borderId="0" xfId="0" applyFont="1" applyFill="1" applyProtection="1">
      <alignment vertical="center"/>
      <protection locked="0"/>
    </xf>
    <xf numFmtId="0" fontId="0" fillId="2" borderId="1" xfId="0" applyFont="1" applyFill="1" applyBorder="1" applyAlignment="1" applyProtection="1">
      <alignment horizontal="center" vertical="center"/>
    </xf>
    <xf numFmtId="0" fontId="92" fillId="9" borderId="0" xfId="0" applyFont="1" applyFill="1" applyProtection="1">
      <alignment vertical="center"/>
      <protection locked="0"/>
    </xf>
    <xf numFmtId="0" fontId="92" fillId="2" borderId="1" xfId="0" applyFont="1" applyFill="1" applyBorder="1" applyAlignment="1" applyProtection="1">
      <alignment horizontal="left" vertical="center" wrapText="1"/>
    </xf>
    <xf numFmtId="0" fontId="0" fillId="2" borderId="1" xfId="0" applyFont="1" applyFill="1" applyBorder="1" applyProtection="1">
      <alignment vertical="center"/>
    </xf>
    <xf numFmtId="0" fontId="0" fillId="5" borderId="9" xfId="0" applyFont="1" applyFill="1" applyBorder="1" applyAlignment="1" applyProtection="1">
      <alignment horizontal="left" vertical="center"/>
      <protection locked="0"/>
    </xf>
    <xf numFmtId="0" fontId="0" fillId="5" borderId="1" xfId="0" applyFont="1" applyFill="1" applyBorder="1" applyAlignment="1" applyProtection="1">
      <alignment horizontal="left" vertical="center"/>
      <protection locked="0"/>
    </xf>
    <xf numFmtId="0" fontId="26" fillId="0" borderId="0" xfId="21" applyFont="1" applyAlignment="1">
      <alignment horizontal="left" vertical="center"/>
    </xf>
    <xf numFmtId="0" fontId="26" fillId="0" borderId="109" xfId="21" applyFont="1" applyBorder="1" applyAlignment="1">
      <alignment horizontal="left" vertical="center"/>
    </xf>
    <xf numFmtId="0" fontId="26" fillId="11" borderId="0" xfId="21" applyFont="1" applyFill="1" applyAlignment="1">
      <alignment horizontal="left" vertical="center"/>
    </xf>
    <xf numFmtId="0" fontId="26" fillId="0" borderId="0" xfId="21" applyFont="1" applyFill="1" applyAlignment="1">
      <alignment horizontal="left" vertical="center"/>
    </xf>
    <xf numFmtId="0" fontId="26" fillId="12" borderId="0" xfId="21" applyFont="1" applyFill="1" applyAlignment="1">
      <alignment horizontal="left" vertical="center"/>
    </xf>
    <xf numFmtId="0" fontId="93" fillId="12" borderId="0" xfId="21" applyFont="1" applyFill="1" applyAlignment="1">
      <alignment horizontal="left" vertical="center"/>
    </xf>
    <xf numFmtId="0" fontId="72" fillId="3" borderId="0" xfId="21" applyFont="1" applyFill="1" applyAlignment="1">
      <alignment horizontal="left" vertical="center"/>
    </xf>
    <xf numFmtId="0" fontId="72" fillId="0" borderId="17" xfId="21" applyFont="1" applyBorder="1" applyAlignment="1">
      <alignment horizontal="left" vertical="center"/>
    </xf>
    <xf numFmtId="0" fontId="94" fillId="0" borderId="0" xfId="21" applyFont="1" applyAlignment="1">
      <alignment horizontal="left" vertical="center"/>
    </xf>
    <xf numFmtId="0" fontId="72" fillId="0" borderId="0" xfId="21" applyFont="1" applyAlignment="1">
      <alignment horizontal="left" vertical="center"/>
    </xf>
    <xf numFmtId="0" fontId="72" fillId="0" borderId="110" xfId="21" applyFont="1" applyBorder="1" applyAlignment="1">
      <alignment horizontal="left" vertical="center"/>
    </xf>
    <xf numFmtId="0" fontId="95" fillId="0" borderId="0" xfId="21" applyFont="1" applyAlignment="1">
      <alignment horizontal="left" vertical="center"/>
    </xf>
    <xf numFmtId="0" fontId="85" fillId="2" borderId="109" xfId="37" applyFont="1" applyFill="1" applyBorder="1" applyAlignment="1" applyProtection="1">
      <alignment horizontal="left" vertical="center"/>
    </xf>
    <xf numFmtId="0" fontId="96" fillId="2" borderId="109" xfId="37" applyFont="1" applyFill="1" applyBorder="1" applyAlignment="1" applyProtection="1">
      <alignment horizontal="left" vertical="center"/>
    </xf>
    <xf numFmtId="0" fontId="26" fillId="0" borderId="111" xfId="21" applyFont="1" applyBorder="1" applyAlignment="1">
      <alignment horizontal="left" vertical="center"/>
    </xf>
    <xf numFmtId="0" fontId="3" fillId="11" borderId="0" xfId="40" applyFont="1" applyFill="1" applyAlignment="1">
      <alignment horizontal="left" vertical="center"/>
    </xf>
    <xf numFmtId="0" fontId="47" fillId="11" borderId="0" xfId="37" applyFont="1" applyFill="1" applyAlignment="1" applyProtection="1">
      <alignment horizontal="left" vertical="center"/>
    </xf>
    <xf numFmtId="0" fontId="96" fillId="11" borderId="0" xfId="37" applyFont="1" applyFill="1" applyAlignment="1" applyProtection="1">
      <alignment horizontal="left" vertical="center"/>
    </xf>
    <xf numFmtId="0" fontId="26" fillId="11" borderId="110" xfId="21" applyFont="1" applyFill="1" applyBorder="1" applyAlignment="1">
      <alignment horizontal="left" vertical="center"/>
    </xf>
    <xf numFmtId="0" fontId="26" fillId="11" borderId="0" xfId="21" applyFont="1" applyFill="1" applyBorder="1" applyAlignment="1">
      <alignment horizontal="left" vertical="center"/>
    </xf>
    <xf numFmtId="0" fontId="47" fillId="0" borderId="0" xfId="37" applyFont="1" applyFill="1" applyAlignment="1" applyProtection="1">
      <alignment horizontal="left" vertical="center"/>
    </xf>
    <xf numFmtId="0" fontId="96" fillId="0" borderId="0" xfId="37" applyFont="1" applyFill="1" applyAlignment="1" applyProtection="1">
      <alignment horizontal="left" vertical="center"/>
    </xf>
    <xf numFmtId="0" fontId="26" fillId="0" borderId="110" xfId="21" applyFont="1" applyFill="1" applyBorder="1" applyAlignment="1">
      <alignment horizontal="left" vertical="center"/>
    </xf>
    <xf numFmtId="0" fontId="26" fillId="0" borderId="0" xfId="21" applyFont="1" applyFill="1" applyBorder="1" applyAlignment="1">
      <alignment horizontal="left" vertical="center"/>
    </xf>
    <xf numFmtId="49" fontId="17" fillId="12" borderId="1" xfId="21" applyNumberFormat="1" applyFont="1" applyFill="1" applyBorder="1" applyAlignment="1" applyProtection="1">
      <alignment horizontal="left" vertical="center" wrapText="1"/>
    </xf>
    <xf numFmtId="184" fontId="93" fillId="12" borderId="0" xfId="21" applyNumberFormat="1" applyFont="1" applyFill="1" applyBorder="1" applyAlignment="1">
      <alignment horizontal="left" vertical="center"/>
    </xf>
    <xf numFmtId="0" fontId="97" fillId="12" borderId="112" xfId="21" applyFont="1" applyFill="1" applyBorder="1" applyAlignment="1" applyProtection="1">
      <alignment horizontal="left" vertical="center" wrapText="1"/>
    </xf>
    <xf numFmtId="49" fontId="17" fillId="2" borderId="1" xfId="21" applyNumberFormat="1" applyFont="1" applyFill="1" applyBorder="1" applyAlignment="1" applyProtection="1">
      <alignment horizontal="left" vertical="center" wrapText="1"/>
    </xf>
    <xf numFmtId="184" fontId="72" fillId="0" borderId="0" xfId="21" applyNumberFormat="1" applyFont="1" applyAlignment="1">
      <alignment horizontal="left" vertical="center"/>
    </xf>
    <xf numFmtId="0" fontId="97" fillId="9" borderId="112" xfId="21" applyFont="1" applyFill="1" applyBorder="1" applyAlignment="1" applyProtection="1">
      <alignment horizontal="left" vertical="center" wrapText="1"/>
    </xf>
    <xf numFmtId="0" fontId="97" fillId="13" borderId="113" xfId="21" applyFont="1" applyFill="1" applyBorder="1" applyAlignment="1" applyProtection="1">
      <alignment horizontal="left" vertical="center" wrapText="1"/>
    </xf>
    <xf numFmtId="184" fontId="26" fillId="13" borderId="113" xfId="40" applyNumberFormat="1" applyFont="1" applyFill="1" applyBorder="1" applyAlignment="1" applyProtection="1">
      <alignment horizontal="left" vertical="center" wrapText="1"/>
    </xf>
    <xf numFmtId="184" fontId="26" fillId="13" borderId="114" xfId="40" applyNumberFormat="1" applyFont="1" applyFill="1" applyBorder="1" applyAlignment="1" applyProtection="1">
      <alignment horizontal="left" vertical="center" wrapText="1"/>
    </xf>
    <xf numFmtId="0" fontId="97" fillId="13" borderId="115" xfId="21" applyFont="1" applyFill="1" applyBorder="1" applyAlignment="1" applyProtection="1">
      <alignment horizontal="left" vertical="center" wrapText="1"/>
    </xf>
    <xf numFmtId="0" fontId="97" fillId="13" borderId="112" xfId="21" applyFont="1" applyFill="1" applyBorder="1" applyAlignment="1" applyProtection="1">
      <alignment horizontal="left" vertical="center" wrapText="1"/>
    </xf>
    <xf numFmtId="0" fontId="97" fillId="13" borderId="116" xfId="21" applyFont="1" applyFill="1" applyBorder="1" applyAlignment="1" applyProtection="1">
      <alignment horizontal="left" vertical="center" wrapText="1"/>
    </xf>
    <xf numFmtId="184" fontId="26" fillId="13" borderId="113" xfId="40" applyNumberFormat="1" applyFont="1" applyFill="1" applyBorder="1" applyAlignment="1">
      <alignment horizontal="left" vertical="center" wrapText="1"/>
    </xf>
    <xf numFmtId="184" fontId="26" fillId="13" borderId="114" xfId="40" applyNumberFormat="1" applyFont="1" applyFill="1" applyBorder="1" applyAlignment="1">
      <alignment horizontal="left" vertical="center" wrapText="1"/>
    </xf>
    <xf numFmtId="0" fontId="97" fillId="13" borderId="117" xfId="21" applyFont="1" applyFill="1" applyBorder="1" applyAlignment="1" applyProtection="1">
      <alignment horizontal="left" vertical="center" wrapText="1"/>
    </xf>
    <xf numFmtId="184" fontId="26" fillId="13" borderId="113" xfId="21" applyNumberFormat="1" applyFont="1" applyFill="1" applyBorder="1" applyAlignment="1">
      <alignment horizontal="left" vertical="center" wrapText="1"/>
    </xf>
    <xf numFmtId="184" fontId="26" fillId="13" borderId="114" xfId="21" applyNumberFormat="1" applyFont="1" applyFill="1" applyBorder="1" applyAlignment="1">
      <alignment horizontal="left" vertical="center" wrapText="1"/>
    </xf>
    <xf numFmtId="0" fontId="97" fillId="13" borderId="118" xfId="21" applyFont="1" applyFill="1" applyBorder="1" applyAlignment="1" applyProtection="1">
      <alignment horizontal="left" vertical="center" wrapText="1"/>
    </xf>
    <xf numFmtId="0" fontId="97" fillId="13" borderId="119" xfId="21" applyFont="1" applyFill="1" applyBorder="1" applyAlignment="1" applyProtection="1">
      <alignment horizontal="left" vertical="center" wrapText="1"/>
    </xf>
    <xf numFmtId="0" fontId="97" fillId="13" borderId="120" xfId="21" applyFont="1" applyFill="1" applyBorder="1" applyAlignment="1" applyProtection="1">
      <alignment horizontal="left" vertical="center" wrapText="1"/>
    </xf>
    <xf numFmtId="0" fontId="97" fillId="9" borderId="113" xfId="21" applyFont="1" applyFill="1" applyBorder="1" applyAlignment="1" applyProtection="1">
      <alignment horizontal="left" vertical="center" wrapText="1"/>
    </xf>
    <xf numFmtId="184" fontId="26" fillId="13" borderId="112" xfId="21" applyNumberFormat="1" applyFont="1" applyFill="1" applyBorder="1" applyAlignment="1">
      <alignment horizontal="left" vertical="center" wrapText="1"/>
    </xf>
    <xf numFmtId="184" fontId="26" fillId="13" borderId="121" xfId="21" applyNumberFormat="1" applyFont="1" applyFill="1" applyBorder="1" applyAlignment="1">
      <alignment horizontal="left" vertical="center" wrapText="1"/>
    </xf>
    <xf numFmtId="0" fontId="72" fillId="9" borderId="113" xfId="21" applyFont="1" applyFill="1" applyBorder="1" applyAlignment="1" applyProtection="1">
      <alignment horizontal="left" vertical="center" wrapText="1"/>
    </xf>
    <xf numFmtId="49" fontId="17" fillId="3" borderId="1" xfId="21" applyNumberFormat="1" applyFont="1" applyFill="1" applyBorder="1" applyAlignment="1" applyProtection="1">
      <alignment horizontal="left" vertical="center" wrapText="1"/>
    </xf>
    <xf numFmtId="184" fontId="72" fillId="3" borderId="0" xfId="21" applyNumberFormat="1" applyFont="1" applyFill="1" applyAlignment="1">
      <alignment horizontal="left" vertical="center"/>
    </xf>
    <xf numFmtId="0" fontId="72" fillId="3" borderId="112" xfId="21" applyFont="1" applyFill="1" applyBorder="1" applyAlignment="1" applyProtection="1">
      <alignment horizontal="left" vertical="center" wrapText="1"/>
    </xf>
    <xf numFmtId="0" fontId="72" fillId="13" borderId="119" xfId="21" applyFont="1" applyFill="1" applyBorder="1" applyAlignment="1" applyProtection="1">
      <alignment horizontal="left" vertical="center" wrapText="1"/>
    </xf>
    <xf numFmtId="0" fontId="72" fillId="13" borderId="120" xfId="21" applyFont="1" applyFill="1" applyBorder="1" applyAlignment="1" applyProtection="1">
      <alignment horizontal="left" vertical="center" wrapText="1"/>
    </xf>
    <xf numFmtId="0" fontId="72" fillId="13" borderId="115" xfId="21" applyFont="1" applyFill="1" applyBorder="1" applyAlignment="1" applyProtection="1">
      <alignment horizontal="left" vertical="center" wrapText="1"/>
    </xf>
    <xf numFmtId="0" fontId="72" fillId="13" borderId="118" xfId="21" applyFont="1" applyFill="1" applyBorder="1" applyAlignment="1" applyProtection="1">
      <alignment horizontal="left" vertical="center" wrapText="1"/>
    </xf>
    <xf numFmtId="184" fontId="26" fillId="13" borderId="120" xfId="21" applyNumberFormat="1" applyFont="1" applyFill="1" applyBorder="1" applyAlignment="1">
      <alignment horizontal="left" vertical="center" wrapText="1"/>
    </xf>
    <xf numFmtId="184" fontId="26" fillId="13" borderId="122" xfId="21" applyNumberFormat="1" applyFont="1" applyFill="1" applyBorder="1" applyAlignment="1">
      <alignment horizontal="left" vertical="center" wrapText="1"/>
    </xf>
    <xf numFmtId="184" fontId="72" fillId="12" borderId="0" xfId="21" applyNumberFormat="1" applyFont="1" applyFill="1" applyAlignment="1">
      <alignment horizontal="left" vertical="center"/>
    </xf>
    <xf numFmtId="184" fontId="72" fillId="0" borderId="17" xfId="21" applyNumberFormat="1" applyFont="1" applyBorder="1" applyAlignment="1">
      <alignment horizontal="left" vertical="center"/>
    </xf>
    <xf numFmtId="0" fontId="97" fillId="9" borderId="123" xfId="21" applyFont="1" applyFill="1" applyBorder="1" applyAlignment="1" applyProtection="1">
      <alignment horizontal="left" vertical="center" wrapText="1"/>
    </xf>
    <xf numFmtId="0" fontId="97" fillId="13" borderId="124" xfId="21" applyFont="1" applyFill="1" applyBorder="1" applyAlignment="1" applyProtection="1">
      <alignment horizontal="left" vertical="center" wrapText="1"/>
    </xf>
    <xf numFmtId="0" fontId="93" fillId="11" borderId="0" xfId="40" applyFont="1" applyFill="1" applyBorder="1" applyAlignment="1" applyProtection="1">
      <alignment horizontal="left" vertical="center"/>
      <protection locked="0"/>
    </xf>
    <xf numFmtId="0" fontId="26" fillId="0" borderId="0" xfId="21" applyFont="1" applyFill="1" applyBorder="1" applyAlignment="1" applyProtection="1">
      <alignment horizontal="left" vertical="center"/>
      <protection locked="0"/>
    </xf>
    <xf numFmtId="0" fontId="93" fillId="12" borderId="0" xfId="21" applyFont="1" applyFill="1" applyBorder="1" applyAlignment="1" applyProtection="1">
      <alignment horizontal="left" vertical="center"/>
      <protection locked="0"/>
    </xf>
    <xf numFmtId="10" fontId="93" fillId="12" borderId="125" xfId="21" applyNumberFormat="1" applyFont="1" applyFill="1" applyBorder="1" applyAlignment="1">
      <alignment horizontal="left" vertical="center"/>
    </xf>
    <xf numFmtId="0" fontId="97" fillId="9" borderId="112" xfId="40" applyFont="1" applyFill="1" applyBorder="1" applyAlignment="1" applyProtection="1">
      <alignment horizontal="left" vertical="center" wrapText="1"/>
    </xf>
    <xf numFmtId="0" fontId="97" fillId="9" borderId="126" xfId="40" applyFont="1" applyFill="1" applyBorder="1" applyAlignment="1" applyProtection="1">
      <alignment horizontal="left" vertical="center" wrapText="1"/>
    </xf>
    <xf numFmtId="10" fontId="72" fillId="0" borderId="110" xfId="21" applyNumberFormat="1" applyFont="1" applyBorder="1" applyAlignment="1">
      <alignment horizontal="left" vertical="center"/>
    </xf>
    <xf numFmtId="10" fontId="72" fillId="0" borderId="0" xfId="21" applyNumberFormat="1" applyFont="1" applyAlignment="1">
      <alignment horizontal="left" vertical="center"/>
    </xf>
    <xf numFmtId="0" fontId="97" fillId="9" borderId="126" xfId="21" applyFont="1" applyFill="1" applyBorder="1" applyAlignment="1" applyProtection="1">
      <alignment horizontal="left" vertical="center" wrapText="1"/>
    </xf>
    <xf numFmtId="0" fontId="97" fillId="13" borderId="127" xfId="21" applyFont="1" applyFill="1" applyBorder="1" applyAlignment="1" applyProtection="1">
      <alignment horizontal="left" vertical="center" wrapText="1"/>
    </xf>
    <xf numFmtId="0" fontId="97" fillId="13" borderId="126" xfId="21" applyFont="1" applyFill="1" applyBorder="1" applyAlignment="1" applyProtection="1">
      <alignment horizontal="left" vertical="center" wrapText="1"/>
    </xf>
    <xf numFmtId="10" fontId="72" fillId="0" borderId="128" xfId="21" applyNumberFormat="1" applyFont="1" applyBorder="1" applyAlignment="1">
      <alignment horizontal="left" vertical="center"/>
    </xf>
    <xf numFmtId="10" fontId="72" fillId="0" borderId="54" xfId="21" applyNumberFormat="1" applyFont="1" applyBorder="1" applyAlignment="1">
      <alignment horizontal="left" vertical="center"/>
    </xf>
    <xf numFmtId="10" fontId="72" fillId="0" borderId="0" xfId="21" applyNumberFormat="1" applyFont="1" applyBorder="1" applyAlignment="1">
      <alignment horizontal="left" vertical="center"/>
    </xf>
    <xf numFmtId="10" fontId="72" fillId="0" borderId="125" xfId="21" applyNumberFormat="1" applyFont="1" applyBorder="1" applyAlignment="1">
      <alignment horizontal="left" vertical="center"/>
    </xf>
    <xf numFmtId="10" fontId="72" fillId="0" borderId="89" xfId="21" applyNumberFormat="1" applyFont="1" applyBorder="1" applyAlignment="1">
      <alignment horizontal="left" vertical="center"/>
    </xf>
    <xf numFmtId="0" fontId="97" fillId="13" borderId="129" xfId="21" applyFont="1" applyFill="1" applyBorder="1" applyAlignment="1" applyProtection="1">
      <alignment horizontal="left" vertical="center" wrapText="1"/>
    </xf>
    <xf numFmtId="0" fontId="97" fillId="9" borderId="127" xfId="21" applyFont="1" applyFill="1" applyBorder="1" applyAlignment="1" applyProtection="1">
      <alignment horizontal="left" vertical="center" wrapText="1"/>
    </xf>
    <xf numFmtId="0" fontId="72" fillId="9" borderId="127" xfId="21" applyFont="1" applyFill="1" applyBorder="1" applyAlignment="1" applyProtection="1">
      <alignment horizontal="left" vertical="center" wrapText="1"/>
    </xf>
    <xf numFmtId="0" fontId="72" fillId="3" borderId="126" xfId="21" applyFont="1" applyFill="1" applyBorder="1" applyAlignment="1" applyProtection="1">
      <alignment horizontal="left" vertical="center" wrapText="1"/>
    </xf>
    <xf numFmtId="10" fontId="72" fillId="3" borderId="110" xfId="21" applyNumberFormat="1" applyFont="1" applyFill="1" applyBorder="1" applyAlignment="1">
      <alignment horizontal="left" vertical="center"/>
    </xf>
    <xf numFmtId="10" fontId="72" fillId="3" borderId="0" xfId="21" applyNumberFormat="1" applyFont="1" applyFill="1" applyAlignment="1">
      <alignment horizontal="left" vertical="center"/>
    </xf>
    <xf numFmtId="0" fontId="72" fillId="13" borderId="129" xfId="21" applyFont="1" applyFill="1" applyBorder="1" applyAlignment="1" applyProtection="1">
      <alignment horizontal="left" vertical="center" wrapText="1"/>
    </xf>
    <xf numFmtId="0" fontId="97" fillId="9" borderId="130" xfId="21" applyFont="1" applyFill="1" applyBorder="1" applyAlignment="1" applyProtection="1">
      <alignment horizontal="left" vertical="center" wrapText="1"/>
    </xf>
    <xf numFmtId="10" fontId="72" fillId="0" borderId="131" xfId="21" applyNumberFormat="1" applyFont="1" applyBorder="1" applyAlignment="1">
      <alignment horizontal="left" vertical="center"/>
    </xf>
    <xf numFmtId="10" fontId="72" fillId="0" borderId="17" xfId="21" applyNumberFormat="1" applyFont="1" applyBorder="1" applyAlignment="1">
      <alignment horizontal="left" vertical="center"/>
    </xf>
    <xf numFmtId="0" fontId="97" fillId="13" borderId="132" xfId="21" applyFont="1" applyFill="1" applyBorder="1" applyAlignment="1" applyProtection="1">
      <alignment horizontal="left" vertical="center" wrapText="1"/>
    </xf>
    <xf numFmtId="10" fontId="72" fillId="14" borderId="110" xfId="21" applyNumberFormat="1" applyFont="1" applyFill="1" applyBorder="1" applyAlignment="1">
      <alignment horizontal="left" vertical="center"/>
    </xf>
    <xf numFmtId="10" fontId="72" fillId="14" borderId="0" xfId="21" applyNumberFormat="1" applyFont="1" applyFill="1" applyAlignment="1">
      <alignment horizontal="left" vertical="center"/>
    </xf>
    <xf numFmtId="10" fontId="72" fillId="14" borderId="125" xfId="21" applyNumberFormat="1" applyFont="1" applyFill="1" applyBorder="1" applyAlignment="1">
      <alignment horizontal="left" vertical="center"/>
    </xf>
    <xf numFmtId="10" fontId="72" fillId="14" borderId="89" xfId="21" applyNumberFormat="1" applyFont="1" applyFill="1" applyBorder="1" applyAlignment="1">
      <alignment horizontal="left" vertical="center"/>
    </xf>
    <xf numFmtId="0" fontId="11" fillId="0" borderId="0" xfId="21" applyFont="1" applyAlignment="1">
      <alignment horizontal="left" vertical="center"/>
    </xf>
    <xf numFmtId="0" fontId="11" fillId="11" borderId="0" xfId="40" applyFont="1" applyFill="1" applyAlignment="1">
      <alignment horizontal="left" vertical="center"/>
    </xf>
    <xf numFmtId="0" fontId="72" fillId="11" borderId="0" xfId="21" applyFont="1" applyFill="1" applyAlignment="1">
      <alignment horizontal="left" vertical="center"/>
    </xf>
    <xf numFmtId="0" fontId="26" fillId="0" borderId="0" xfId="40" applyFont="1" applyFill="1" applyAlignment="1">
      <alignment horizontal="left" vertical="center"/>
    </xf>
    <xf numFmtId="0" fontId="26" fillId="12" borderId="110" xfId="21" applyFont="1" applyFill="1" applyBorder="1" applyAlignment="1">
      <alignment horizontal="left" vertical="center"/>
    </xf>
    <xf numFmtId="0" fontId="94" fillId="3" borderId="0" xfId="40" applyFont="1" applyFill="1" applyAlignment="1">
      <alignment horizontal="left" vertical="center"/>
    </xf>
    <xf numFmtId="0" fontId="72" fillId="12" borderId="0" xfId="21" applyFont="1" applyFill="1" applyAlignment="1">
      <alignment horizontal="left" vertical="center"/>
    </xf>
    <xf numFmtId="178" fontId="72" fillId="0" borderId="0" xfId="21" applyNumberFormat="1" applyFont="1" applyAlignment="1">
      <alignment horizontal="left" vertical="center"/>
    </xf>
    <xf numFmtId="177" fontId="72" fillId="0" borderId="110" xfId="21" applyNumberFormat="1" applyFont="1" applyBorder="1" applyAlignment="1">
      <alignment horizontal="left" vertical="center"/>
    </xf>
    <xf numFmtId="177" fontId="72" fillId="0" borderId="0" xfId="21" applyNumberFormat="1" applyFont="1" applyAlignment="1">
      <alignment horizontal="left" vertical="center"/>
    </xf>
    <xf numFmtId="178" fontId="72" fillId="3" borderId="0" xfId="21" applyNumberFormat="1" applyFont="1" applyFill="1" applyAlignment="1">
      <alignment horizontal="left" vertical="center"/>
    </xf>
    <xf numFmtId="10" fontId="72" fillId="3" borderId="125" xfId="21" applyNumberFormat="1" applyFont="1" applyFill="1" applyBorder="1" applyAlignment="1">
      <alignment horizontal="left" vertical="center"/>
    </xf>
    <xf numFmtId="10" fontId="72" fillId="3" borderId="89" xfId="21" applyNumberFormat="1" applyFont="1" applyFill="1" applyBorder="1" applyAlignment="1">
      <alignment horizontal="left" vertical="center"/>
    </xf>
    <xf numFmtId="0" fontId="6" fillId="3" borderId="0" xfId="21" applyFont="1" applyFill="1" applyAlignment="1">
      <alignment horizontal="left" vertical="center"/>
    </xf>
    <xf numFmtId="0" fontId="72" fillId="3" borderId="0" xfId="21" applyNumberFormat="1" applyFont="1" applyFill="1" applyAlignment="1">
      <alignment horizontal="left" vertical="center"/>
    </xf>
    <xf numFmtId="14" fontId="72" fillId="0" borderId="0" xfId="21" applyNumberFormat="1" applyFont="1" applyAlignment="1">
      <alignment horizontal="left" vertical="center"/>
    </xf>
    <xf numFmtId="0" fontId="72" fillId="0" borderId="0" xfId="21" applyNumberFormat="1" applyFont="1" applyAlignment="1">
      <alignment horizontal="left" vertical="center"/>
    </xf>
    <xf numFmtId="178" fontId="72" fillId="0" borderId="17" xfId="21" applyNumberFormat="1" applyFont="1" applyBorder="1" applyAlignment="1">
      <alignment horizontal="left" vertical="center"/>
    </xf>
    <xf numFmtId="188" fontId="72" fillId="0" borderId="0" xfId="21" applyNumberFormat="1" applyFont="1" applyAlignment="1">
      <alignment horizontal="left" vertical="center"/>
    </xf>
    <xf numFmtId="10" fontId="72" fillId="11" borderId="0" xfId="21" applyNumberFormat="1" applyFont="1" applyFill="1" applyAlignment="1">
      <alignment horizontal="left" vertical="center"/>
    </xf>
    <xf numFmtId="10" fontId="72" fillId="12" borderId="0" xfId="21" applyNumberFormat="1" applyFont="1" applyFill="1" applyAlignment="1">
      <alignment horizontal="left" vertical="center"/>
    </xf>
    <xf numFmtId="0" fontId="6" fillId="0" borderId="0" xfId="21" applyFont="1" applyAlignment="1">
      <alignment horizontal="left" vertical="center"/>
    </xf>
    <xf numFmtId="0" fontId="26" fillId="9" borderId="133" xfId="21" applyFont="1" applyFill="1" applyBorder="1" applyAlignment="1">
      <alignment horizontal="left" vertical="center" wrapText="1"/>
    </xf>
    <xf numFmtId="0" fontId="26" fillId="9" borderId="134" xfId="21" applyFont="1" applyFill="1" applyBorder="1" applyAlignment="1">
      <alignment horizontal="left" vertical="center" wrapText="1"/>
    </xf>
    <xf numFmtId="178" fontId="72" fillId="14" borderId="0" xfId="21" applyNumberFormat="1" applyFont="1" applyFill="1" applyAlignment="1">
      <alignment horizontal="left" vertical="center"/>
    </xf>
    <xf numFmtId="0" fontId="97" fillId="9" borderId="120" xfId="21" applyFont="1" applyFill="1" applyBorder="1" applyAlignment="1" applyProtection="1">
      <alignment horizontal="left" vertical="center" wrapText="1"/>
    </xf>
    <xf numFmtId="0" fontId="26" fillId="13" borderId="120" xfId="21" applyFont="1" applyFill="1" applyBorder="1" applyAlignment="1">
      <alignment horizontal="left" vertical="center" wrapText="1"/>
    </xf>
    <xf numFmtId="0" fontId="26" fillId="13" borderId="122" xfId="21" applyFont="1" applyFill="1" applyBorder="1" applyAlignment="1">
      <alignment horizontal="left" vertical="center" wrapText="1"/>
    </xf>
    <xf numFmtId="0" fontId="97" fillId="3" borderId="112" xfId="21" applyFont="1" applyFill="1" applyBorder="1" applyAlignment="1" applyProtection="1">
      <alignment horizontal="left" vertical="center" wrapText="1"/>
    </xf>
    <xf numFmtId="0" fontId="26" fillId="13" borderId="135" xfId="21" applyFont="1" applyFill="1" applyBorder="1" applyAlignment="1">
      <alignment horizontal="left" vertical="center" wrapText="1"/>
    </xf>
    <xf numFmtId="0" fontId="26" fillId="13" borderId="136" xfId="21" applyFont="1" applyFill="1" applyBorder="1" applyAlignment="1">
      <alignment horizontal="left" vertical="center" wrapText="1"/>
    </xf>
    <xf numFmtId="0" fontId="26" fillId="13" borderId="137" xfId="21" applyFont="1" applyFill="1" applyBorder="1" applyAlignment="1">
      <alignment horizontal="left" vertical="center" wrapText="1"/>
    </xf>
    <xf numFmtId="0" fontId="13" fillId="0" borderId="0" xfId="21" applyFont="1" applyAlignment="1">
      <alignment horizontal="left" vertical="center"/>
    </xf>
    <xf numFmtId="0" fontId="94" fillId="0" borderId="110" xfId="21" applyFont="1" applyBorder="1" applyAlignment="1">
      <alignment horizontal="left" vertical="center"/>
    </xf>
    <xf numFmtId="10" fontId="72" fillId="14" borderId="131" xfId="21" applyNumberFormat="1" applyFont="1" applyFill="1" applyBorder="1" applyAlignment="1">
      <alignment horizontal="left" vertical="center"/>
    </xf>
    <xf numFmtId="10" fontId="72" fillId="14" borderId="17" xfId="21" applyNumberFormat="1" applyFont="1" applyFill="1" applyBorder="1" applyAlignment="1">
      <alignment horizontal="left" vertical="center"/>
    </xf>
    <xf numFmtId="192" fontId="72" fillId="0" borderId="0" xfId="21" applyNumberFormat="1" applyFont="1" applyAlignment="1">
      <alignment horizontal="left" vertical="center"/>
    </xf>
    <xf numFmtId="192" fontId="72" fillId="0" borderId="110" xfId="21" applyNumberFormat="1" applyFont="1" applyBorder="1" applyAlignment="1">
      <alignment horizontal="left" vertical="center"/>
    </xf>
    <xf numFmtId="192" fontId="72" fillId="3" borderId="0" xfId="21" applyNumberFormat="1" applyFont="1" applyFill="1" applyAlignment="1">
      <alignment horizontal="left" vertical="center"/>
    </xf>
    <xf numFmtId="0" fontId="72" fillId="3" borderId="110" xfId="21" applyFont="1" applyFill="1" applyBorder="1" applyAlignment="1">
      <alignment horizontal="left" vertical="center"/>
    </xf>
    <xf numFmtId="192" fontId="94" fillId="0" borderId="0" xfId="21" applyNumberFormat="1" applyFont="1" applyAlignment="1">
      <alignment horizontal="left" vertical="center"/>
    </xf>
    <xf numFmtId="192" fontId="94" fillId="0" borderId="110" xfId="21" applyNumberFormat="1" applyFont="1" applyBorder="1" applyAlignment="1">
      <alignment horizontal="left" vertical="center"/>
    </xf>
    <xf numFmtId="188" fontId="72" fillId="0" borderId="17" xfId="21" applyNumberFormat="1" applyFont="1" applyBorder="1" applyAlignment="1">
      <alignment horizontal="left" vertical="center"/>
    </xf>
    <xf numFmtId="188" fontId="72" fillId="3" borderId="0" xfId="21" applyNumberFormat="1" applyFont="1" applyFill="1" applyAlignment="1">
      <alignment horizontal="left" vertical="center"/>
    </xf>
    <xf numFmtId="0" fontId="97" fillId="9" borderId="138" xfId="21" applyFont="1" applyFill="1" applyBorder="1" applyAlignment="1">
      <alignment horizontal="left" vertical="center" wrapText="1"/>
    </xf>
    <xf numFmtId="0" fontId="97" fillId="9" borderId="113" xfId="21" applyFont="1" applyFill="1" applyBorder="1" applyAlignment="1">
      <alignment horizontal="left" vertical="center" wrapText="1"/>
    </xf>
    <xf numFmtId="0" fontId="97" fillId="13" borderId="139" xfId="21" applyFont="1" applyFill="1" applyBorder="1" applyAlignment="1">
      <alignment horizontal="left" vertical="center" wrapText="1"/>
    </xf>
    <xf numFmtId="0" fontId="97" fillId="13" borderId="112" xfId="21" applyFont="1" applyFill="1" applyBorder="1" applyAlignment="1">
      <alignment horizontal="left" vertical="center" wrapText="1"/>
    </xf>
    <xf numFmtId="0" fontId="97" fillId="9" borderId="139" xfId="21" applyFont="1" applyFill="1" applyBorder="1" applyAlignment="1">
      <alignment horizontal="left" vertical="center" wrapText="1"/>
    </xf>
    <xf numFmtId="0" fontId="97" fillId="9" borderId="112" xfId="21" applyFont="1" applyFill="1" applyBorder="1" applyAlignment="1">
      <alignment horizontal="left" vertical="center" wrapText="1"/>
    </xf>
    <xf numFmtId="0" fontId="97" fillId="13" borderId="140" xfId="21" applyFont="1" applyFill="1" applyBorder="1" applyAlignment="1">
      <alignment horizontal="left" vertical="center" wrapText="1"/>
    </xf>
    <xf numFmtId="0" fontId="97" fillId="13" borderId="120" xfId="21" applyFont="1" applyFill="1" applyBorder="1" applyAlignment="1">
      <alignment horizontal="left" vertical="center" wrapText="1"/>
    </xf>
    <xf numFmtId="0" fontId="0" fillId="2" borderId="0" xfId="0" applyFill="1" applyAlignment="1" applyProtection="1">
      <alignment horizontal="center" vertical="center"/>
    </xf>
    <xf numFmtId="0" fontId="0" fillId="2" borderId="0" xfId="0" applyFill="1" applyProtection="1">
      <alignment vertical="center"/>
    </xf>
    <xf numFmtId="0" fontId="98" fillId="2" borderId="0" xfId="0" applyFont="1" applyFill="1" applyAlignment="1" applyProtection="1">
      <alignment horizontal="center" vertical="center"/>
    </xf>
    <xf numFmtId="0" fontId="99" fillId="2" borderId="40" xfId="0" applyFont="1" applyFill="1" applyBorder="1" applyAlignment="1" applyProtection="1">
      <alignment horizontal="center" vertical="center"/>
    </xf>
    <xf numFmtId="0" fontId="99" fillId="2" borderId="69" xfId="0" applyFont="1" applyFill="1" applyBorder="1" applyAlignment="1" applyProtection="1">
      <alignment vertical="center" wrapText="1"/>
    </xf>
    <xf numFmtId="0" fontId="99" fillId="2" borderId="9" xfId="0" applyFont="1" applyFill="1" applyBorder="1" applyAlignment="1" applyProtection="1">
      <alignment horizontal="center" vertical="center"/>
    </xf>
    <xf numFmtId="0" fontId="100" fillId="2" borderId="69" xfId="0" applyFont="1" applyFill="1" applyBorder="1" applyAlignment="1" applyProtection="1">
      <alignment vertical="center" wrapText="1"/>
    </xf>
    <xf numFmtId="0" fontId="100" fillId="2" borderId="5" xfId="0" applyFont="1" applyFill="1" applyBorder="1" applyAlignment="1" applyProtection="1">
      <alignment horizontal="center" vertical="center" wrapText="1"/>
    </xf>
    <xf numFmtId="10" fontId="72" fillId="0" borderId="5" xfId="0" applyNumberFormat="1" applyFont="1" applyBorder="1" applyAlignment="1">
      <alignment horizontal="center" vertical="center" wrapText="1"/>
    </xf>
    <xf numFmtId="10" fontId="72" fillId="0" borderId="13" xfId="0" applyNumberFormat="1" applyFont="1" applyBorder="1" applyAlignment="1">
      <alignment horizontal="center" vertical="center" wrapText="1"/>
    </xf>
    <xf numFmtId="0" fontId="100" fillId="2" borderId="1" xfId="0" applyFont="1" applyFill="1" applyBorder="1" applyAlignment="1" applyProtection="1">
      <alignment horizontal="center" vertical="center" wrapText="1"/>
    </xf>
    <xf numFmtId="10" fontId="72" fillId="0" borderId="1" xfId="0" applyNumberFormat="1" applyFont="1" applyBorder="1" applyAlignment="1">
      <alignment horizontal="center" vertical="center" wrapText="1"/>
    </xf>
    <xf numFmtId="10" fontId="72" fillId="0" borderId="14" xfId="0" applyNumberFormat="1" applyFont="1" applyBorder="1" applyAlignment="1">
      <alignment horizontal="center" vertical="center" wrapText="1"/>
    </xf>
    <xf numFmtId="0" fontId="100" fillId="2" borderId="3" xfId="0" applyFont="1" applyFill="1" applyBorder="1" applyAlignment="1" applyProtection="1">
      <alignment horizontal="center" vertical="center" wrapText="1"/>
    </xf>
    <xf numFmtId="0" fontId="100" fillId="2" borderId="60" xfId="0" applyFont="1" applyFill="1" applyBorder="1" applyAlignment="1" applyProtection="1">
      <alignment vertical="center" wrapText="1"/>
    </xf>
    <xf numFmtId="0" fontId="100" fillId="2" borderId="80" xfId="0" applyFont="1" applyFill="1" applyBorder="1" applyAlignment="1" applyProtection="1">
      <alignment horizontal="center" vertical="center" wrapText="1"/>
    </xf>
    <xf numFmtId="10" fontId="72" fillId="0" borderId="8" xfId="0" applyNumberFormat="1" applyFont="1" applyBorder="1" applyAlignment="1">
      <alignment horizontal="center" vertical="center" wrapText="1"/>
    </xf>
    <xf numFmtId="10" fontId="0" fillId="0" borderId="17" xfId="0" applyNumberFormat="1" applyBorder="1">
      <alignment vertical="center"/>
    </xf>
    <xf numFmtId="10" fontId="0" fillId="0" borderId="67" xfId="0" applyNumberFormat="1" applyBorder="1">
      <alignment vertical="center"/>
    </xf>
    <xf numFmtId="10" fontId="0" fillId="0" borderId="48" xfId="0" applyNumberFormat="1" applyBorder="1">
      <alignment vertical="center"/>
    </xf>
    <xf numFmtId="10" fontId="0" fillId="0" borderId="0" xfId="0" applyNumberFormat="1" applyBorder="1">
      <alignment vertical="center"/>
    </xf>
    <xf numFmtId="0" fontId="100" fillId="2" borderId="8" xfId="0" applyFont="1" applyFill="1" applyBorder="1" applyAlignment="1" applyProtection="1">
      <alignment horizontal="center" vertical="center" wrapText="1"/>
    </xf>
    <xf numFmtId="10" fontId="72" fillId="0" borderId="15" xfId="0" applyNumberFormat="1" applyFont="1" applyBorder="1" applyAlignment="1">
      <alignment horizontal="center" vertical="center" wrapText="1"/>
    </xf>
    <xf numFmtId="0" fontId="100" fillId="2" borderId="9" xfId="0" applyFont="1" applyFill="1" applyBorder="1" applyAlignment="1" applyProtection="1">
      <alignment horizontal="center" vertical="center" wrapText="1"/>
    </xf>
    <xf numFmtId="10" fontId="72" fillId="0" borderId="9" xfId="0" applyNumberFormat="1" applyFont="1" applyBorder="1" applyAlignment="1">
      <alignment horizontal="center" vertical="center" wrapText="1"/>
    </xf>
    <xf numFmtId="0" fontId="100" fillId="2" borderId="108" xfId="0" applyFont="1" applyFill="1" applyBorder="1" applyAlignment="1" applyProtection="1">
      <alignment horizontal="center" vertical="center" wrapText="1"/>
    </xf>
    <xf numFmtId="10" fontId="0" fillId="0" borderId="104" xfId="0" applyNumberFormat="1" applyBorder="1">
      <alignment vertical="center"/>
    </xf>
    <xf numFmtId="10" fontId="72" fillId="0" borderId="61" xfId="0" applyNumberFormat="1" applyFont="1" applyBorder="1" applyAlignment="1">
      <alignment horizontal="center" vertical="center" wrapText="1"/>
    </xf>
    <xf numFmtId="0" fontId="100" fillId="2" borderId="68" xfId="0" applyFont="1" applyFill="1" applyBorder="1" applyAlignment="1" applyProtection="1">
      <alignment vertical="center" wrapText="1"/>
    </xf>
    <xf numFmtId="10" fontId="72" fillId="0" borderId="72" xfId="0" applyNumberFormat="1" applyFont="1" applyBorder="1" applyAlignment="1">
      <alignment horizontal="center" vertical="center" wrapText="1"/>
    </xf>
    <xf numFmtId="10" fontId="0" fillId="0" borderId="45" xfId="0" applyNumberFormat="1" applyBorder="1">
      <alignment vertical="center"/>
    </xf>
    <xf numFmtId="182" fontId="0" fillId="0" borderId="0" xfId="48" applyNumberFormat="1" applyProtection="1">
      <alignment vertical="center"/>
    </xf>
    <xf numFmtId="0" fontId="0" fillId="0" borderId="0" xfId="48" applyNumberFormat="1" applyProtection="1">
      <alignment vertical="center"/>
    </xf>
    <xf numFmtId="182" fontId="49" fillId="0" borderId="89" xfId="48" applyNumberFormat="1" applyFont="1" applyBorder="1" applyAlignment="1" applyProtection="1">
      <alignment vertical="center"/>
    </xf>
    <xf numFmtId="0" fontId="49" fillId="0" borderId="89" xfId="48" applyNumberFormat="1" applyFont="1" applyBorder="1" applyAlignment="1" applyProtection="1">
      <alignment vertical="center"/>
    </xf>
    <xf numFmtId="182" fontId="101" fillId="2" borderId="1" xfId="48" applyNumberFormat="1" applyFont="1" applyFill="1" applyBorder="1" applyAlignment="1" applyProtection="1">
      <alignment horizontal="center" vertical="center"/>
    </xf>
    <xf numFmtId="0" fontId="101" fillId="2" borderId="1" xfId="48" applyNumberFormat="1" applyFont="1" applyFill="1" applyBorder="1" applyAlignment="1" applyProtection="1">
      <alignment horizontal="center" vertical="center"/>
    </xf>
    <xf numFmtId="0" fontId="101" fillId="2" borderId="1" xfId="48" applyNumberFormat="1" applyFont="1" applyFill="1" applyBorder="1" applyAlignment="1" applyProtection="1">
      <alignment horizontal="center" vertical="center" wrapText="1"/>
    </xf>
    <xf numFmtId="0" fontId="102" fillId="2" borderId="1" xfId="48" applyNumberFormat="1" applyFont="1" applyFill="1" applyBorder="1" applyAlignment="1" applyProtection="1">
      <alignment horizontal="center" vertical="center"/>
    </xf>
    <xf numFmtId="182" fontId="101" fillId="2" borderId="1" xfId="48" applyNumberFormat="1" applyFont="1" applyFill="1" applyBorder="1" applyAlignment="1" applyProtection="1">
      <alignment horizontal="center" vertical="center" wrapText="1"/>
    </xf>
    <xf numFmtId="0" fontId="101" fillId="2" borderId="35" xfId="48" applyNumberFormat="1" applyFont="1" applyFill="1" applyBorder="1" applyAlignment="1" applyProtection="1">
      <alignment horizontal="center" vertical="center"/>
    </xf>
    <xf numFmtId="0" fontId="0" fillId="0" borderId="0" xfId="48" applyNumberFormat="1" applyFont="1" applyProtection="1">
      <alignment vertical="center"/>
    </xf>
    <xf numFmtId="0" fontId="4" fillId="2" borderId="0" xfId="53" applyFont="1" applyFill="1" applyProtection="1">
      <alignment vertical="center"/>
    </xf>
    <xf numFmtId="0" fontId="0" fillId="2" borderId="21" xfId="53" applyFill="1" applyBorder="1" applyProtection="1">
      <alignment vertical="center"/>
    </xf>
    <xf numFmtId="0" fontId="0" fillId="2" borderId="0" xfId="53" applyFill="1" applyAlignment="1" applyProtection="1">
      <alignment horizontal="center" vertical="center"/>
    </xf>
    <xf numFmtId="0" fontId="0" fillId="2" borderId="0" xfId="53" applyFill="1" applyProtection="1">
      <alignment vertical="center"/>
    </xf>
    <xf numFmtId="0" fontId="98" fillId="2" borderId="0" xfId="53" applyFont="1" applyFill="1" applyAlignment="1" applyProtection="1">
      <alignment horizontal="center" vertical="center"/>
    </xf>
    <xf numFmtId="0" fontId="54" fillId="2" borderId="0" xfId="53" applyFont="1" applyFill="1" applyBorder="1" applyAlignment="1" applyProtection="1">
      <alignment horizontal="left" vertical="center"/>
    </xf>
    <xf numFmtId="0" fontId="99" fillId="2" borderId="4" xfId="53" applyFont="1" applyFill="1" applyBorder="1" applyAlignment="1" applyProtection="1">
      <alignment horizontal="center" vertical="center" wrapText="1"/>
    </xf>
    <xf numFmtId="0" fontId="4" fillId="2" borderId="55" xfId="53" applyFont="1" applyFill="1" applyBorder="1" applyProtection="1">
      <alignment vertical="center"/>
    </xf>
    <xf numFmtId="0" fontId="99" fillId="2" borderId="39" xfId="53" applyFont="1" applyFill="1" applyBorder="1" applyAlignment="1" applyProtection="1">
      <alignment horizontal="center" vertical="center"/>
    </xf>
    <xf numFmtId="0" fontId="4" fillId="2" borderId="21" xfId="53" applyFont="1" applyFill="1" applyBorder="1" applyProtection="1">
      <alignment vertical="center"/>
    </xf>
    <xf numFmtId="0" fontId="99" fillId="2" borderId="7" xfId="53" applyFont="1" applyFill="1" applyBorder="1" applyAlignment="1" applyProtection="1">
      <alignment horizontal="center" vertical="center" wrapText="1"/>
    </xf>
    <xf numFmtId="0" fontId="99" fillId="2" borderId="8" xfId="53" applyFont="1" applyFill="1" applyBorder="1" applyAlignment="1" applyProtection="1">
      <alignment horizontal="center" vertical="center"/>
    </xf>
    <xf numFmtId="0" fontId="99" fillId="2" borderId="42" xfId="53" applyFont="1" applyFill="1" applyBorder="1" applyAlignment="1" applyProtection="1">
      <alignment horizontal="center" vertical="center"/>
    </xf>
    <xf numFmtId="0" fontId="100" fillId="2" borderId="69" xfId="53" applyFont="1" applyFill="1" applyBorder="1" applyAlignment="1" applyProtection="1">
      <alignment vertical="center" wrapText="1"/>
    </xf>
    <xf numFmtId="0" fontId="100" fillId="2" borderId="5" xfId="53" applyFont="1" applyFill="1" applyBorder="1" applyAlignment="1" applyProtection="1">
      <alignment horizontal="center" vertical="center" wrapText="1"/>
    </xf>
    <xf numFmtId="0" fontId="100" fillId="2" borderId="39" xfId="53" applyFont="1" applyFill="1" applyBorder="1" applyAlignment="1" applyProtection="1">
      <alignment horizontal="center" vertical="center" wrapText="1"/>
    </xf>
    <xf numFmtId="0" fontId="103" fillId="2" borderId="4" xfId="53" applyFont="1" applyFill="1" applyBorder="1" applyAlignment="1" applyProtection="1">
      <alignment horizontal="center" vertical="center"/>
    </xf>
    <xf numFmtId="0" fontId="103" fillId="2" borderId="39" xfId="53" applyFont="1" applyFill="1" applyBorder="1" applyProtection="1">
      <alignment vertical="center"/>
    </xf>
    <xf numFmtId="0" fontId="100" fillId="2" borderId="1" xfId="53" applyFont="1" applyFill="1" applyBorder="1" applyAlignment="1" applyProtection="1">
      <alignment horizontal="center" vertical="center" wrapText="1"/>
    </xf>
    <xf numFmtId="0" fontId="100" fillId="2" borderId="34" xfId="53" applyFont="1" applyFill="1" applyBorder="1" applyAlignment="1" applyProtection="1">
      <alignment horizontal="center" vertical="center" wrapText="1"/>
    </xf>
    <xf numFmtId="0" fontId="103" fillId="2" borderId="6" xfId="53" applyFont="1" applyFill="1" applyBorder="1" applyAlignment="1" applyProtection="1">
      <alignment horizontal="center" vertical="center"/>
    </xf>
    <xf numFmtId="0" fontId="103" fillId="2" borderId="10" xfId="53" applyFont="1" applyFill="1" applyBorder="1" applyProtection="1">
      <alignment vertical="center"/>
    </xf>
    <xf numFmtId="0" fontId="100" fillId="2" borderId="3" xfId="53" applyFont="1" applyFill="1" applyBorder="1" applyAlignment="1" applyProtection="1">
      <alignment horizontal="center" vertical="center" wrapText="1"/>
    </xf>
    <xf numFmtId="0" fontId="100" fillId="2" borderId="80" xfId="53" applyFont="1" applyFill="1" applyBorder="1" applyAlignment="1" applyProtection="1">
      <alignment horizontal="center" vertical="center" wrapText="1"/>
    </xf>
    <xf numFmtId="0" fontId="100" fillId="2" borderId="8" xfId="53" applyFont="1" applyFill="1" applyBorder="1" applyAlignment="1" applyProtection="1">
      <alignment horizontal="center" vertical="center" wrapText="1"/>
    </xf>
    <xf numFmtId="0" fontId="54" fillId="2" borderId="42" xfId="53" applyFont="1" applyFill="1" applyBorder="1" applyProtection="1">
      <alignment vertical="center"/>
    </xf>
    <xf numFmtId="0" fontId="100" fillId="2" borderId="10" xfId="53" applyFont="1" applyFill="1" applyBorder="1" applyAlignment="1" applyProtection="1">
      <alignment horizontal="center" vertical="center" wrapText="1"/>
    </xf>
    <xf numFmtId="0" fontId="103" fillId="2" borderId="7" xfId="53" applyFont="1" applyFill="1" applyBorder="1" applyAlignment="1" applyProtection="1">
      <alignment horizontal="center" vertical="center"/>
    </xf>
    <xf numFmtId="0" fontId="103" fillId="2" borderId="42" xfId="53" applyFont="1" applyFill="1" applyBorder="1" applyProtection="1">
      <alignment vertical="center"/>
    </xf>
    <xf numFmtId="0" fontId="54" fillId="2" borderId="10" xfId="53" applyFont="1" applyFill="1" applyBorder="1" applyProtection="1">
      <alignment vertical="center"/>
    </xf>
    <xf numFmtId="0" fontId="104" fillId="2" borderId="0" xfId="53" applyFont="1" applyFill="1" applyBorder="1" applyProtection="1">
      <alignment vertical="center"/>
    </xf>
    <xf numFmtId="0" fontId="100" fillId="2" borderId="60" xfId="53" applyFont="1" applyFill="1" applyBorder="1" applyAlignment="1" applyProtection="1">
      <alignment vertical="center" wrapText="1"/>
    </xf>
    <xf numFmtId="0" fontId="105" fillId="2" borderId="0" xfId="53" applyFont="1" applyFill="1" applyProtection="1">
      <alignment vertical="center"/>
    </xf>
    <xf numFmtId="0" fontId="104" fillId="2" borderId="0" xfId="53" applyFont="1" applyFill="1" applyProtection="1">
      <alignment vertical="center"/>
    </xf>
    <xf numFmtId="0" fontId="100" fillId="2" borderId="42" xfId="53" applyFont="1" applyFill="1" applyBorder="1" applyAlignment="1" applyProtection="1">
      <alignment horizontal="center" vertical="center" wrapText="1"/>
    </xf>
    <xf numFmtId="0" fontId="0" fillId="2" borderId="10" xfId="53" applyFill="1" applyBorder="1" applyProtection="1">
      <alignment vertical="center"/>
    </xf>
    <xf numFmtId="0" fontId="0" fillId="2" borderId="69" xfId="53" applyFill="1" applyBorder="1" applyAlignment="1" applyProtection="1">
      <alignment horizontal="center" vertical="center"/>
    </xf>
    <xf numFmtId="0" fontId="0" fillId="2" borderId="41" xfId="53" applyFill="1" applyBorder="1" applyAlignment="1" applyProtection="1">
      <alignment horizontal="center" vertical="center"/>
    </xf>
    <xf numFmtId="0" fontId="100" fillId="2" borderId="6" xfId="53" applyFont="1" applyFill="1" applyBorder="1" applyAlignment="1" applyProtection="1">
      <alignment horizontal="center" vertical="center" wrapText="1"/>
    </xf>
    <xf numFmtId="0" fontId="0" fillId="2" borderId="70" xfId="53" applyFill="1" applyBorder="1" applyAlignment="1" applyProtection="1">
      <alignment horizontal="center" vertical="center"/>
    </xf>
    <xf numFmtId="0" fontId="0" fillId="2" borderId="1" xfId="53" applyFill="1" applyBorder="1" applyProtection="1">
      <alignment vertical="center"/>
    </xf>
    <xf numFmtId="0" fontId="0" fillId="2" borderId="39" xfId="53" applyFill="1" applyBorder="1" applyProtection="1">
      <alignment vertical="center"/>
    </xf>
    <xf numFmtId="0" fontId="0" fillId="2" borderId="0" xfId="53" applyFill="1" applyAlignment="1" applyProtection="1">
      <alignment vertical="center"/>
    </xf>
    <xf numFmtId="0" fontId="0" fillId="2" borderId="69" xfId="53" applyFill="1" applyBorder="1" applyAlignment="1" applyProtection="1">
      <alignment horizontal="right" vertical="center"/>
    </xf>
    <xf numFmtId="0" fontId="0" fillId="2" borderId="4" xfId="53" applyFill="1" applyBorder="1" applyAlignment="1" applyProtection="1">
      <alignment horizontal="center" vertical="center"/>
    </xf>
    <xf numFmtId="188" fontId="0" fillId="2" borderId="5" xfId="53" applyNumberFormat="1" applyFill="1" applyBorder="1" applyAlignment="1" applyProtection="1">
      <alignment horizontal="center" vertical="center"/>
    </xf>
    <xf numFmtId="188" fontId="0" fillId="2" borderId="39" xfId="53" applyNumberFormat="1" applyFill="1" applyBorder="1" applyAlignment="1" applyProtection="1">
      <alignment horizontal="center" vertical="center"/>
    </xf>
    <xf numFmtId="0" fontId="0" fillId="2" borderId="6" xfId="53" applyFill="1" applyBorder="1" applyAlignment="1" applyProtection="1">
      <alignment horizontal="center" vertical="center"/>
    </xf>
    <xf numFmtId="188" fontId="0" fillId="2" borderId="1" xfId="53" applyNumberFormat="1" applyFill="1" applyBorder="1" applyAlignment="1" applyProtection="1">
      <alignment horizontal="center" vertical="center"/>
    </xf>
    <xf numFmtId="188" fontId="0" fillId="2" borderId="10" xfId="53" applyNumberFormat="1" applyFill="1" applyBorder="1" applyAlignment="1" applyProtection="1">
      <alignment horizontal="center" vertical="center"/>
    </xf>
    <xf numFmtId="0" fontId="0" fillId="2" borderId="7" xfId="53" applyFill="1" applyBorder="1" applyAlignment="1" applyProtection="1">
      <alignment horizontal="center" vertical="center"/>
    </xf>
    <xf numFmtId="188" fontId="0" fillId="2" borderId="42" xfId="53" applyNumberFormat="1" applyFill="1" applyBorder="1" applyAlignment="1" applyProtection="1">
      <alignment horizontal="center" vertical="center"/>
    </xf>
    <xf numFmtId="188" fontId="0" fillId="2" borderId="8" xfId="53" applyNumberFormat="1" applyFill="1" applyBorder="1" applyAlignment="1" applyProtection="1">
      <alignment horizontal="center" vertical="center"/>
    </xf>
    <xf numFmtId="0" fontId="106" fillId="2" borderId="4" xfId="53" applyFont="1" applyFill="1" applyBorder="1" applyAlignment="1" applyProtection="1">
      <alignment horizontal="center" vertical="center" wrapText="1"/>
    </xf>
    <xf numFmtId="0" fontId="106" fillId="2" borderId="5" xfId="53" applyFont="1" applyFill="1" applyBorder="1" applyAlignment="1" applyProtection="1">
      <alignment horizontal="center" vertical="center" wrapText="1"/>
    </xf>
    <xf numFmtId="0" fontId="106" fillId="2" borderId="6" xfId="53" applyFont="1" applyFill="1" applyBorder="1" applyAlignment="1" applyProtection="1">
      <alignment horizontal="center" vertical="center" wrapText="1"/>
    </xf>
    <xf numFmtId="0" fontId="106" fillId="2" borderId="1" xfId="53" applyFont="1" applyFill="1" applyBorder="1" applyAlignment="1" applyProtection="1">
      <alignment horizontal="center" vertical="center" wrapText="1"/>
    </xf>
    <xf numFmtId="0" fontId="106" fillId="2" borderId="22" xfId="53" applyFont="1" applyFill="1" applyBorder="1" applyAlignment="1" applyProtection="1">
      <alignment horizontal="center" vertical="center" wrapText="1"/>
    </xf>
    <xf numFmtId="0" fontId="106" fillId="2" borderId="9" xfId="53" applyFont="1" applyFill="1" applyBorder="1" applyAlignment="1" applyProtection="1">
      <alignment horizontal="center" vertical="center" wrapText="1"/>
    </xf>
    <xf numFmtId="0" fontId="0" fillId="2" borderId="1" xfId="53" applyFill="1" applyBorder="1" applyAlignment="1" applyProtection="1">
      <alignment horizontal="center" vertical="center"/>
    </xf>
    <xf numFmtId="0" fontId="106"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107" fillId="2" borderId="89" xfId="53" applyFont="1" applyFill="1" applyBorder="1" applyAlignment="1" applyProtection="1">
      <alignment vertical="center"/>
    </xf>
    <xf numFmtId="0" fontId="107" fillId="2" borderId="0" xfId="53" applyFont="1" applyFill="1" applyBorder="1" applyAlignment="1" applyProtection="1">
      <alignment vertical="center"/>
    </xf>
    <xf numFmtId="0" fontId="106" fillId="2" borderId="10" xfId="53" applyFont="1" applyFill="1" applyBorder="1" applyAlignment="1" applyProtection="1">
      <alignment horizontal="center" vertical="center" wrapText="1"/>
    </xf>
    <xf numFmtId="0" fontId="106" fillId="2" borderId="11" xfId="53" applyFont="1" applyFill="1" applyBorder="1" applyAlignment="1" applyProtection="1">
      <alignment horizontal="center" vertical="center" wrapText="1"/>
    </xf>
    <xf numFmtId="0" fontId="106" fillId="2" borderId="0" xfId="53" applyFont="1" applyFill="1" applyBorder="1" applyAlignment="1" applyProtection="1">
      <alignment horizontal="center" vertical="center" wrapText="1"/>
    </xf>
    <xf numFmtId="0" fontId="106" fillId="2" borderId="1" xfId="53" applyFont="1" applyFill="1" applyBorder="1" applyAlignment="1" applyProtection="1">
      <alignment horizontal="center" vertical="center"/>
    </xf>
    <xf numFmtId="0" fontId="106" fillId="2" borderId="10" xfId="53" applyFont="1" applyFill="1" applyBorder="1" applyAlignment="1" applyProtection="1">
      <alignment horizontal="left" vertical="center"/>
    </xf>
    <xf numFmtId="0" fontId="106" fillId="2" borderId="11" xfId="53" applyFont="1" applyFill="1" applyBorder="1" applyAlignment="1" applyProtection="1">
      <alignment horizontal="left" vertical="center"/>
    </xf>
    <xf numFmtId="0" fontId="106" fillId="2" borderId="0" xfId="53" applyFont="1" applyFill="1" applyBorder="1" applyAlignment="1" applyProtection="1">
      <alignment vertical="center"/>
    </xf>
    <xf numFmtId="0" fontId="106" fillId="2" borderId="0" xfId="53" applyFont="1" applyFill="1" applyBorder="1" applyAlignment="1" applyProtection="1">
      <alignment horizontal="center" vertical="center"/>
    </xf>
    <xf numFmtId="0" fontId="106" fillId="2" borderId="54" xfId="53" applyFont="1" applyFill="1" applyBorder="1" applyAlignment="1" applyProtection="1">
      <alignment vertical="center"/>
    </xf>
    <xf numFmtId="0" fontId="106" fillId="2" borderId="34" xfId="53" applyFont="1" applyFill="1" applyBorder="1" applyAlignment="1" applyProtection="1">
      <alignment vertical="center" wrapText="1"/>
    </xf>
    <xf numFmtId="0" fontId="106" fillId="2" borderId="3" xfId="53" applyFont="1" applyFill="1" applyBorder="1" applyAlignment="1" applyProtection="1">
      <alignment vertical="center" wrapText="1"/>
    </xf>
    <xf numFmtId="0" fontId="106" fillId="2" borderId="81" xfId="53" applyFont="1" applyFill="1" applyBorder="1" applyAlignment="1" applyProtection="1">
      <alignment vertical="center" wrapText="1"/>
    </xf>
    <xf numFmtId="0" fontId="106" fillId="2" borderId="3" xfId="53" applyFont="1" applyFill="1" applyBorder="1" applyAlignment="1" applyProtection="1">
      <alignment horizontal="center" vertical="center"/>
    </xf>
    <xf numFmtId="0" fontId="106" fillId="2" borderId="0" xfId="53" applyFont="1" applyFill="1" applyAlignment="1" applyProtection="1">
      <alignment horizontal="center" vertical="center"/>
    </xf>
    <xf numFmtId="9" fontId="106" fillId="2" borderId="1" xfId="53" applyNumberFormat="1" applyFont="1" applyFill="1" applyBorder="1" applyAlignment="1" applyProtection="1">
      <alignment horizontal="center" vertical="center"/>
    </xf>
    <xf numFmtId="188" fontId="0" fillId="2" borderId="13" xfId="53" applyNumberFormat="1" applyFill="1" applyBorder="1" applyAlignment="1" applyProtection="1">
      <alignment horizontal="center" vertical="center"/>
    </xf>
    <xf numFmtId="188" fontId="0" fillId="2" borderId="14" xfId="53" applyNumberFormat="1" applyFill="1" applyBorder="1" applyAlignment="1" applyProtection="1">
      <alignment horizontal="center" vertical="center"/>
    </xf>
    <xf numFmtId="188" fontId="0" fillId="2" borderId="15" xfId="53" applyNumberFormat="1" applyFill="1" applyBorder="1" applyAlignment="1" applyProtection="1">
      <alignment horizontal="center" vertical="center"/>
    </xf>
    <xf numFmtId="0" fontId="106" fillId="2" borderId="13" xfId="53" applyFont="1" applyFill="1" applyBorder="1" applyAlignment="1" applyProtection="1">
      <alignment horizontal="center" vertical="center" wrapText="1"/>
    </xf>
    <xf numFmtId="0" fontId="106" fillId="2" borderId="14" xfId="53" applyFont="1" applyFill="1" applyBorder="1" applyAlignment="1" applyProtection="1">
      <alignment horizontal="center" vertical="center" wrapText="1"/>
    </xf>
    <xf numFmtId="0" fontId="106" fillId="2" borderId="57" xfId="53" applyFont="1" applyFill="1" applyBorder="1" applyAlignment="1" applyProtection="1">
      <alignment horizontal="center" vertical="center" wrapText="1"/>
    </xf>
    <xf numFmtId="0" fontId="107" fillId="2" borderId="0" xfId="53" applyFont="1" applyFill="1" applyAlignment="1" applyProtection="1">
      <alignment horizontal="center" vertical="center"/>
    </xf>
    <xf numFmtId="0" fontId="48" fillId="0" borderId="0" xfId="53" applyFont="1" applyAlignment="1" applyProtection="1">
      <alignment vertical="center" wrapText="1"/>
    </xf>
    <xf numFmtId="0" fontId="101" fillId="6" borderId="0" xfId="53" applyFont="1" applyFill="1" applyAlignment="1" applyProtection="1">
      <alignment vertical="center" wrapText="1"/>
    </xf>
    <xf numFmtId="0" fontId="101" fillId="0" borderId="0" xfId="53" applyFont="1" applyAlignment="1" applyProtection="1">
      <alignment horizontal="center" vertical="center" wrapText="1"/>
    </xf>
    <xf numFmtId="0" fontId="101" fillId="0" borderId="0" xfId="53" applyFont="1" applyAlignment="1" applyProtection="1">
      <alignment horizontal="left" vertical="center" wrapText="1"/>
    </xf>
    <xf numFmtId="0" fontId="101" fillId="0" borderId="0" xfId="53" applyFont="1" applyAlignment="1" applyProtection="1">
      <alignment vertical="center" wrapText="1"/>
    </xf>
    <xf numFmtId="0" fontId="101" fillId="6" borderId="0" xfId="53" applyFont="1" applyFill="1" applyAlignment="1" applyProtection="1">
      <alignment horizontal="center" vertical="center" wrapText="1"/>
    </xf>
    <xf numFmtId="0" fontId="108" fillId="2" borderId="59" xfId="53" applyFont="1" applyFill="1" applyBorder="1" applyAlignment="1" applyProtection="1">
      <alignment vertical="center"/>
    </xf>
    <xf numFmtId="0" fontId="49" fillId="2" borderId="78" xfId="53" applyFont="1" applyFill="1" applyBorder="1" applyAlignment="1" applyProtection="1">
      <alignment vertical="center"/>
    </xf>
    <xf numFmtId="0" fontId="49" fillId="2" borderId="1" xfId="53" applyFont="1" applyFill="1" applyBorder="1" applyAlignment="1" applyProtection="1">
      <alignment vertical="center"/>
    </xf>
    <xf numFmtId="0" fontId="101" fillId="2" borderId="1" xfId="53" applyFont="1" applyFill="1" applyBorder="1" applyAlignment="1" applyProtection="1">
      <alignment vertical="center" wrapText="1"/>
    </xf>
    <xf numFmtId="0" fontId="101" fillId="0" borderId="1" xfId="53" applyFont="1" applyFill="1" applyBorder="1" applyAlignment="1" applyProtection="1">
      <alignment vertical="center" wrapText="1"/>
      <protection locked="0"/>
    </xf>
    <xf numFmtId="0" fontId="101" fillId="2" borderId="0" xfId="53" applyFont="1" applyFill="1" applyAlignment="1" applyProtection="1">
      <alignment vertical="center" wrapText="1"/>
    </xf>
    <xf numFmtId="0" fontId="36" fillId="2" borderId="9" xfId="53" applyFont="1" applyFill="1" applyBorder="1" applyAlignment="1" applyProtection="1">
      <alignment horizontal="right" vertical="center"/>
    </xf>
    <xf numFmtId="0" fontId="49" fillId="2" borderId="10" xfId="53" applyFont="1" applyFill="1" applyBorder="1" applyAlignment="1" applyProtection="1">
      <alignment vertical="center"/>
    </xf>
    <xf numFmtId="0" fontId="101" fillId="2" borderId="1" xfId="53" applyNumberFormat="1" applyFont="1" applyFill="1" applyBorder="1" applyAlignment="1" applyProtection="1">
      <alignment horizontal="left" vertical="center" wrapText="1"/>
    </xf>
    <xf numFmtId="0" fontId="101" fillId="3" borderId="1" xfId="53" applyNumberFormat="1" applyFont="1" applyFill="1" applyBorder="1" applyAlignment="1" applyProtection="1">
      <alignment horizontal="center" vertical="center" wrapText="1"/>
      <protection locked="0"/>
    </xf>
    <xf numFmtId="0" fontId="101" fillId="2" borderId="1" xfId="53" applyNumberFormat="1" applyFont="1" applyFill="1" applyBorder="1" applyAlignment="1" applyProtection="1">
      <alignment horizontal="center" vertical="center" wrapText="1"/>
    </xf>
    <xf numFmtId="0" fontId="49" fillId="2" borderId="9" xfId="53" applyFont="1" applyFill="1" applyBorder="1" applyAlignment="1" applyProtection="1">
      <alignment vertical="center"/>
    </xf>
    <xf numFmtId="0" fontId="101" fillId="3" borderId="1" xfId="53" applyNumberFormat="1" applyFont="1" applyFill="1" applyBorder="1" applyAlignment="1" applyProtection="1">
      <alignment vertical="center" wrapText="1"/>
      <protection locked="0"/>
    </xf>
    <xf numFmtId="0" fontId="101" fillId="3" borderId="1" xfId="0" applyFont="1" applyFill="1" applyBorder="1" applyAlignment="1" applyProtection="1">
      <alignment horizontal="left" vertical="center"/>
      <protection locked="0"/>
    </xf>
    <xf numFmtId="182" fontId="32" fillId="2" borderId="1" xfId="53" applyNumberFormat="1" applyFont="1" applyFill="1" applyBorder="1" applyAlignment="1" applyProtection="1">
      <alignment horizontal="center" vertical="center" wrapText="1"/>
    </xf>
    <xf numFmtId="0" fontId="101" fillId="2" borderId="1" xfId="53" applyFont="1" applyFill="1" applyBorder="1" applyAlignment="1" applyProtection="1">
      <alignment horizontal="left" vertical="center" wrapText="1"/>
    </xf>
    <xf numFmtId="0" fontId="49" fillId="2" borderId="10" xfId="53" applyFont="1" applyFill="1" applyBorder="1" applyAlignment="1" applyProtection="1">
      <alignment vertical="center" wrapText="1"/>
    </xf>
    <xf numFmtId="0" fontId="36" fillId="2" borderId="1" xfId="53" applyFont="1" applyFill="1" applyBorder="1" applyAlignment="1" applyProtection="1">
      <alignment horizontal="right" vertical="center" wrapText="1"/>
    </xf>
    <xf numFmtId="0" fontId="49" fillId="2" borderId="1" xfId="53" applyFont="1" applyFill="1" applyBorder="1" applyAlignment="1" applyProtection="1">
      <alignment vertical="center" wrapText="1"/>
    </xf>
    <xf numFmtId="0" fontId="49" fillId="2" borderId="12" xfId="53" applyFont="1" applyFill="1" applyBorder="1" applyAlignment="1" applyProtection="1">
      <alignment vertical="center" wrapText="1"/>
    </xf>
    <xf numFmtId="49" fontId="109" fillId="2" borderId="9" xfId="0" applyNumberFormat="1" applyFont="1" applyFill="1" applyBorder="1" applyAlignment="1" applyProtection="1">
      <alignment horizontal="left" vertical="center" wrapText="1"/>
    </xf>
    <xf numFmtId="0" fontId="50" fillId="2" borderId="9" xfId="53" applyFont="1" applyFill="1" applyBorder="1" applyAlignment="1" applyProtection="1">
      <alignment horizontal="left" vertical="center" wrapText="1"/>
    </xf>
    <xf numFmtId="0" fontId="37" fillId="2" borderId="54" xfId="53" applyFont="1" applyFill="1" applyBorder="1" applyAlignment="1" applyProtection="1">
      <alignment horizontal="center" vertical="center"/>
    </xf>
    <xf numFmtId="0" fontId="110" fillId="2" borderId="54" xfId="53" applyFont="1" applyFill="1" applyBorder="1" applyAlignment="1" applyProtection="1">
      <alignment horizontal="center" vertical="center"/>
    </xf>
    <xf numFmtId="0" fontId="50" fillId="2" borderId="54" xfId="53" applyFont="1" applyFill="1" applyBorder="1" applyAlignment="1" applyProtection="1">
      <alignment vertical="center" wrapText="1"/>
    </xf>
    <xf numFmtId="0" fontId="48" fillId="2" borderId="54" xfId="53" applyFont="1" applyFill="1" applyBorder="1" applyAlignment="1" applyProtection="1">
      <alignment vertical="center" wrapText="1"/>
    </xf>
    <xf numFmtId="49" fontId="111" fillId="2" borderId="60" xfId="0" applyNumberFormat="1" applyFont="1" applyFill="1" applyBorder="1" applyAlignment="1" applyProtection="1">
      <alignment horizontal="center" vertical="center" wrapText="1"/>
    </xf>
    <xf numFmtId="0" fontId="58" fillId="2" borderId="104" xfId="53" applyFont="1" applyFill="1" applyBorder="1" applyAlignment="1" applyProtection="1">
      <alignment horizontal="left" vertical="center" wrapText="1"/>
    </xf>
    <xf numFmtId="0" fontId="20" fillId="2" borderId="63" xfId="53" applyFont="1" applyFill="1" applyBorder="1" applyAlignment="1" applyProtection="1">
      <alignment horizontal="center" vertical="center"/>
    </xf>
    <xf numFmtId="0" fontId="112" fillId="2" borderId="63" xfId="53" applyFont="1" applyFill="1" applyBorder="1" applyAlignment="1" applyProtection="1">
      <alignment vertical="center"/>
    </xf>
    <xf numFmtId="0" fontId="58" fillId="2" borderId="104" xfId="53" applyFont="1" applyFill="1" applyBorder="1" applyAlignment="1" applyProtection="1">
      <alignment horizontal="center" vertical="center" wrapText="1"/>
    </xf>
    <xf numFmtId="0" fontId="101" fillId="2" borderId="104" xfId="53" applyFont="1" applyFill="1" applyBorder="1" applyAlignment="1" applyProtection="1">
      <alignment vertical="center" wrapText="1"/>
    </xf>
    <xf numFmtId="49" fontId="68" fillId="2" borderId="69" xfId="0" applyNumberFormat="1" applyFont="1" applyFill="1" applyBorder="1" applyAlignment="1" applyProtection="1">
      <alignment horizontal="center" vertical="center" wrapText="1"/>
    </xf>
    <xf numFmtId="0" fontId="58" fillId="2" borderId="5" xfId="53" applyFont="1" applyFill="1" applyBorder="1" applyAlignment="1" applyProtection="1">
      <alignment horizontal="left" vertical="center" wrapText="1"/>
    </xf>
    <xf numFmtId="0" fontId="20" fillId="2" borderId="39" xfId="53" applyNumberFormat="1" applyFont="1" applyFill="1" applyBorder="1" applyAlignment="1" applyProtection="1">
      <alignment horizontal="center" vertical="center" wrapText="1"/>
    </xf>
    <xf numFmtId="0" fontId="101" fillId="2" borderId="5" xfId="53" applyFont="1" applyFill="1" applyBorder="1" applyAlignment="1" applyProtection="1">
      <alignment horizontal="center" vertical="center" wrapText="1"/>
    </xf>
    <xf numFmtId="0" fontId="17" fillId="0" borderId="5" xfId="53" applyFont="1" applyFill="1" applyBorder="1" applyAlignment="1" applyProtection="1">
      <alignment horizontal="center" vertical="center" wrapText="1"/>
      <protection locked="0"/>
    </xf>
    <xf numFmtId="0" fontId="101" fillId="2" borderId="55" xfId="53" applyFont="1" applyFill="1" applyBorder="1" applyAlignment="1" applyProtection="1">
      <alignment horizontal="center" vertical="center" wrapText="1"/>
    </xf>
    <xf numFmtId="0" fontId="101" fillId="2" borderId="55" xfId="53" applyFont="1" applyFill="1" applyBorder="1" applyAlignment="1" applyProtection="1">
      <alignment vertical="center" wrapText="1"/>
    </xf>
    <xf numFmtId="49" fontId="68" fillId="2" borderId="68" xfId="0" applyNumberFormat="1" applyFont="1" applyFill="1" applyBorder="1" applyAlignment="1" applyProtection="1">
      <alignment horizontal="center" vertical="center" wrapText="1"/>
    </xf>
    <xf numFmtId="0" fontId="17" fillId="3" borderId="1" xfId="53" applyFont="1" applyFill="1" applyBorder="1" applyAlignment="1" applyProtection="1">
      <alignment horizontal="center" vertical="center" wrapText="1"/>
      <protection locked="0"/>
    </xf>
    <xf numFmtId="0" fontId="17" fillId="2" borderId="3" xfId="53" applyFont="1" applyFill="1" applyBorder="1" applyAlignment="1" applyProtection="1">
      <alignment horizontal="center" vertical="center" wrapText="1"/>
    </xf>
    <xf numFmtId="0" fontId="17" fillId="2" borderId="34" xfId="53" applyFont="1" applyFill="1" applyBorder="1" applyAlignment="1" applyProtection="1">
      <alignment horizontal="center" vertical="center" wrapText="1"/>
    </xf>
    <xf numFmtId="0" fontId="101" fillId="2" borderId="10" xfId="53" applyFont="1" applyFill="1" applyBorder="1" applyAlignment="1" applyProtection="1">
      <alignment vertical="center"/>
    </xf>
    <xf numFmtId="0" fontId="101" fillId="2" borderId="12" xfId="53" applyFont="1" applyFill="1" applyBorder="1" applyAlignment="1" applyProtection="1">
      <alignment vertical="center" wrapText="1"/>
    </xf>
    <xf numFmtId="9" fontId="17" fillId="2" borderId="1" xfId="53" applyNumberFormat="1" applyFont="1" applyFill="1" applyBorder="1" applyAlignment="1" applyProtection="1">
      <alignment horizontal="center" vertical="center" wrapText="1"/>
    </xf>
    <xf numFmtId="0" fontId="17" fillId="2" borderId="1" xfId="53" applyFont="1" applyFill="1" applyBorder="1" applyAlignment="1" applyProtection="1">
      <alignment horizontal="center" vertical="center" wrapText="1"/>
    </xf>
    <xf numFmtId="0" fontId="101" fillId="2" borderId="9" xfId="53" applyFont="1" applyFill="1" applyBorder="1" applyAlignment="1" applyProtection="1">
      <alignment horizontal="left" vertical="center" wrapText="1"/>
    </xf>
    <xf numFmtId="0" fontId="17" fillId="2" borderId="9" xfId="53" applyFont="1" applyFill="1" applyBorder="1" applyAlignment="1" applyProtection="1">
      <alignment horizontal="center" vertical="center" wrapText="1"/>
    </xf>
    <xf numFmtId="0" fontId="101" fillId="2" borderId="18" xfId="53" applyFont="1" applyFill="1" applyBorder="1" applyAlignment="1" applyProtection="1">
      <alignment vertical="center"/>
    </xf>
    <xf numFmtId="0" fontId="101" fillId="2" borderId="54" xfId="53" applyFont="1" applyFill="1" applyBorder="1" applyAlignment="1" applyProtection="1">
      <alignment vertical="center" wrapText="1"/>
    </xf>
    <xf numFmtId="0" fontId="58" fillId="2" borderId="41" xfId="53" applyFont="1" applyFill="1" applyBorder="1" applyAlignment="1" applyProtection="1">
      <alignment horizontal="left" vertical="center" wrapText="1"/>
    </xf>
    <xf numFmtId="0" fontId="101" fillId="2" borderId="39" xfId="53" applyFont="1" applyFill="1" applyBorder="1" applyAlignment="1" applyProtection="1">
      <alignment vertical="center"/>
    </xf>
    <xf numFmtId="0" fontId="101" fillId="2" borderId="78" xfId="53" applyFont="1" applyFill="1" applyBorder="1" applyAlignment="1" applyProtection="1">
      <alignment horizontal="center" vertical="center" wrapText="1"/>
    </xf>
    <xf numFmtId="0" fontId="101" fillId="2" borderId="78" xfId="53" applyFont="1" applyFill="1" applyBorder="1" applyAlignment="1" applyProtection="1">
      <alignment vertical="center" wrapText="1"/>
    </xf>
    <xf numFmtId="49" fontId="85" fillId="2" borderId="21" xfId="0" applyNumberFormat="1" applyFont="1" applyFill="1" applyBorder="1" applyAlignment="1" applyProtection="1">
      <alignment horizontal="center" vertical="center" wrapText="1"/>
    </xf>
    <xf numFmtId="0" fontId="100" fillId="2" borderId="9" xfId="53" applyFont="1" applyFill="1" applyBorder="1" applyAlignment="1" applyProtection="1">
      <alignment horizontal="left" vertical="center" wrapText="1"/>
    </xf>
    <xf numFmtId="0" fontId="100" fillId="2" borderId="11" xfId="53" applyFont="1" applyFill="1" applyBorder="1" applyAlignment="1" applyProtection="1">
      <alignment horizontal="center" vertical="center" wrapText="1"/>
    </xf>
    <xf numFmtId="0" fontId="71" fillId="2" borderId="3" xfId="53" applyFont="1" applyFill="1" applyBorder="1" applyAlignment="1" applyProtection="1">
      <alignment horizontal="center" vertical="center" wrapText="1"/>
    </xf>
    <xf numFmtId="0" fontId="101" fillId="0" borderId="1" xfId="53" applyFont="1" applyFill="1" applyBorder="1" applyAlignment="1" applyProtection="1">
      <alignment horizontal="center" vertical="center"/>
      <protection locked="0"/>
    </xf>
    <xf numFmtId="0" fontId="101" fillId="0" borderId="1" xfId="53" applyFont="1" applyBorder="1" applyAlignment="1" applyProtection="1">
      <alignment horizontal="center" vertical="center" wrapText="1"/>
      <protection locked="0"/>
    </xf>
    <xf numFmtId="0" fontId="100" fillId="2" borderId="3" xfId="53" applyFont="1" applyFill="1" applyBorder="1" applyAlignment="1" applyProtection="1">
      <alignment horizontal="left" vertical="center" wrapText="1"/>
    </xf>
    <xf numFmtId="0" fontId="100" fillId="3" borderId="11" xfId="53" applyFont="1" applyFill="1" applyBorder="1" applyAlignment="1" applyProtection="1">
      <alignment horizontal="center" vertical="center" wrapText="1"/>
      <protection locked="0"/>
    </xf>
    <xf numFmtId="0" fontId="100" fillId="3" borderId="1" xfId="53" applyFont="1" applyFill="1" applyBorder="1" applyAlignment="1" applyProtection="1">
      <alignment horizontal="center" vertical="center" wrapText="1"/>
      <protection locked="0"/>
    </xf>
    <xf numFmtId="0" fontId="100" fillId="3" borderId="3" xfId="53" applyFont="1" applyFill="1" applyBorder="1" applyAlignment="1" applyProtection="1">
      <alignment horizontal="center" vertical="center" wrapText="1"/>
      <protection locked="0"/>
    </xf>
    <xf numFmtId="0" fontId="113" fillId="2" borderId="34" xfId="53" applyFont="1" applyFill="1" applyBorder="1" applyAlignment="1" applyProtection="1">
      <alignment vertical="center"/>
    </xf>
    <xf numFmtId="0" fontId="101" fillId="2" borderId="0" xfId="53" applyFont="1" applyFill="1" applyBorder="1" applyAlignment="1" applyProtection="1">
      <alignment vertical="center" wrapText="1"/>
    </xf>
    <xf numFmtId="49" fontId="85" fillId="2" borderId="68" xfId="0" applyNumberFormat="1" applyFont="1" applyFill="1" applyBorder="1" applyAlignment="1" applyProtection="1">
      <alignment horizontal="center" vertical="center" wrapText="1"/>
    </xf>
    <xf numFmtId="0" fontId="100" fillId="2" borderId="35" xfId="53" applyFont="1" applyFill="1" applyBorder="1" applyAlignment="1" applyProtection="1">
      <alignment horizontal="left" vertical="center" wrapText="1"/>
    </xf>
    <xf numFmtId="0" fontId="17" fillId="0" borderId="9" xfId="53" applyFont="1" applyFill="1" applyBorder="1" applyAlignment="1" applyProtection="1">
      <alignment horizontal="center" vertical="center" wrapText="1"/>
      <protection locked="0"/>
    </xf>
    <xf numFmtId="0" fontId="20" fillId="2" borderId="5" xfId="53" applyFont="1" applyFill="1" applyBorder="1" applyAlignment="1" applyProtection="1">
      <alignment horizontal="center" vertical="center" wrapText="1"/>
    </xf>
    <xf numFmtId="0" fontId="101" fillId="2" borderId="40" xfId="53" applyFont="1" applyFill="1" applyBorder="1" applyAlignment="1" applyProtection="1">
      <alignment horizontal="center" vertical="center" wrapText="1"/>
    </xf>
    <xf numFmtId="0" fontId="101" fillId="2" borderId="71" xfId="53" applyFont="1" applyFill="1" applyBorder="1" applyAlignment="1" applyProtection="1">
      <alignment horizontal="center" vertical="center" wrapText="1"/>
    </xf>
    <xf numFmtId="0" fontId="101" fillId="3" borderId="5" xfId="53" applyFont="1" applyFill="1" applyBorder="1" applyAlignment="1" applyProtection="1">
      <alignment horizontal="center" vertical="center" wrapText="1"/>
      <protection locked="0"/>
    </xf>
    <xf numFmtId="49" fontId="68" fillId="2" borderId="76" xfId="0" applyNumberFormat="1" applyFont="1" applyFill="1" applyBorder="1" applyAlignment="1" applyProtection="1">
      <alignment horizontal="center" vertical="center" wrapText="1"/>
    </xf>
    <xf numFmtId="0" fontId="101" fillId="2" borderId="8" xfId="53" applyFont="1" applyFill="1" applyBorder="1" applyAlignment="1" applyProtection="1">
      <alignment horizontal="left" vertical="center"/>
    </xf>
    <xf numFmtId="0" fontId="17" fillId="2" borderId="80" xfId="53" applyFont="1" applyFill="1" applyBorder="1" applyAlignment="1" applyProtection="1">
      <alignment horizontal="center" vertical="center" wrapText="1"/>
    </xf>
    <xf numFmtId="0" fontId="101" fillId="2" borderId="8" xfId="0" applyFont="1" applyFill="1" applyBorder="1" applyAlignment="1" applyProtection="1">
      <alignment horizontal="center" vertical="center" wrapText="1"/>
    </xf>
    <xf numFmtId="0" fontId="101" fillId="2" borderId="8" xfId="53" applyFont="1" applyFill="1" applyBorder="1" applyAlignment="1" applyProtection="1">
      <alignment horizontal="center" vertical="center" wrapText="1"/>
    </xf>
    <xf numFmtId="0" fontId="101" fillId="3" borderId="8" xfId="53" applyFont="1" applyFill="1" applyBorder="1" applyAlignment="1" applyProtection="1">
      <alignment horizontal="right" vertical="center" wrapText="1"/>
      <protection locked="0"/>
    </xf>
    <xf numFmtId="0" fontId="17" fillId="2" borderId="8" xfId="53" applyFont="1" applyFill="1" applyBorder="1" applyAlignment="1" applyProtection="1">
      <alignment horizontal="center" vertical="center" wrapText="1"/>
    </xf>
    <xf numFmtId="49" fontId="109" fillId="2" borderId="68" xfId="0" applyNumberFormat="1" applyFont="1" applyFill="1" applyBorder="1" applyAlignment="1" applyProtection="1">
      <alignment horizontal="left" vertical="center" wrapText="1"/>
    </xf>
    <xf numFmtId="0" fontId="50" fillId="2" borderId="35" xfId="53" applyFont="1" applyFill="1" applyBorder="1" applyAlignment="1" applyProtection="1">
      <alignment horizontal="left" vertical="center" wrapText="1"/>
    </xf>
    <xf numFmtId="0" fontId="37" fillId="2" borderId="20" xfId="53" applyFont="1" applyFill="1" applyBorder="1" applyAlignment="1" applyProtection="1">
      <alignment horizontal="center" vertical="center" wrapText="1"/>
    </xf>
    <xf numFmtId="0" fontId="101" fillId="2" borderId="20" xfId="53" applyFont="1" applyFill="1" applyBorder="1" applyAlignment="1" applyProtection="1">
      <alignment vertical="center"/>
    </xf>
    <xf numFmtId="0" fontId="50" fillId="2" borderId="0" xfId="53" applyFont="1" applyFill="1" applyBorder="1" applyAlignment="1" applyProtection="1">
      <alignment horizontal="center" vertical="center" wrapText="1"/>
    </xf>
    <xf numFmtId="0" fontId="101" fillId="2" borderId="0" xfId="53" applyFont="1" applyFill="1" applyBorder="1" applyAlignment="1" applyProtection="1">
      <alignment vertical="center"/>
    </xf>
    <xf numFmtId="0" fontId="48" fillId="2" borderId="0" xfId="53" applyFont="1" applyFill="1" applyBorder="1" applyAlignment="1" applyProtection="1">
      <alignment vertical="center" wrapText="1"/>
    </xf>
    <xf numFmtId="49" fontId="109" fillId="2" borderId="60" xfId="0" applyNumberFormat="1" applyFont="1" applyFill="1" applyBorder="1" applyAlignment="1" applyProtection="1">
      <alignment horizontal="left" vertical="center" wrapText="1"/>
    </xf>
    <xf numFmtId="0" fontId="50" fillId="2" borderId="108" xfId="53" applyFont="1" applyFill="1" applyBorder="1" applyAlignment="1" applyProtection="1">
      <alignment horizontal="left" vertical="center" wrapText="1"/>
    </xf>
    <xf numFmtId="180" fontId="37" fillId="2" borderId="108" xfId="53" applyNumberFormat="1" applyFont="1" applyFill="1" applyBorder="1" applyAlignment="1" applyProtection="1">
      <alignment horizontal="center" vertical="center" wrapText="1"/>
    </xf>
    <xf numFmtId="0" fontId="48" fillId="2" borderId="108" xfId="53" applyFont="1" applyFill="1" applyBorder="1" applyAlignment="1" applyProtection="1">
      <alignment horizontal="center" vertical="center" wrapText="1"/>
    </xf>
    <xf numFmtId="14" fontId="32" fillId="2" borderId="108" xfId="53" applyNumberFormat="1" applyFont="1" applyFill="1" applyBorder="1" applyAlignment="1" applyProtection="1">
      <alignment horizontal="center" vertical="center" wrapText="1"/>
    </xf>
    <xf numFmtId="14" fontId="32" fillId="2" borderId="104" xfId="53" applyNumberFormat="1" applyFont="1" applyFill="1" applyBorder="1" applyAlignment="1" applyProtection="1">
      <alignment horizontal="center" vertical="center" wrapText="1"/>
    </xf>
    <xf numFmtId="0" fontId="48" fillId="3" borderId="108" xfId="53" applyFont="1" applyFill="1" applyBorder="1" applyAlignment="1" applyProtection="1">
      <alignment horizontal="center" vertical="center" wrapText="1"/>
      <protection locked="0"/>
    </xf>
    <xf numFmtId="0" fontId="50" fillId="2" borderId="80" xfId="53" applyFont="1" applyFill="1" applyBorder="1" applyAlignment="1" applyProtection="1">
      <alignment horizontal="left" vertical="center" wrapText="1"/>
    </xf>
    <xf numFmtId="180" fontId="37" fillId="2" borderId="80" xfId="53" applyNumberFormat="1" applyFont="1" applyFill="1" applyBorder="1" applyAlignment="1" applyProtection="1">
      <alignment horizontal="center" vertical="center" wrapText="1"/>
    </xf>
    <xf numFmtId="0" fontId="101" fillId="2" borderId="80" xfId="53" applyFont="1" applyFill="1" applyBorder="1" applyAlignment="1" applyProtection="1">
      <alignment horizontal="center" vertical="center" wrapText="1"/>
    </xf>
    <xf numFmtId="10" fontId="17" fillId="2" borderId="80" xfId="53" applyNumberFormat="1" applyFont="1" applyFill="1" applyBorder="1" applyAlignment="1" applyProtection="1">
      <alignment horizontal="center" vertical="center" wrapText="1"/>
    </xf>
    <xf numFmtId="177" fontId="72" fillId="2" borderId="80" xfId="53" applyNumberFormat="1" applyFont="1" applyFill="1" applyBorder="1" applyAlignment="1" applyProtection="1">
      <alignment horizontal="center" vertical="center" wrapText="1"/>
    </xf>
    <xf numFmtId="49" fontId="109" fillId="2" borderId="4" xfId="0" applyNumberFormat="1" applyFont="1" applyFill="1" applyBorder="1" applyAlignment="1" applyProtection="1">
      <alignment horizontal="left" vertical="center" wrapText="1"/>
    </xf>
    <xf numFmtId="0" fontId="50" fillId="3" borderId="3" xfId="53" applyFont="1" applyFill="1" applyBorder="1" applyAlignment="1" applyProtection="1">
      <alignment horizontal="left" vertical="center" wrapText="1"/>
      <protection locked="0"/>
    </xf>
    <xf numFmtId="0" fontId="32" fillId="2" borderId="3" xfId="53" applyFont="1" applyFill="1" applyBorder="1" applyAlignment="1" applyProtection="1">
      <alignment horizontal="center" vertical="center" wrapText="1"/>
    </xf>
    <xf numFmtId="0" fontId="48" fillId="2" borderId="0" xfId="53" applyFont="1" applyFill="1" applyAlignment="1" applyProtection="1">
      <alignment vertical="center" wrapText="1"/>
    </xf>
    <xf numFmtId="49" fontId="114" fillId="2" borderId="22" xfId="0" applyNumberFormat="1" applyFont="1" applyFill="1" applyBorder="1" applyAlignment="1" applyProtection="1">
      <alignment horizontal="center" vertical="center" wrapText="1"/>
    </xf>
    <xf numFmtId="0" fontId="48" fillId="2" borderId="1" xfId="53" applyFont="1" applyFill="1" applyBorder="1" applyAlignment="1" applyProtection="1">
      <alignment horizontal="left" vertical="center" wrapText="1"/>
    </xf>
    <xf numFmtId="0" fontId="32" fillId="2" borderId="1" xfId="53" applyFont="1" applyFill="1" applyBorder="1" applyAlignment="1" applyProtection="1">
      <alignment horizontal="center" vertical="center" wrapText="1"/>
    </xf>
    <xf numFmtId="0" fontId="37" fillId="2" borderId="3" xfId="53" applyFont="1" applyFill="1" applyBorder="1" applyAlignment="1" applyProtection="1">
      <alignment horizontal="center" vertical="center" wrapText="1"/>
    </xf>
    <xf numFmtId="0" fontId="17" fillId="2" borderId="0" xfId="53" applyFont="1" applyFill="1" applyAlignment="1" applyProtection="1">
      <alignment vertical="center" wrapText="1"/>
    </xf>
    <xf numFmtId="180" fontId="17" fillId="2" borderId="35" xfId="53" applyNumberFormat="1" applyFont="1" applyFill="1" applyBorder="1" applyAlignment="1" applyProtection="1">
      <alignment horizontal="center" vertical="center" wrapText="1"/>
    </xf>
    <xf numFmtId="180" fontId="17" fillId="2" borderId="20" xfId="53" applyNumberFormat="1" applyFont="1" applyFill="1" applyBorder="1" applyAlignment="1" applyProtection="1">
      <alignment horizontal="center" vertical="center" wrapText="1"/>
    </xf>
    <xf numFmtId="0" fontId="17" fillId="2" borderId="11" xfId="53" applyFont="1" applyFill="1" applyBorder="1" applyAlignment="1" applyProtection="1">
      <alignment vertical="center" wrapText="1"/>
    </xf>
    <xf numFmtId="49" fontId="109" fillId="2" borderId="69" xfId="0" applyNumberFormat="1" applyFont="1" applyFill="1" applyBorder="1" applyAlignment="1" applyProtection="1">
      <alignment horizontal="left" vertical="center" wrapText="1"/>
    </xf>
    <xf numFmtId="180" fontId="37" fillId="2" borderId="9" xfId="53" applyNumberFormat="1" applyFont="1" applyFill="1" applyBorder="1" applyAlignment="1" applyProtection="1">
      <alignment horizontal="center" vertical="center" wrapText="1"/>
    </xf>
    <xf numFmtId="0" fontId="17" fillId="2" borderId="54" xfId="53" applyFont="1" applyFill="1" applyBorder="1" applyAlignment="1" applyProtection="1">
      <alignment vertical="center"/>
    </xf>
    <xf numFmtId="0" fontId="32" fillId="2" borderId="9" xfId="53" applyFont="1" applyFill="1" applyBorder="1" applyAlignment="1" applyProtection="1">
      <alignment vertical="center" wrapText="1"/>
    </xf>
    <xf numFmtId="0" fontId="50" fillId="2" borderId="39" xfId="53" applyFont="1" applyFill="1" applyBorder="1" applyAlignment="1" applyProtection="1">
      <alignment horizontal="left" vertical="center" wrapText="1"/>
    </xf>
    <xf numFmtId="0" fontId="58" fillId="2" borderId="78" xfId="53" applyFont="1" applyFill="1" applyBorder="1" applyAlignment="1" applyProtection="1">
      <alignment horizontal="center" vertical="center" wrapText="1"/>
    </xf>
    <xf numFmtId="0" fontId="58" fillId="2" borderId="55" xfId="53" applyFont="1" applyFill="1" applyBorder="1" applyAlignment="1" applyProtection="1">
      <alignment vertical="center" wrapText="1"/>
    </xf>
    <xf numFmtId="0" fontId="50" fillId="2" borderId="68" xfId="53" applyFont="1" applyFill="1" applyBorder="1" applyAlignment="1" applyProtection="1">
      <alignment horizontal="center" vertical="center" wrapText="1"/>
    </xf>
    <xf numFmtId="0" fontId="20" fillId="8" borderId="1" xfId="53" applyFont="1" applyFill="1" applyBorder="1" applyAlignment="1" applyProtection="1">
      <alignment horizontal="center" vertical="center" wrapText="1"/>
    </xf>
    <xf numFmtId="0" fontId="101" fillId="2" borderId="20" xfId="53" applyFont="1" applyFill="1" applyBorder="1" applyAlignment="1" applyProtection="1">
      <alignment vertical="center" wrapText="1"/>
    </xf>
    <xf numFmtId="0" fontId="58" fillId="2" borderId="0" xfId="53" applyFont="1" applyFill="1" applyBorder="1" applyAlignment="1" applyProtection="1">
      <alignment vertical="center" wrapText="1"/>
    </xf>
    <xf numFmtId="0" fontId="48" fillId="2" borderId="0" xfId="53" applyFont="1" applyFill="1" applyBorder="1" applyAlignment="1" applyProtection="1">
      <alignment horizontal="left" vertical="center" wrapText="1"/>
    </xf>
    <xf numFmtId="0" fontId="20" fillId="2" borderId="35" xfId="53" applyFont="1" applyFill="1" applyBorder="1" applyAlignment="1" applyProtection="1">
      <alignment horizontal="center" vertical="center" wrapText="1"/>
    </xf>
    <xf numFmtId="0" fontId="101" fillId="2" borderId="16" xfId="53" applyFont="1" applyFill="1" applyBorder="1" applyAlignment="1" applyProtection="1">
      <alignment vertical="center" wrapText="1"/>
    </xf>
    <xf numFmtId="0" fontId="101" fillId="2" borderId="17" xfId="53" applyFont="1" applyFill="1" applyBorder="1" applyAlignment="1" applyProtection="1">
      <alignment vertical="center" wrapText="1"/>
    </xf>
    <xf numFmtId="0" fontId="58" fillId="2" borderId="17" xfId="53" applyFont="1" applyFill="1" applyBorder="1" applyAlignment="1" applyProtection="1">
      <alignment vertical="center" wrapText="1"/>
    </xf>
    <xf numFmtId="0" fontId="50" fillId="2" borderId="69" xfId="53" applyFont="1" applyFill="1" applyBorder="1" applyAlignment="1" applyProtection="1">
      <alignment horizontal="center" vertical="center" wrapText="1"/>
    </xf>
    <xf numFmtId="0" fontId="58" fillId="2" borderId="56" xfId="53" applyFont="1" applyFill="1" applyBorder="1" applyAlignment="1" applyProtection="1">
      <alignment vertical="center" wrapText="1"/>
    </xf>
    <xf numFmtId="0" fontId="50" fillId="2" borderId="5" xfId="53" applyFont="1" applyFill="1" applyBorder="1" applyAlignment="1" applyProtection="1">
      <alignment horizontal="center" vertical="center" wrapText="1"/>
    </xf>
    <xf numFmtId="0" fontId="50" fillId="2" borderId="39" xfId="53" applyFont="1" applyFill="1" applyBorder="1" applyAlignment="1" applyProtection="1">
      <alignment horizontal="center" vertical="center" wrapText="1"/>
    </xf>
    <xf numFmtId="0" fontId="58" fillId="2" borderId="39" xfId="53" applyFont="1" applyFill="1" applyBorder="1" applyAlignment="1" applyProtection="1">
      <alignment vertical="center" wrapText="1"/>
    </xf>
    <xf numFmtId="0" fontId="101" fillId="2" borderId="68" xfId="53" applyFont="1" applyFill="1" applyBorder="1" applyAlignment="1" applyProtection="1">
      <alignment horizontal="center" vertical="center" wrapText="1"/>
    </xf>
    <xf numFmtId="0" fontId="101" fillId="2" borderId="11" xfId="53" applyFont="1" applyFill="1" applyBorder="1" applyAlignment="1" applyProtection="1">
      <alignment horizontal="left" vertical="center" wrapText="1"/>
    </xf>
    <xf numFmtId="0" fontId="20" fillId="2" borderId="1" xfId="53" applyFont="1" applyFill="1" applyBorder="1" applyAlignment="1" applyProtection="1">
      <alignment horizontal="center" vertical="center" wrapText="1"/>
    </xf>
    <xf numFmtId="0" fontId="101" fillId="0" borderId="1" xfId="53" applyFont="1" applyBorder="1" applyAlignment="1" applyProtection="1">
      <alignment vertical="center" wrapText="1"/>
      <protection locked="0"/>
    </xf>
    <xf numFmtId="0" fontId="72" fillId="2" borderId="1" xfId="53" applyFont="1" applyFill="1" applyBorder="1" applyAlignment="1" applyProtection="1">
      <alignment horizontal="center" vertical="center"/>
    </xf>
    <xf numFmtId="0" fontId="100" fillId="2" borderId="10" xfId="53" applyFont="1" applyFill="1" applyBorder="1" applyAlignment="1" applyProtection="1">
      <alignment vertical="center"/>
    </xf>
    <xf numFmtId="0" fontId="100" fillId="2" borderId="12" xfId="53" applyFont="1" applyFill="1" applyBorder="1" applyAlignment="1" applyProtection="1">
      <alignment vertical="center"/>
    </xf>
    <xf numFmtId="0" fontId="58" fillId="2" borderId="76" xfId="53" applyFont="1" applyFill="1" applyBorder="1" applyAlignment="1" applyProtection="1">
      <alignment vertical="center" wrapText="1"/>
    </xf>
    <xf numFmtId="0" fontId="101" fillId="2" borderId="97" xfId="53" applyFont="1" applyFill="1" applyBorder="1" applyAlignment="1" applyProtection="1">
      <alignment horizontal="left" vertical="center" wrapText="1"/>
    </xf>
    <xf numFmtId="0" fontId="101" fillId="0" borderId="8" xfId="53" applyFont="1" applyBorder="1" applyAlignment="1" applyProtection="1">
      <alignment vertical="center" wrapText="1"/>
      <protection locked="0"/>
    </xf>
    <xf numFmtId="0" fontId="101" fillId="2" borderId="8" xfId="53" applyFont="1" applyFill="1" applyBorder="1" applyAlignment="1" applyProtection="1">
      <alignment vertical="center"/>
    </xf>
    <xf numFmtId="0" fontId="101" fillId="2" borderId="79" xfId="53" applyFont="1" applyFill="1" applyBorder="1" applyAlignment="1" applyProtection="1">
      <alignment vertical="center" wrapText="1"/>
    </xf>
    <xf numFmtId="0" fontId="58" fillId="2" borderId="69" xfId="53" applyFont="1" applyFill="1" applyBorder="1" applyAlignment="1" applyProtection="1">
      <alignment vertical="center" wrapText="1"/>
    </xf>
    <xf numFmtId="0" fontId="58" fillId="2" borderId="71" xfId="53" applyFont="1" applyFill="1" applyBorder="1" applyAlignment="1" applyProtection="1">
      <alignment horizontal="left" vertical="center" wrapText="1"/>
    </xf>
    <xf numFmtId="0" fontId="101" fillId="2" borderId="78" xfId="53" applyFont="1" applyFill="1" applyBorder="1" applyAlignment="1" applyProtection="1">
      <alignment vertical="center"/>
    </xf>
    <xf numFmtId="0" fontId="58" fillId="2" borderId="81" xfId="53" applyFont="1" applyFill="1" applyBorder="1" applyAlignment="1" applyProtection="1">
      <alignment vertical="center" wrapText="1"/>
    </xf>
    <xf numFmtId="0" fontId="50" fillId="2" borderId="11" xfId="53" applyFont="1" applyFill="1" applyBorder="1" applyAlignment="1" applyProtection="1">
      <alignment horizontal="center" vertical="center" wrapText="1"/>
    </xf>
    <xf numFmtId="0" fontId="50" fillId="2" borderId="1" xfId="53" applyFont="1" applyFill="1" applyBorder="1" applyAlignment="1" applyProtection="1">
      <alignment horizontal="center" vertical="center" wrapText="1"/>
    </xf>
    <xf numFmtId="0" fontId="50" fillId="2" borderId="3" xfId="53" applyFont="1" applyFill="1" applyBorder="1" applyAlignment="1" applyProtection="1">
      <alignment horizontal="center" vertical="center" wrapText="1"/>
    </xf>
    <xf numFmtId="0" fontId="115" fillId="2" borderId="9" xfId="0" applyFont="1" applyFill="1" applyBorder="1" applyAlignment="1" applyProtection="1">
      <alignment vertical="center" wrapText="1"/>
    </xf>
    <xf numFmtId="0" fontId="100" fillId="2" borderId="81" xfId="53" applyFont="1" applyFill="1" applyBorder="1" applyAlignment="1" applyProtection="1">
      <alignment horizontal="center" vertical="center" wrapText="1"/>
    </xf>
    <xf numFmtId="0" fontId="17" fillId="0" borderId="1" xfId="53" applyFont="1" applyBorder="1" applyAlignment="1" applyProtection="1">
      <alignment vertical="center" wrapText="1"/>
      <protection locked="0"/>
    </xf>
    <xf numFmtId="0" fontId="115" fillId="2" borderId="35" xfId="0" applyFont="1" applyFill="1" applyBorder="1" applyAlignment="1" applyProtection="1">
      <alignment vertical="center" wrapText="1"/>
    </xf>
    <xf numFmtId="0" fontId="115" fillId="2" borderId="3" xfId="0" applyFont="1" applyFill="1" applyBorder="1" applyAlignment="1" applyProtection="1">
      <alignment vertical="center" wrapText="1"/>
    </xf>
    <xf numFmtId="0" fontId="58" fillId="2" borderId="68" xfId="53" applyFont="1" applyFill="1" applyBorder="1" applyAlignment="1" applyProtection="1">
      <alignment vertical="center" wrapText="1"/>
    </xf>
    <xf numFmtId="0" fontId="100" fillId="2" borderId="97" xfId="53" applyFont="1" applyFill="1" applyBorder="1" applyAlignment="1" applyProtection="1">
      <alignment horizontal="center" vertical="center" wrapText="1"/>
    </xf>
    <xf numFmtId="0" fontId="17" fillId="0" borderId="8" xfId="53" applyFont="1" applyBorder="1" applyAlignment="1" applyProtection="1">
      <alignment vertical="center" wrapText="1"/>
      <protection locked="0"/>
    </xf>
    <xf numFmtId="0" fontId="20" fillId="2" borderId="8" xfId="53" applyFont="1" applyFill="1" applyBorder="1" applyAlignment="1" applyProtection="1">
      <alignment horizontal="center" vertical="center" wrapText="1"/>
    </xf>
    <xf numFmtId="0" fontId="101" fillId="6" borderId="0" xfId="53" applyFont="1" applyFill="1" applyAlignment="1" applyProtection="1">
      <alignment vertical="center" wrapText="1"/>
      <protection locked="0"/>
    </xf>
    <xf numFmtId="0" fontId="1"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7" fillId="2" borderId="1" xfId="0" applyFont="1" applyFill="1" applyBorder="1" applyAlignment="1" applyProtection="1">
      <alignment horizontal="center" vertical="center" wrapText="1"/>
    </xf>
    <xf numFmtId="177" fontId="72" fillId="2"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01" fillId="6" borderId="0" xfId="53" applyFont="1" applyFill="1" applyAlignment="1" applyProtection="1">
      <alignment horizontal="left" vertical="center" wrapText="1"/>
      <protection locked="0"/>
    </xf>
    <xf numFmtId="0" fontId="5" fillId="2" borderId="0" xfId="53" applyFont="1" applyFill="1" applyProtection="1">
      <alignment vertical="center"/>
    </xf>
    <xf numFmtId="0" fontId="0" fillId="2" borderId="0" xfId="53" applyNumberFormat="1" applyFill="1" applyAlignment="1" applyProtection="1">
      <alignment horizontal="center" vertical="center" wrapText="1"/>
    </xf>
    <xf numFmtId="0" fontId="85" fillId="2" borderId="0" xfId="53" applyFont="1" applyFill="1" applyProtection="1">
      <alignment vertical="center"/>
    </xf>
    <xf numFmtId="0" fontId="47" fillId="2" borderId="0" xfId="53" applyFont="1" applyFill="1" applyProtection="1">
      <alignment vertical="center"/>
    </xf>
    <xf numFmtId="0" fontId="47" fillId="2" borderId="0" xfId="53" applyFont="1" applyFill="1" applyAlignment="1" applyProtection="1">
      <alignment horizontal="center" vertical="center"/>
    </xf>
    <xf numFmtId="0" fontId="5" fillId="2" borderId="59" xfId="53" applyFont="1" applyFill="1" applyBorder="1" applyAlignment="1" applyProtection="1">
      <alignment vertical="center"/>
    </xf>
    <xf numFmtId="0" fontId="4" fillId="2" borderId="55" xfId="53" applyNumberFormat="1" applyFont="1" applyFill="1" applyBorder="1" applyAlignment="1" applyProtection="1">
      <alignment horizontal="center" vertical="center" wrapText="1"/>
    </xf>
    <xf numFmtId="0" fontId="85" fillId="2" borderId="55" xfId="53" applyFont="1" applyFill="1" applyBorder="1" applyProtection="1">
      <alignment vertical="center"/>
    </xf>
    <xf numFmtId="0" fontId="116" fillId="2" borderId="78" xfId="53" applyFont="1" applyFill="1" applyBorder="1" applyAlignment="1" applyProtection="1">
      <alignment vertical="center"/>
    </xf>
    <xf numFmtId="0" fontId="116" fillId="2" borderId="44" xfId="53" applyFont="1" applyFill="1" applyBorder="1" applyAlignment="1" applyProtection="1">
      <alignment horizontal="center" vertical="center"/>
    </xf>
    <xf numFmtId="0" fontId="5" fillId="2" borderId="0" xfId="53" applyFont="1" applyFill="1" applyBorder="1" applyAlignment="1" applyProtection="1">
      <alignment vertical="center"/>
    </xf>
    <xf numFmtId="0" fontId="106" fillId="2" borderId="1" xfId="53" applyNumberFormat="1" applyFont="1" applyFill="1" applyBorder="1" applyAlignment="1" applyProtection="1">
      <alignment horizontal="center" vertical="center" wrapText="1"/>
    </xf>
    <xf numFmtId="0" fontId="117" fillId="2" borderId="1" xfId="53" applyFont="1" applyFill="1" applyBorder="1" applyAlignment="1" applyProtection="1">
      <alignment horizontal="center" vertical="center" wrapText="1"/>
    </xf>
    <xf numFmtId="0" fontId="72" fillId="2" borderId="1" xfId="53" applyFont="1" applyFill="1" applyBorder="1" applyAlignment="1" applyProtection="1">
      <alignment horizontal="center" vertical="center" wrapText="1"/>
    </xf>
    <xf numFmtId="0" fontId="17" fillId="2" borderId="14" xfId="53"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49" fontId="106" fillId="2" borderId="1" xfId="53" applyNumberFormat="1" applyFont="1" applyFill="1" applyBorder="1" applyAlignment="1" applyProtection="1">
      <alignment horizontal="center" vertical="center" wrapText="1"/>
    </xf>
    <xf numFmtId="0" fontId="117" fillId="3" borderId="1" xfId="53" applyFont="1" applyFill="1" applyBorder="1" applyAlignment="1" applyProtection="1">
      <alignment horizontal="center" vertical="center" wrapText="1"/>
      <protection locked="0"/>
    </xf>
    <xf numFmtId="10" fontId="72" fillId="2" borderId="1" xfId="53" applyNumberFormat="1" applyFont="1" applyFill="1" applyBorder="1" applyAlignment="1" applyProtection="1">
      <alignment horizontal="center" vertical="center" wrapText="1"/>
    </xf>
    <xf numFmtId="10" fontId="17" fillId="2" borderId="57" xfId="53" applyNumberFormat="1" applyFont="1" applyFill="1" applyBorder="1" applyAlignment="1" applyProtection="1">
      <alignment horizontal="center" vertical="center" wrapText="1"/>
    </xf>
    <xf numFmtId="10" fontId="1" fillId="2" borderId="0" xfId="53" applyNumberFormat="1" applyFont="1" applyFill="1" applyBorder="1" applyAlignment="1" applyProtection="1">
      <alignment horizontal="center" vertical="center" wrapText="1"/>
    </xf>
    <xf numFmtId="10" fontId="47" fillId="0" borderId="1" xfId="53" applyNumberFormat="1" applyFont="1" applyBorder="1" applyAlignment="1" applyProtection="1">
      <alignment horizontal="center" vertical="center"/>
      <protection locked="0"/>
    </xf>
    <xf numFmtId="10" fontId="47" fillId="2" borderId="1" xfId="53" applyNumberFormat="1" applyFont="1" applyFill="1" applyBorder="1" applyAlignment="1" applyProtection="1">
      <alignment horizontal="center" vertical="center"/>
    </xf>
    <xf numFmtId="10" fontId="17" fillId="2" borderId="73" xfId="53" applyNumberFormat="1" applyFont="1" applyFill="1" applyBorder="1" applyAlignment="1" applyProtection="1">
      <alignment vertical="center" wrapText="1"/>
    </xf>
    <xf numFmtId="0" fontId="118" fillId="0" borderId="1" xfId="0" applyNumberFormat="1" applyFont="1" applyFill="1" applyBorder="1" applyAlignment="1" applyProtection="1">
      <alignment horizontal="center" vertical="center" wrapText="1"/>
      <protection locked="0"/>
    </xf>
    <xf numFmtId="0" fontId="118" fillId="0" borderId="9" xfId="0" applyNumberFormat="1" applyFont="1" applyFill="1" applyBorder="1" applyAlignment="1" applyProtection="1">
      <alignment horizontal="center" vertical="center" wrapText="1"/>
      <protection locked="0"/>
    </xf>
    <xf numFmtId="0" fontId="106" fillId="2" borderId="64" xfId="53" applyFont="1" applyFill="1" applyBorder="1" applyAlignment="1" applyProtection="1">
      <alignment horizontal="center" vertical="center" wrapText="1"/>
    </xf>
    <xf numFmtId="0" fontId="106" fillId="2" borderId="9" xfId="53" applyNumberFormat="1" applyFont="1" applyFill="1" applyBorder="1" applyAlignment="1" applyProtection="1">
      <alignment horizontal="center" vertical="center" wrapText="1"/>
    </xf>
    <xf numFmtId="0" fontId="106" fillId="2" borderId="7" xfId="53" applyFont="1" applyFill="1" applyBorder="1" applyAlignment="1" applyProtection="1">
      <alignment horizontal="center" vertical="center" wrapText="1"/>
    </xf>
    <xf numFmtId="49" fontId="106" fillId="2" borderId="80" xfId="53" applyNumberFormat="1" applyFont="1" applyFill="1" applyBorder="1" applyAlignment="1" applyProtection="1">
      <alignment horizontal="center" vertical="center" wrapText="1"/>
    </xf>
    <xf numFmtId="10" fontId="17" fillId="2" borderId="86" xfId="53" applyNumberFormat="1" applyFont="1" applyFill="1" applyBorder="1" applyAlignment="1" applyProtection="1">
      <alignment vertical="center" wrapText="1"/>
    </xf>
    <xf numFmtId="0" fontId="119" fillId="2" borderId="78" xfId="53" applyFont="1" applyFill="1" applyBorder="1" applyAlignment="1" applyProtection="1">
      <alignment vertical="center"/>
    </xf>
    <xf numFmtId="189" fontId="47" fillId="2" borderId="1" xfId="53" applyNumberFormat="1" applyFont="1" applyFill="1" applyBorder="1" applyAlignment="1" applyProtection="1">
      <alignment horizontal="center" vertical="center"/>
    </xf>
    <xf numFmtId="0" fontId="117" fillId="15" borderId="1" xfId="53" applyFont="1" applyFill="1" applyBorder="1" applyAlignment="1" applyProtection="1">
      <alignment horizontal="center" vertical="center" wrapText="1"/>
      <protection locked="0"/>
    </xf>
    <xf numFmtId="0" fontId="101" fillId="2" borderId="0" xfId="53" applyFont="1" applyFill="1" applyAlignment="1" applyProtection="1">
      <alignment vertical="center" wrapText="1"/>
      <protection locked="0"/>
    </xf>
    <xf numFmtId="0" fontId="47" fillId="2" borderId="4" xfId="0" applyNumberFormat="1" applyFont="1" applyFill="1" applyBorder="1" applyAlignment="1" applyProtection="1">
      <alignment horizontal="center" vertical="center"/>
    </xf>
    <xf numFmtId="0" fontId="47" fillId="2" borderId="39" xfId="0" applyNumberFormat="1" applyFont="1" applyFill="1" applyBorder="1" applyProtection="1">
      <alignment vertical="center"/>
    </xf>
    <xf numFmtId="10" fontId="17" fillId="2" borderId="13" xfId="53" applyNumberFormat="1" applyFont="1" applyFill="1" applyBorder="1" applyAlignment="1" applyProtection="1">
      <alignment vertical="center" wrapText="1"/>
    </xf>
    <xf numFmtId="0" fontId="17" fillId="2" borderId="1" xfId="53" applyNumberFormat="1" applyFont="1" applyFill="1" applyBorder="1" applyAlignment="1" applyProtection="1">
      <alignment horizontal="center" vertical="center" wrapText="1"/>
    </xf>
    <xf numFmtId="0" fontId="101" fillId="2" borderId="0" xfId="53" applyNumberFormat="1" applyFont="1" applyFill="1" applyAlignment="1" applyProtection="1">
      <alignment vertical="center" wrapText="1"/>
    </xf>
    <xf numFmtId="0" fontId="101" fillId="2" borderId="0" xfId="53" applyNumberFormat="1" applyFont="1" applyFill="1" applyAlignment="1" applyProtection="1">
      <alignment vertical="center" wrapText="1"/>
      <protection locked="0"/>
    </xf>
    <xf numFmtId="0" fontId="47" fillId="2" borderId="6" xfId="0" applyNumberFormat="1" applyFont="1" applyFill="1" applyBorder="1" applyAlignment="1" applyProtection="1">
      <alignment horizontal="center" vertical="center"/>
    </xf>
    <xf numFmtId="0" fontId="47" fillId="2" borderId="10" xfId="0" applyNumberFormat="1" applyFont="1" applyFill="1" applyBorder="1" applyProtection="1">
      <alignment vertical="center"/>
    </xf>
    <xf numFmtId="10" fontId="17" fillId="2" borderId="14" xfId="53" applyNumberFormat="1" applyFont="1" applyFill="1" applyBorder="1" applyAlignment="1" applyProtection="1">
      <alignment vertical="center" wrapText="1"/>
    </xf>
    <xf numFmtId="178" fontId="32" fillId="0" borderId="1" xfId="53" applyNumberFormat="1" applyFont="1" applyFill="1" applyBorder="1" applyAlignment="1" applyProtection="1">
      <alignment horizontal="center" vertical="center" wrapText="1"/>
      <protection locked="0"/>
    </xf>
    <xf numFmtId="0" fontId="49" fillId="2" borderId="11" xfId="53" applyFont="1" applyFill="1" applyBorder="1" applyAlignment="1" applyProtection="1">
      <alignment vertical="center" wrapText="1"/>
    </xf>
    <xf numFmtId="0" fontId="49" fillId="2" borderId="0" xfId="53" applyFont="1" applyFill="1" applyBorder="1" applyAlignment="1" applyProtection="1">
      <alignment vertical="center" wrapText="1"/>
      <protection locked="0"/>
    </xf>
    <xf numFmtId="0" fontId="48" fillId="2" borderId="58" xfId="53" applyFont="1" applyFill="1" applyBorder="1" applyAlignment="1" applyProtection="1">
      <alignment vertical="center" wrapText="1"/>
    </xf>
    <xf numFmtId="0" fontId="48" fillId="2" borderId="0" xfId="53" applyFont="1" applyFill="1" applyBorder="1" applyAlignment="1" applyProtection="1">
      <alignment vertical="center" wrapText="1"/>
      <protection locked="0"/>
    </xf>
    <xf numFmtId="0" fontId="48" fillId="2" borderId="0" xfId="53" applyFont="1" applyFill="1" applyAlignment="1" applyProtection="1">
      <alignment vertical="center"/>
      <protection locked="0"/>
    </xf>
    <xf numFmtId="0" fontId="101" fillId="2" borderId="105" xfId="53" applyFont="1" applyFill="1" applyBorder="1" applyAlignment="1" applyProtection="1">
      <alignment vertical="center" wrapText="1"/>
    </xf>
    <xf numFmtId="0" fontId="101" fillId="2" borderId="0" xfId="53" applyFont="1" applyFill="1" applyBorder="1" applyAlignment="1" applyProtection="1">
      <alignment vertical="center" wrapText="1"/>
      <protection locked="0"/>
    </xf>
    <xf numFmtId="0" fontId="101" fillId="2" borderId="0" xfId="53" applyFont="1" applyFill="1" applyAlignment="1" applyProtection="1">
      <alignment vertical="center"/>
      <protection locked="0"/>
    </xf>
    <xf numFmtId="0" fontId="101" fillId="2" borderId="45" xfId="53" applyFont="1" applyFill="1" applyBorder="1" applyAlignment="1" applyProtection="1">
      <alignment vertical="center" wrapText="1"/>
    </xf>
    <xf numFmtId="0" fontId="101" fillId="2" borderId="46" xfId="53" applyFont="1" applyFill="1" applyBorder="1" applyAlignment="1" applyProtection="1">
      <alignment vertical="center" wrapText="1"/>
    </xf>
    <xf numFmtId="0" fontId="101" fillId="2" borderId="47" xfId="53" applyFont="1" applyFill="1" applyBorder="1" applyAlignment="1" applyProtection="1">
      <alignment vertical="center" wrapText="1"/>
    </xf>
    <xf numFmtId="0" fontId="101" fillId="2" borderId="44" xfId="53" applyFont="1" applyFill="1" applyBorder="1" applyAlignment="1" applyProtection="1">
      <alignment vertical="center" wrapText="1"/>
    </xf>
    <xf numFmtId="0" fontId="47" fillId="2" borderId="7" xfId="0" applyNumberFormat="1" applyFont="1" applyFill="1" applyBorder="1" applyAlignment="1" applyProtection="1">
      <alignment horizontal="center" vertical="center"/>
    </xf>
    <xf numFmtId="0" fontId="47" fillId="2" borderId="42" xfId="0" applyNumberFormat="1" applyFont="1" applyFill="1" applyBorder="1" applyProtection="1">
      <alignment vertical="center"/>
    </xf>
    <xf numFmtId="10" fontId="17" fillId="2" borderId="15" xfId="53" applyNumberFormat="1" applyFont="1" applyFill="1" applyBorder="1" applyAlignment="1" applyProtection="1">
      <alignment vertical="center" wrapText="1"/>
    </xf>
    <xf numFmtId="0" fontId="101" fillId="0" borderId="1" xfId="53" applyFont="1" applyFill="1" applyBorder="1" applyAlignment="1" applyProtection="1">
      <alignment horizontal="center" vertical="center" wrapText="1"/>
      <protection locked="0"/>
    </xf>
    <xf numFmtId="0" fontId="101" fillId="0" borderId="14" xfId="53" applyFont="1" applyFill="1" applyBorder="1" applyAlignment="1" applyProtection="1">
      <alignment horizontal="center" vertical="center" wrapText="1"/>
      <protection locked="0"/>
    </xf>
    <xf numFmtId="0" fontId="101" fillId="2" borderId="0" xfId="53" applyFont="1" applyFill="1" applyBorder="1" applyAlignment="1" applyProtection="1">
      <alignment horizontal="center" vertical="center" wrapText="1"/>
      <protection locked="0"/>
    </xf>
    <xf numFmtId="0" fontId="112" fillId="2" borderId="89" xfId="53" applyFont="1" applyFill="1" applyBorder="1" applyAlignment="1" applyProtection="1">
      <alignment vertical="center"/>
    </xf>
    <xf numFmtId="0" fontId="112" fillId="2" borderId="66" xfId="53" applyFont="1" applyFill="1" applyBorder="1" applyAlignment="1" applyProtection="1">
      <alignment vertical="center"/>
    </xf>
    <xf numFmtId="0" fontId="112" fillId="2" borderId="0" xfId="53" applyFont="1" applyFill="1" applyBorder="1" applyAlignment="1" applyProtection="1">
      <alignment vertical="center"/>
      <protection locked="0"/>
    </xf>
    <xf numFmtId="0" fontId="17" fillId="0" borderId="57" xfId="53" applyFont="1" applyFill="1" applyBorder="1" applyAlignment="1" applyProtection="1">
      <alignment horizontal="center" vertical="center" wrapText="1"/>
      <protection locked="0"/>
    </xf>
    <xf numFmtId="0" fontId="17" fillId="2" borderId="0" xfId="53" applyFont="1" applyFill="1" applyBorder="1" applyAlignment="1" applyProtection="1">
      <alignment horizontal="center" vertical="center" wrapText="1"/>
      <protection locked="0"/>
    </xf>
    <xf numFmtId="0" fontId="101" fillId="3" borderId="13" xfId="53" applyFont="1" applyFill="1" applyBorder="1" applyAlignment="1" applyProtection="1">
      <alignment horizontal="center" vertical="center" wrapText="1"/>
      <protection locked="0"/>
    </xf>
    <xf numFmtId="0" fontId="17" fillId="2" borderId="15" xfId="53" applyFont="1" applyFill="1" applyBorder="1" applyAlignment="1" applyProtection="1">
      <alignment horizontal="center" vertical="center" wrapText="1"/>
    </xf>
    <xf numFmtId="0" fontId="48" fillId="2" borderId="48" xfId="53" applyFont="1" applyFill="1" applyBorder="1" applyAlignment="1" applyProtection="1">
      <alignment vertical="center" wrapText="1"/>
    </xf>
    <xf numFmtId="0" fontId="48" fillId="2" borderId="0" xfId="53" applyFont="1" applyFill="1" applyAlignment="1" applyProtection="1">
      <alignment vertical="center" wrapText="1"/>
      <protection locked="0"/>
    </xf>
    <xf numFmtId="10" fontId="32" fillId="2" borderId="108" xfId="53" applyNumberFormat="1" applyFont="1" applyFill="1" applyBorder="1" applyAlignment="1" applyProtection="1">
      <alignment horizontal="center" vertical="center" wrapText="1"/>
    </xf>
    <xf numFmtId="0" fontId="48" fillId="2" borderId="105" xfId="53" applyFont="1" applyFill="1" applyBorder="1" applyAlignment="1" applyProtection="1">
      <alignment vertical="center" wrapText="1"/>
    </xf>
    <xf numFmtId="0" fontId="114" fillId="2" borderId="4" xfId="0" applyFont="1" applyFill="1" applyBorder="1" applyAlignment="1" applyProtection="1">
      <alignment vertical="center" wrapText="1"/>
    </xf>
    <xf numFmtId="0" fontId="46" fillId="2" borderId="13" xfId="0" applyFont="1" applyFill="1" applyBorder="1" applyAlignment="1" applyProtection="1">
      <alignment horizontal="center" vertical="center" wrapText="1"/>
    </xf>
    <xf numFmtId="0" fontId="101" fillId="2" borderId="19" xfId="53" applyFont="1" applyFill="1" applyBorder="1" applyAlignment="1" applyProtection="1">
      <alignment horizontal="center" vertical="center" wrapText="1"/>
    </xf>
    <xf numFmtId="0" fontId="72" fillId="2" borderId="70" xfId="53" applyFont="1" applyFill="1" applyBorder="1" applyAlignment="1" applyProtection="1">
      <alignment horizontal="center" vertical="center" wrapText="1"/>
    </xf>
    <xf numFmtId="0" fontId="17" fillId="2" borderId="0" xfId="53" applyFont="1" applyFill="1" applyAlignment="1" applyProtection="1">
      <alignment horizontal="center" vertical="center" wrapText="1"/>
      <protection locked="0"/>
    </xf>
    <xf numFmtId="0" fontId="17" fillId="2" borderId="16" xfId="53" applyFont="1" applyFill="1" applyBorder="1" applyAlignment="1" applyProtection="1">
      <alignment horizontal="center" vertical="center" wrapText="1"/>
    </xf>
    <xf numFmtId="0" fontId="17" fillId="2" borderId="86" xfId="53" applyFont="1" applyFill="1" applyBorder="1" applyAlignment="1" applyProtection="1">
      <alignment horizontal="center" vertical="center" wrapText="1"/>
    </xf>
    <xf numFmtId="0" fontId="114" fillId="2" borderId="7" xfId="0" applyFont="1" applyFill="1" applyBorder="1" applyAlignment="1" applyProtection="1">
      <alignment vertical="center" wrapText="1"/>
    </xf>
    <xf numFmtId="0" fontId="46" fillId="2" borderId="42" xfId="0" applyFont="1" applyFill="1" applyBorder="1" applyAlignment="1" applyProtection="1">
      <alignment horizontal="center" vertical="center" wrapText="1"/>
    </xf>
    <xf numFmtId="0" fontId="120" fillId="2" borderId="19" xfId="53" applyFont="1" applyFill="1" applyBorder="1" applyAlignment="1" applyProtection="1">
      <alignment horizontal="center" vertical="center" wrapText="1"/>
      <protection locked="0"/>
    </xf>
    <xf numFmtId="0" fontId="120" fillId="2" borderId="5" xfId="53" applyFont="1" applyFill="1" applyBorder="1" applyAlignment="1" applyProtection="1">
      <alignment vertical="center" wrapText="1"/>
      <protection locked="0"/>
    </xf>
    <xf numFmtId="0" fontId="120" fillId="2" borderId="45" xfId="53" applyFont="1" applyFill="1" applyBorder="1" applyAlignment="1" applyProtection="1">
      <alignment vertical="center"/>
      <protection locked="0"/>
    </xf>
    <xf numFmtId="0" fontId="48" fillId="2" borderId="3" xfId="53" applyFont="1" applyFill="1" applyBorder="1" applyAlignment="1" applyProtection="1">
      <alignment vertical="center" wrapText="1"/>
    </xf>
    <xf numFmtId="0" fontId="48" fillId="2" borderId="6" xfId="53" applyFont="1" applyFill="1" applyBorder="1" applyAlignment="1" applyProtection="1">
      <alignment horizontal="center" vertical="center" wrapText="1"/>
    </xf>
    <xf numFmtId="10" fontId="32" fillId="0" borderId="11" xfId="53" applyNumberFormat="1" applyFont="1" applyFill="1" applyBorder="1" applyAlignment="1" applyProtection="1">
      <alignment horizontal="center" vertical="center" wrapText="1"/>
      <protection locked="0"/>
    </xf>
    <xf numFmtId="10" fontId="17" fillId="2" borderId="14" xfId="53" applyNumberFormat="1" applyFont="1" applyFill="1" applyBorder="1" applyAlignment="1" applyProtection="1">
      <alignment horizontal="center" vertical="center" wrapText="1"/>
    </xf>
    <xf numFmtId="0" fontId="32" fillId="2" borderId="0" xfId="53" applyFont="1" applyFill="1" applyBorder="1" applyAlignment="1" applyProtection="1">
      <alignment horizontal="center" vertical="center" wrapText="1"/>
      <protection locked="0"/>
    </xf>
    <xf numFmtId="0" fontId="32" fillId="2" borderId="1" xfId="53" applyFont="1" applyFill="1" applyBorder="1" applyAlignment="1" applyProtection="1">
      <alignment vertical="center" wrapText="1"/>
    </xf>
    <xf numFmtId="0" fontId="32" fillId="2" borderId="0" xfId="53" applyFont="1" applyFill="1" applyBorder="1" applyAlignment="1" applyProtection="1">
      <alignment vertical="center" wrapText="1"/>
      <protection locked="0"/>
    </xf>
    <xf numFmtId="10" fontId="32" fillId="0" borderId="1" xfId="53" applyNumberFormat="1" applyFont="1" applyFill="1" applyBorder="1" applyAlignment="1" applyProtection="1">
      <alignment horizontal="center" vertical="center" wrapText="1"/>
      <protection locked="0"/>
    </xf>
    <xf numFmtId="0" fontId="32" fillId="2" borderId="0" xfId="53" applyFont="1" applyFill="1" applyAlignment="1" applyProtection="1">
      <alignment vertical="center" wrapText="1"/>
      <protection locked="0"/>
    </xf>
    <xf numFmtId="0" fontId="120" fillId="2" borderId="7" xfId="53" applyFont="1" applyFill="1" applyBorder="1" applyAlignment="1" applyProtection="1">
      <alignment horizontal="center" vertical="center" wrapText="1"/>
      <protection locked="0"/>
    </xf>
    <xf numFmtId="0" fontId="32" fillId="2" borderId="8" xfId="53" applyFont="1" applyFill="1" applyBorder="1" applyAlignment="1" applyProtection="1">
      <alignment vertical="center" wrapText="1"/>
      <protection locked="0"/>
    </xf>
    <xf numFmtId="10" fontId="17" fillId="2" borderId="86" xfId="53" applyNumberFormat="1" applyFont="1" applyFill="1" applyBorder="1" applyAlignment="1" applyProtection="1">
      <alignment horizontal="center" vertical="center" wrapText="1"/>
    </xf>
    <xf numFmtId="0" fontId="101" fillId="2" borderId="48" xfId="53" applyFont="1" applyFill="1" applyBorder="1" applyAlignment="1" applyProtection="1">
      <alignment vertical="center" wrapText="1"/>
    </xf>
    <xf numFmtId="0" fontId="101" fillId="2" borderId="4" xfId="53" applyFont="1" applyFill="1" applyBorder="1" applyAlignment="1" applyProtection="1">
      <alignment horizontal="center" vertical="center" wrapText="1"/>
    </xf>
    <xf numFmtId="0" fontId="101" fillId="2" borderId="13" xfId="53" applyFont="1" applyFill="1" applyBorder="1" applyAlignment="1" applyProtection="1">
      <alignment horizontal="center" vertical="center" wrapText="1"/>
    </xf>
    <xf numFmtId="0" fontId="101" fillId="2" borderId="67" xfId="53" applyFont="1" applyFill="1" applyBorder="1" applyAlignment="1" applyProtection="1">
      <alignment vertical="center" wrapText="1"/>
    </xf>
    <xf numFmtId="0" fontId="101" fillId="2" borderId="6" xfId="53" applyFont="1" applyFill="1" applyBorder="1" applyAlignment="1" applyProtection="1">
      <alignment horizontal="center" vertical="center" wrapText="1"/>
    </xf>
    <xf numFmtId="9" fontId="17" fillId="2" borderId="14" xfId="53" applyNumberFormat="1" applyFont="1" applyFill="1" applyBorder="1" applyAlignment="1" applyProtection="1">
      <alignment horizontal="center" vertical="center" wrapText="1"/>
    </xf>
    <xf numFmtId="9" fontId="101" fillId="2" borderId="7" xfId="53" applyNumberFormat="1" applyFont="1" applyFill="1" applyBorder="1" applyAlignment="1" applyProtection="1">
      <alignment horizontal="center" vertical="center" wrapText="1"/>
    </xf>
    <xf numFmtId="10" fontId="17" fillId="2" borderId="8" xfId="53" applyNumberFormat="1" applyFont="1" applyFill="1" applyBorder="1" applyAlignment="1" applyProtection="1">
      <alignment horizontal="center" vertical="center" wrapText="1"/>
    </xf>
    <xf numFmtId="10" fontId="17" fillId="2" borderId="15" xfId="53" applyNumberFormat="1" applyFont="1" applyFill="1" applyBorder="1" applyAlignment="1" applyProtection="1">
      <alignment horizontal="center" vertical="center" wrapText="1"/>
    </xf>
    <xf numFmtId="0" fontId="100" fillId="2" borderId="46" xfId="53" applyFont="1" applyFill="1" applyBorder="1" applyAlignment="1" applyProtection="1">
      <alignment vertical="center"/>
    </xf>
    <xf numFmtId="0" fontId="100" fillId="2" borderId="0" xfId="53" applyFont="1" applyFill="1" applyBorder="1" applyAlignment="1" applyProtection="1">
      <alignment vertical="center"/>
      <protection locked="0"/>
    </xf>
    <xf numFmtId="0" fontId="101" fillId="2" borderId="53" xfId="53" applyFont="1" applyFill="1" applyBorder="1" applyAlignment="1" applyProtection="1">
      <alignment vertical="center" wrapText="1"/>
    </xf>
    <xf numFmtId="0" fontId="101" fillId="2" borderId="56" xfId="53" applyFont="1" applyFill="1" applyBorder="1" applyAlignment="1" applyProtection="1">
      <alignment vertical="center"/>
    </xf>
    <xf numFmtId="0" fontId="101" fillId="2" borderId="72" xfId="53" applyFont="1" applyFill="1" applyBorder="1" applyAlignment="1" applyProtection="1">
      <alignment vertical="center"/>
    </xf>
    <xf numFmtId="0" fontId="101" fillId="2" borderId="0" xfId="53" applyFont="1" applyFill="1" applyBorder="1" applyAlignment="1" applyProtection="1">
      <alignment vertical="center"/>
      <protection locked="0"/>
    </xf>
    <xf numFmtId="0" fontId="101" fillId="2" borderId="48" xfId="53" applyFont="1" applyFill="1" applyBorder="1" applyAlignment="1" applyProtection="1">
      <alignment horizontal="center" vertical="center" wrapText="1"/>
    </xf>
    <xf numFmtId="0" fontId="17" fillId="2" borderId="19" xfId="53" applyFont="1" applyFill="1" applyBorder="1" applyAlignment="1" applyProtection="1">
      <alignment vertical="center"/>
    </xf>
    <xf numFmtId="0" fontId="17" fillId="2" borderId="45" xfId="53" applyFont="1" applyFill="1" applyBorder="1" applyAlignment="1" applyProtection="1">
      <alignment vertical="center" wrapText="1"/>
    </xf>
    <xf numFmtId="0" fontId="17" fillId="2" borderId="6" xfId="53" applyFont="1" applyFill="1" applyBorder="1" applyAlignment="1" applyProtection="1">
      <alignment vertical="center"/>
    </xf>
    <xf numFmtId="9" fontId="17" fillId="2" borderId="14" xfId="53" applyNumberFormat="1" applyFont="1" applyFill="1" applyBorder="1" applyAlignment="1" applyProtection="1">
      <alignment horizontal="center" vertical="center"/>
    </xf>
    <xf numFmtId="0" fontId="101" fillId="2" borderId="67" xfId="53" applyFont="1" applyFill="1" applyBorder="1" applyAlignment="1" applyProtection="1">
      <alignment horizontal="center" vertical="center" wrapText="1"/>
    </xf>
    <xf numFmtId="0" fontId="17" fillId="2" borderId="7" xfId="53" applyFont="1" applyFill="1" applyBorder="1" applyAlignment="1" applyProtection="1">
      <alignment vertical="center" wrapText="1"/>
    </xf>
    <xf numFmtId="9" fontId="17" fillId="2" borderId="15" xfId="53" applyNumberFormat="1" applyFont="1" applyFill="1" applyBorder="1" applyAlignment="1" applyProtection="1">
      <alignment horizontal="center" vertical="center" wrapText="1"/>
    </xf>
    <xf numFmtId="0" fontId="28" fillId="2" borderId="1" xfId="53" applyNumberFormat="1" applyFont="1" applyFill="1" applyBorder="1" applyAlignment="1" applyProtection="1">
      <alignment horizontal="center" vertical="center" wrapText="1"/>
    </xf>
    <xf numFmtId="9" fontId="72" fillId="2" borderId="1" xfId="53" applyNumberFormat="1" applyFont="1" applyFill="1" applyBorder="1" applyAlignment="1" applyProtection="1">
      <alignment horizontal="center" vertical="center" wrapText="1"/>
    </xf>
    <xf numFmtId="10" fontId="32" fillId="2" borderId="1" xfId="53" applyNumberFormat="1" applyFont="1" applyFill="1" applyBorder="1" applyAlignment="1" applyProtection="1">
      <alignment horizontal="center" vertical="center" wrapText="1"/>
    </xf>
    <xf numFmtId="9" fontId="72" fillId="2" borderId="8" xfId="53" applyNumberFormat="1" applyFont="1" applyFill="1" applyBorder="1" applyAlignment="1" applyProtection="1">
      <alignment horizontal="center" vertical="center" wrapText="1"/>
    </xf>
    <xf numFmtId="0" fontId="55" fillId="2" borderId="1" xfId="53" applyFont="1" applyFill="1" applyBorder="1" applyAlignment="1" applyProtection="1">
      <alignment horizontal="center" vertical="center" wrapText="1"/>
    </xf>
    <xf numFmtId="0" fontId="46" fillId="2" borderId="1" xfId="53" applyFont="1" applyFill="1" applyBorder="1" applyAlignment="1" applyProtection="1">
      <alignment horizontal="center" vertical="center" wrapText="1"/>
    </xf>
    <xf numFmtId="0" fontId="46" fillId="0" borderId="1" xfId="53" applyFont="1" applyFill="1" applyBorder="1" applyAlignment="1" applyProtection="1">
      <alignment horizontal="center" vertical="center" wrapText="1"/>
      <protection locked="0"/>
    </xf>
    <xf numFmtId="0" fontId="17" fillId="2" borderId="11" xfId="53" applyFont="1" applyFill="1" applyBorder="1" applyAlignment="1" applyProtection="1">
      <alignment horizontal="center" vertical="center" wrapText="1"/>
      <protection locked="0"/>
    </xf>
    <xf numFmtId="0" fontId="17" fillId="2" borderId="1" xfId="53" applyFont="1" applyFill="1" applyBorder="1" applyAlignment="1" applyProtection="1">
      <alignment horizontal="center" vertical="center" wrapText="1"/>
      <protection locked="0"/>
    </xf>
    <xf numFmtId="0" fontId="101" fillId="2" borderId="12" xfId="53" applyFont="1" applyFill="1" applyBorder="1" applyAlignment="1" applyProtection="1">
      <alignment horizontal="right" vertical="center" wrapText="1"/>
      <protection locked="0"/>
    </xf>
    <xf numFmtId="0" fontId="17" fillId="2" borderId="11" xfId="53" applyFont="1" applyFill="1" applyBorder="1" applyAlignment="1" applyProtection="1">
      <alignment horizontal="right" vertical="center" wrapText="1"/>
      <protection locked="0"/>
    </xf>
    <xf numFmtId="184" fontId="72" fillId="2" borderId="1" xfId="53" applyNumberFormat="1" applyFont="1" applyFill="1" applyBorder="1" applyAlignment="1" applyProtection="1">
      <alignment horizontal="center" vertical="center"/>
    </xf>
    <xf numFmtId="0" fontId="72" fillId="2" borderId="1" xfId="53" applyFont="1" applyFill="1" applyBorder="1" applyAlignment="1" applyProtection="1">
      <alignment vertical="center" wrapText="1"/>
    </xf>
    <xf numFmtId="0" fontId="17" fillId="2" borderId="0" xfId="53" applyFont="1" applyFill="1" applyAlignment="1" applyProtection="1">
      <alignment vertical="center" wrapText="1"/>
      <protection locked="0"/>
    </xf>
    <xf numFmtId="10" fontId="17" fillId="2" borderId="0" xfId="53" applyNumberFormat="1" applyFont="1" applyFill="1" applyAlignment="1" applyProtection="1">
      <alignment horizontal="center" vertical="center" wrapText="1"/>
      <protection locked="0"/>
    </xf>
    <xf numFmtId="0" fontId="32" fillId="2" borderId="0" xfId="53" applyFont="1" applyFill="1" applyAlignment="1" applyProtection="1">
      <alignment horizontal="center" vertical="center" wrapText="1"/>
      <protection locked="0"/>
    </xf>
    <xf numFmtId="0" fontId="101" fillId="2" borderId="0" xfId="53" applyFont="1" applyFill="1" applyAlignment="1" applyProtection="1">
      <alignment horizontal="center" vertical="center" wrapText="1"/>
      <protection locked="0"/>
    </xf>
    <xf numFmtId="0" fontId="101" fillId="6" borderId="0" xfId="53" applyFont="1" applyFill="1" applyAlignment="1" applyProtection="1">
      <alignment horizontal="center" vertical="center" wrapText="1"/>
      <protection locked="0"/>
    </xf>
    <xf numFmtId="0" fontId="48" fillId="2" borderId="0" xfId="53" applyFont="1" applyFill="1" applyAlignment="1" applyProtection="1">
      <alignment horizontal="center" vertical="center" wrapText="1"/>
      <protection locked="0"/>
    </xf>
    <xf numFmtId="0" fontId="48" fillId="6" borderId="0" xfId="53" applyFont="1" applyFill="1" applyAlignment="1" applyProtection="1">
      <alignment horizontal="center" vertical="center" wrapText="1"/>
    </xf>
    <xf numFmtId="182" fontId="17" fillId="2" borderId="1" xfId="53" applyNumberFormat="1" applyFont="1" applyFill="1" applyBorder="1" applyAlignment="1" applyProtection="1">
      <alignment horizontal="center" vertical="center" wrapText="1"/>
      <protection locked="0"/>
    </xf>
    <xf numFmtId="0" fontId="17" fillId="6" borderId="0" xfId="53" applyFont="1" applyFill="1" applyAlignment="1" applyProtection="1">
      <alignment horizontal="center" vertical="center" wrapText="1"/>
    </xf>
    <xf numFmtId="178" fontId="94" fillId="0" borderId="1" xfId="53" applyNumberFormat="1" applyFont="1" applyFill="1" applyBorder="1" applyAlignment="1" applyProtection="1">
      <alignment horizontal="center" vertical="center"/>
      <protection locked="0"/>
    </xf>
    <xf numFmtId="178" fontId="94" fillId="2" borderId="1" xfId="53" applyNumberFormat="1" applyFont="1" applyFill="1" applyBorder="1" applyAlignment="1" applyProtection="1">
      <alignment horizontal="center" vertical="center"/>
    </xf>
    <xf numFmtId="180" fontId="94" fillId="2" borderId="1" xfId="53" applyNumberFormat="1" applyFont="1" applyFill="1" applyBorder="1" applyAlignment="1" applyProtection="1">
      <alignment horizontal="center" vertical="center" wrapText="1"/>
    </xf>
    <xf numFmtId="0" fontId="48" fillId="6" borderId="0" xfId="53" applyFont="1" applyFill="1" applyAlignment="1" applyProtection="1">
      <alignment vertical="center" wrapText="1"/>
    </xf>
    <xf numFmtId="10" fontId="101" fillId="6" borderId="0" xfId="53" applyNumberFormat="1" applyFont="1" applyFill="1" applyAlignment="1" applyProtection="1">
      <alignment horizontal="center" vertical="center" wrapText="1"/>
    </xf>
    <xf numFmtId="10" fontId="101" fillId="0" borderId="0" xfId="53" applyNumberFormat="1" applyFont="1" applyAlignment="1" applyProtection="1">
      <alignment horizontal="center" vertical="center" wrapText="1"/>
    </xf>
    <xf numFmtId="0" fontId="48" fillId="0" borderId="0" xfId="53" applyFont="1" applyAlignment="1" applyProtection="1">
      <alignment horizontal="center" vertical="center" wrapText="1"/>
    </xf>
    <xf numFmtId="0" fontId="17" fillId="0" borderId="0" xfId="53" applyFont="1" applyAlignment="1" applyProtection="1">
      <alignment horizontal="center" vertical="center" wrapText="1"/>
    </xf>
    <xf numFmtId="49" fontId="106" fillId="2" borderId="8" xfId="53" applyNumberFormat="1" applyFont="1" applyFill="1" applyBorder="1" applyAlignment="1" applyProtection="1">
      <alignment horizontal="center" vertical="center" wrapText="1"/>
    </xf>
    <xf numFmtId="0" fontId="117" fillId="3" borderId="1" xfId="0" applyFont="1" applyFill="1" applyBorder="1" applyAlignment="1" applyProtection="1">
      <alignment horizontal="center" vertical="center" wrapText="1"/>
      <protection locked="0"/>
    </xf>
    <xf numFmtId="10" fontId="47" fillId="0" borderId="1" xfId="0" applyNumberFormat="1" applyFont="1" applyBorder="1" applyAlignment="1" applyProtection="1">
      <alignment horizontal="center" vertical="center"/>
      <protection locked="0"/>
    </xf>
    <xf numFmtId="10" fontId="47" fillId="2" borderId="1" xfId="0" applyNumberFormat="1" applyFont="1" applyFill="1" applyBorder="1" applyAlignment="1" applyProtection="1">
      <alignment horizontal="center" vertical="center"/>
    </xf>
    <xf numFmtId="10" fontId="17" fillId="2" borderId="73" xfId="53" applyNumberFormat="1" applyFont="1" applyFill="1" applyBorder="1" applyAlignment="1" applyProtection="1">
      <alignment horizontal="center" vertical="center" wrapText="1"/>
    </xf>
    <xf numFmtId="10" fontId="1" fillId="2" borderId="0" xfId="53" applyNumberFormat="1" applyFont="1" applyFill="1" applyBorder="1" applyAlignment="1" applyProtection="1">
      <alignment vertical="center" wrapText="1"/>
    </xf>
    <xf numFmtId="0" fontId="106" fillId="0" borderId="8" xfId="53" applyNumberFormat="1" applyFont="1" applyFill="1" applyBorder="1" applyAlignment="1" applyProtection="1">
      <alignment horizontal="center" vertical="center" wrapText="1"/>
      <protection locked="0"/>
    </xf>
    <xf numFmtId="0" fontId="106" fillId="2" borderId="8" xfId="53" applyNumberFormat="1" applyFont="1" applyFill="1" applyBorder="1" applyAlignment="1" applyProtection="1">
      <alignment horizontal="center" vertical="center" wrapText="1"/>
    </xf>
    <xf numFmtId="0" fontId="106" fillId="2" borderId="10" xfId="53" applyFont="1" applyFill="1" applyBorder="1" applyAlignment="1" applyProtection="1">
      <alignment vertical="center"/>
    </xf>
    <xf numFmtId="0" fontId="106" fillId="2" borderId="12" xfId="53" applyFont="1" applyFill="1" applyBorder="1" applyAlignment="1" applyProtection="1">
      <alignment vertical="center"/>
    </xf>
    <xf numFmtId="0" fontId="106" fillId="2" borderId="9" xfId="53" applyFont="1" applyFill="1" applyBorder="1" applyAlignment="1" applyProtection="1">
      <alignment horizontal="center" vertical="center"/>
    </xf>
    <xf numFmtId="184" fontId="106" fillId="2" borderId="1" xfId="53" applyNumberFormat="1" applyFont="1" applyFill="1" applyBorder="1" applyAlignment="1" applyProtection="1">
      <alignment horizontal="center" vertical="center"/>
    </xf>
    <xf numFmtId="180" fontId="106" fillId="2" borderId="1" xfId="53" applyNumberFormat="1" applyFont="1" applyFill="1" applyBorder="1" applyAlignment="1" applyProtection="1">
      <alignment horizontal="center" vertical="center"/>
    </xf>
    <xf numFmtId="0" fontId="106" fillId="2" borderId="35" xfId="53" applyFont="1" applyFill="1" applyBorder="1" applyAlignment="1" applyProtection="1">
      <alignment horizontal="center" vertical="center"/>
    </xf>
    <xf numFmtId="178" fontId="121" fillId="2" borderId="1" xfId="53" applyNumberFormat="1" applyFont="1" applyFill="1" applyBorder="1" applyAlignment="1" applyProtection="1">
      <alignment horizontal="center" vertical="center"/>
    </xf>
    <xf numFmtId="180" fontId="121" fillId="2" borderId="1" xfId="53" applyNumberFormat="1" applyFont="1" applyFill="1" applyBorder="1" applyAlignment="1" applyProtection="1">
      <alignment horizontal="center" vertical="center" wrapText="1"/>
    </xf>
    <xf numFmtId="184" fontId="106" fillId="2" borderId="3" xfId="53" applyNumberFormat="1" applyFont="1" applyFill="1" applyBorder="1" applyAlignment="1" applyProtection="1">
      <alignment horizontal="center" vertical="center" wrapText="1"/>
    </xf>
    <xf numFmtId="182" fontId="121" fillId="2" borderId="1" xfId="53" applyNumberFormat="1" applyFont="1" applyFill="1" applyBorder="1" applyAlignment="1" applyProtection="1">
      <alignment horizontal="center" vertical="center"/>
    </xf>
    <xf numFmtId="0" fontId="106" fillId="2" borderId="3" xfId="53" applyFont="1" applyFill="1" applyBorder="1" applyAlignment="1" applyProtection="1">
      <alignment horizontal="center" vertical="center" wrapText="1"/>
    </xf>
    <xf numFmtId="0" fontId="106" fillId="2" borderId="0" xfId="53" applyFont="1" applyFill="1" applyAlignment="1" applyProtection="1">
      <alignment horizontal="left" vertical="center"/>
    </xf>
    <xf numFmtId="0" fontId="17" fillId="2" borderId="35" xfId="48" applyNumberFormat="1" applyFont="1" applyFill="1" applyBorder="1" applyAlignment="1" applyProtection="1">
      <alignment horizontal="center" vertical="center" wrapText="1"/>
    </xf>
    <xf numFmtId="182" fontId="94" fillId="2" borderId="35" xfId="48" applyNumberFormat="1" applyFont="1" applyFill="1" applyBorder="1" applyAlignment="1" applyProtection="1">
      <alignment horizontal="center" vertical="center" wrapText="1"/>
    </xf>
    <xf numFmtId="0" fontId="17" fillId="2" borderId="41" xfId="48" applyNumberFormat="1" applyFont="1" applyFill="1" applyBorder="1" applyAlignment="1" applyProtection="1">
      <alignment horizontal="center" vertical="center" wrapText="1"/>
    </xf>
    <xf numFmtId="0" fontId="94" fillId="2" borderId="55" xfId="48" applyNumberFormat="1" applyFont="1" applyFill="1" applyBorder="1" applyAlignment="1" applyProtection="1">
      <alignment horizontal="center" vertical="center" wrapText="1"/>
    </xf>
    <xf numFmtId="0" fontId="68" fillId="2" borderId="1" xfId="48" applyNumberFormat="1" applyFont="1" applyFill="1" applyBorder="1" applyAlignment="1" applyProtection="1">
      <alignment horizontal="center" vertical="center" wrapText="1"/>
    </xf>
    <xf numFmtId="0" fontId="86" fillId="2" borderId="1" xfId="48" applyNumberFormat="1" applyFont="1" applyFill="1" applyBorder="1" applyAlignment="1" applyProtection="1">
      <alignment horizontal="center" vertical="center"/>
    </xf>
    <xf numFmtId="0" fontId="17" fillId="2" borderId="19" xfId="48" applyNumberFormat="1" applyFont="1" applyFill="1" applyBorder="1" applyAlignment="1" applyProtection="1">
      <alignment vertical="center" wrapText="1"/>
    </xf>
    <xf numFmtId="0" fontId="101" fillId="2" borderId="5" xfId="48" applyNumberFormat="1" applyFont="1" applyFill="1" applyBorder="1" applyAlignment="1" applyProtection="1">
      <alignment horizontal="center" vertical="center"/>
    </xf>
    <xf numFmtId="0" fontId="101" fillId="2" borderId="3" xfId="48" applyNumberFormat="1" applyFont="1" applyFill="1" applyBorder="1" applyAlignment="1" applyProtection="1">
      <alignment horizontal="center" vertical="center"/>
    </xf>
    <xf numFmtId="0" fontId="101" fillId="2" borderId="3" xfId="48" applyNumberFormat="1" applyFont="1" applyFill="1" applyBorder="1" applyAlignment="1" applyProtection="1">
      <alignment horizontal="center" vertical="center" wrapText="1"/>
    </xf>
    <xf numFmtId="0" fontId="17" fillId="2" borderId="6" xfId="48" applyNumberFormat="1" applyFont="1" applyFill="1" applyBorder="1" applyAlignment="1" applyProtection="1">
      <alignment horizontal="center" vertical="center" wrapText="1"/>
    </xf>
    <xf numFmtId="0" fontId="94" fillId="2" borderId="1" xfId="48" applyNumberFormat="1" applyFont="1" applyFill="1" applyBorder="1" applyAlignment="1" applyProtection="1">
      <alignment horizontal="center" vertical="center" wrapText="1"/>
    </xf>
    <xf numFmtId="0" fontId="68" fillId="2" borderId="6" xfId="48" applyNumberFormat="1" applyFont="1" applyFill="1" applyBorder="1" applyAlignment="1" applyProtection="1">
      <alignment horizontal="center" vertical="center" wrapText="1"/>
    </xf>
    <xf numFmtId="0" fontId="17" fillId="2" borderId="7" xfId="48" applyNumberFormat="1" applyFont="1" applyFill="1" applyBorder="1" applyAlignment="1" applyProtection="1">
      <alignment horizontal="center" vertical="center" wrapText="1"/>
    </xf>
    <xf numFmtId="0" fontId="94" fillId="2" borderId="8" xfId="48" applyNumberFormat="1" applyFont="1" applyFill="1" applyBorder="1" applyAlignment="1" applyProtection="1">
      <alignment horizontal="center" vertical="center" wrapText="1"/>
    </xf>
    <xf numFmtId="0" fontId="101" fillId="0" borderId="0" xfId="53" applyFont="1" applyAlignment="1" applyProtection="1">
      <alignment vertical="center" wrapText="1"/>
      <protection locked="0"/>
    </xf>
    <xf numFmtId="0" fontId="106" fillId="2" borderId="11" xfId="53" applyFont="1" applyFill="1" applyBorder="1" applyAlignment="1" applyProtection="1">
      <alignment vertical="center"/>
    </xf>
    <xf numFmtId="0" fontId="101" fillId="2" borderId="41" xfId="48" applyNumberFormat="1" applyFont="1" applyFill="1" applyBorder="1" applyAlignment="1" applyProtection="1">
      <alignment horizontal="center" vertical="center"/>
    </xf>
    <xf numFmtId="0" fontId="101" fillId="2" borderId="70" xfId="48" applyNumberFormat="1" applyFont="1" applyFill="1" applyBorder="1" applyAlignment="1" applyProtection="1">
      <alignment horizontal="center" vertical="center"/>
    </xf>
    <xf numFmtId="0" fontId="94" fillId="2" borderId="14" xfId="48" applyNumberFormat="1" applyFont="1" applyFill="1" applyBorder="1" applyAlignment="1" applyProtection="1">
      <alignment horizontal="center" vertical="center" wrapText="1"/>
    </xf>
    <xf numFmtId="0" fontId="94" fillId="2" borderId="15" xfId="48" applyNumberFormat="1" applyFont="1" applyFill="1" applyBorder="1" applyAlignment="1" applyProtection="1">
      <alignment horizontal="center" vertical="center" wrapText="1"/>
    </xf>
    <xf numFmtId="0" fontId="101" fillId="0" borderId="0" xfId="53" applyFont="1" applyAlignment="1" applyProtection="1">
      <alignment horizontal="center" vertical="center" wrapText="1"/>
      <protection locked="0"/>
    </xf>
    <xf numFmtId="0" fontId="32" fillId="0" borderId="20" xfId="0" applyFont="1" applyFill="1" applyBorder="1" applyAlignment="1" applyProtection="1">
      <alignment horizontal="center" vertical="center"/>
    </xf>
    <xf numFmtId="0" fontId="122" fillId="0" borderId="11" xfId="0" applyFont="1" applyFill="1" applyBorder="1" applyAlignment="1" applyProtection="1">
      <alignment horizontal="center" vertical="center" wrapText="1"/>
      <protection locked="0"/>
    </xf>
    <xf numFmtId="0" fontId="122" fillId="0" borderId="6" xfId="0" applyFont="1" applyFill="1" applyBorder="1" applyAlignment="1" applyProtection="1">
      <alignment horizontal="center" vertical="center" wrapText="1"/>
      <protection locked="0"/>
    </xf>
    <xf numFmtId="0" fontId="123" fillId="0" borderId="59" xfId="0" applyNumberFormat="1" applyFont="1" applyFill="1" applyBorder="1" applyAlignment="1" applyProtection="1">
      <alignment horizontal="center" vertical="center" wrapText="1"/>
      <protection locked="0"/>
    </xf>
    <xf numFmtId="0" fontId="28" fillId="0" borderId="81" xfId="0" applyNumberFormat="1" applyFont="1" applyFill="1" applyBorder="1" applyAlignment="1" applyProtection="1">
      <alignment horizontal="center" vertical="center" wrapText="1"/>
      <protection locked="0"/>
    </xf>
    <xf numFmtId="49" fontId="32" fillId="2" borderId="71" xfId="0" applyNumberFormat="1" applyFont="1" applyFill="1" applyBorder="1" applyAlignment="1" applyProtection="1">
      <alignment horizontal="center" vertical="center" wrapText="1"/>
    </xf>
    <xf numFmtId="0" fontId="32" fillId="2" borderId="48" xfId="0" applyFont="1" applyFill="1" applyBorder="1" applyAlignment="1" applyProtection="1">
      <alignment horizontal="center" vertical="center"/>
    </xf>
    <xf numFmtId="0" fontId="32" fillId="5" borderId="81" xfId="0" applyNumberFormat="1" applyFont="1" applyFill="1" applyBorder="1" applyAlignment="1" applyProtection="1">
      <alignment horizontal="center" vertical="center" wrapText="1"/>
      <protection locked="0"/>
    </xf>
    <xf numFmtId="0" fontId="32" fillId="2" borderId="58" xfId="0" applyNumberFormat="1" applyFont="1" applyFill="1" applyBorder="1" applyAlignment="1" applyProtection="1">
      <alignment horizontal="center" vertical="center" wrapText="1"/>
    </xf>
    <xf numFmtId="0" fontId="32" fillId="5" borderId="74" xfId="0" applyNumberFormat="1" applyFont="1" applyFill="1" applyBorder="1" applyAlignment="1" applyProtection="1">
      <alignment horizontal="center" vertical="center" wrapText="1"/>
      <protection locked="0"/>
    </xf>
    <xf numFmtId="0" fontId="32" fillId="5" borderId="12" xfId="0" applyNumberFormat="1" applyFont="1" applyFill="1" applyBorder="1" applyAlignment="1" applyProtection="1">
      <alignment horizontal="center" vertical="center" wrapText="1"/>
      <protection locked="0"/>
    </xf>
    <xf numFmtId="0" fontId="28" fillId="5" borderId="81" xfId="0" applyNumberFormat="1" applyFont="1" applyFill="1" applyBorder="1" applyAlignment="1" applyProtection="1">
      <alignment horizontal="center" vertical="center" wrapText="1"/>
      <protection locked="0"/>
    </xf>
    <xf numFmtId="0" fontId="28" fillId="0" borderId="14" xfId="0" applyFont="1" applyFill="1" applyBorder="1" applyAlignment="1" applyProtection="1">
      <alignment horizontal="center" vertical="center" wrapText="1"/>
      <protection locked="0"/>
    </xf>
    <xf numFmtId="0" fontId="32" fillId="0" borderId="79" xfId="0" applyNumberFormat="1" applyFont="1" applyFill="1" applyBorder="1" applyAlignment="1" applyProtection="1">
      <alignment horizontal="center" vertical="center" wrapText="1"/>
      <protection locked="0"/>
    </xf>
    <xf numFmtId="0" fontId="34" fillId="2" borderId="20" xfId="0" applyFont="1" applyFill="1" applyBorder="1" applyAlignment="1" applyProtection="1">
      <alignment horizontal="center" vertical="center"/>
      <protection locked="0"/>
    </xf>
    <xf numFmtId="0" fontId="32" fillId="2" borderId="54"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32" fillId="2" borderId="89" xfId="0" applyFont="1" applyFill="1" applyBorder="1" applyAlignment="1" applyProtection="1">
      <alignment horizontal="center" vertical="center" wrapText="1"/>
    </xf>
    <xf numFmtId="0" fontId="32" fillId="2" borderId="12" xfId="0" applyFont="1" applyFill="1" applyBorder="1" applyAlignment="1" applyProtection="1">
      <alignment horizontal="center" vertical="center" wrapText="1"/>
    </xf>
    <xf numFmtId="0" fontId="32" fillId="2" borderId="20" xfId="0" applyFont="1" applyFill="1" applyBorder="1" applyAlignment="1" applyProtection="1">
      <alignment horizontal="center" vertical="center"/>
      <protection locked="0"/>
    </xf>
    <xf numFmtId="0" fontId="31" fillId="2" borderId="20" xfId="0" applyFont="1" applyFill="1" applyBorder="1" applyAlignment="1" applyProtection="1">
      <alignment horizontal="center" vertical="center"/>
      <protection locked="0"/>
    </xf>
    <xf numFmtId="0" fontId="32" fillId="2" borderId="20" xfId="0" applyFont="1" applyFill="1" applyBorder="1" applyAlignment="1" applyProtection="1">
      <protection locked="0"/>
    </xf>
    <xf numFmtId="49" fontId="28" fillId="2" borderId="20" xfId="0" applyNumberFormat="1" applyFont="1" applyFill="1" applyBorder="1" applyAlignment="1" applyProtection="1">
      <alignment horizontal="center" vertical="center"/>
      <protection locked="0"/>
    </xf>
    <xf numFmtId="9" fontId="28" fillId="2" borderId="20" xfId="0" applyNumberFormat="1" applyFont="1" applyFill="1" applyBorder="1" applyAlignment="1" applyProtection="1">
      <alignment horizontal="center" vertical="center" wrapText="1"/>
      <protection locked="0"/>
    </xf>
    <xf numFmtId="0" fontId="47" fillId="2" borderId="20" xfId="0" applyFont="1" applyFill="1" applyBorder="1" applyAlignment="1" applyProtection="1">
      <alignment vertical="center"/>
      <protection locked="0"/>
    </xf>
    <xf numFmtId="0" fontId="28" fillId="2" borderId="20" xfId="0" applyFont="1" applyFill="1" applyBorder="1" applyAlignment="1" applyProtection="1">
      <alignment horizontal="center" vertical="center" wrapText="1"/>
      <protection locked="0"/>
    </xf>
    <xf numFmtId="0" fontId="123" fillId="0" borderId="85" xfId="0" applyNumberFormat="1" applyFont="1" applyFill="1" applyBorder="1" applyAlignment="1" applyProtection="1">
      <alignment horizontal="center" vertical="center" wrapText="1"/>
      <protection locked="0"/>
    </xf>
    <xf numFmtId="0" fontId="120" fillId="0" borderId="5" xfId="0" applyNumberFormat="1" applyFont="1" applyFill="1" applyBorder="1" applyAlignment="1" applyProtection="1">
      <alignment horizontal="center" vertical="center" wrapText="1"/>
      <protection locked="0"/>
    </xf>
    <xf numFmtId="0" fontId="120" fillId="0" borderId="85" xfId="0" applyNumberFormat="1" applyFont="1" applyFill="1" applyBorder="1" applyAlignment="1" applyProtection="1">
      <alignment horizontal="center" vertical="center" wrapText="1"/>
      <protection locked="0"/>
    </xf>
    <xf numFmtId="0" fontId="30" fillId="2" borderId="20" xfId="0" applyFont="1" applyFill="1" applyBorder="1" applyAlignment="1" applyProtection="1">
      <alignment horizontal="center" vertical="center" wrapText="1"/>
      <protection locked="0"/>
    </xf>
    <xf numFmtId="0" fontId="30" fillId="2" borderId="20" xfId="0" applyFont="1" applyFill="1" applyBorder="1" applyAlignment="1" applyProtection="1">
      <alignment horizontal="center" vertical="center"/>
      <protection locked="0"/>
    </xf>
    <xf numFmtId="0" fontId="30" fillId="2" borderId="20" xfId="0" applyFont="1" applyFill="1" applyBorder="1" applyAlignment="1" applyProtection="1">
      <alignment vertical="center" wrapText="1"/>
      <protection locked="0"/>
    </xf>
    <xf numFmtId="0" fontId="28" fillId="2" borderId="20" xfId="0" applyFont="1" applyFill="1" applyBorder="1" applyAlignment="1" applyProtection="1">
      <alignment vertical="center" wrapText="1"/>
      <protection locked="0"/>
    </xf>
    <xf numFmtId="0" fontId="32" fillId="0" borderId="85" xfId="0" applyNumberFormat="1" applyFont="1" applyFill="1" applyBorder="1" applyAlignment="1" applyProtection="1">
      <alignment horizontal="left" vertical="center" wrapText="1"/>
      <protection locked="0"/>
    </xf>
    <xf numFmtId="0" fontId="32" fillId="0" borderId="88" xfId="0" applyNumberFormat="1"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protection locked="0"/>
    </xf>
    <xf numFmtId="49" fontId="34" fillId="2" borderId="89" xfId="0" applyNumberFormat="1" applyFont="1" applyFill="1" applyBorder="1" applyAlignment="1" applyProtection="1"/>
    <xf numFmtId="49" fontId="51" fillId="5" borderId="98" xfId="0" applyNumberFormat="1" applyFont="1" applyFill="1" applyBorder="1" applyAlignment="1" applyProtection="1">
      <alignment horizontal="left"/>
      <protection locked="0"/>
    </xf>
    <xf numFmtId="0" fontId="27" fillId="3" borderId="0" xfId="0" applyFont="1" applyFill="1" applyAlignment="1" applyProtection="1">
      <alignment vertical="center"/>
      <protection locked="0"/>
    </xf>
    <xf numFmtId="178" fontId="34" fillId="2" borderId="89" xfId="0" applyNumberFormat="1" applyFont="1" applyFill="1" applyBorder="1" applyAlignment="1" applyProtection="1">
      <protection locked="0"/>
    </xf>
    <xf numFmtId="49" fontId="36" fillId="9" borderId="0" xfId="0" applyNumberFormat="1" applyFont="1" applyFill="1" applyBorder="1" applyAlignment="1" applyProtection="1">
      <alignment horizontal="center"/>
      <protection locked="0"/>
    </xf>
    <xf numFmtId="0" fontId="46" fillId="9" borderId="0" xfId="0" applyFont="1" applyFill="1" applyBorder="1" applyAlignment="1" applyProtection="1">
      <alignment vertical="center"/>
      <protection locked="0"/>
    </xf>
    <xf numFmtId="49" fontId="36" fillId="9" borderId="0" xfId="0" applyNumberFormat="1" applyFont="1" applyFill="1" applyBorder="1" applyAlignment="1" applyProtection="1">
      <protection locked="0"/>
    </xf>
    <xf numFmtId="178" fontId="36" fillId="2" borderId="0" xfId="0" applyNumberFormat="1" applyFont="1" applyFill="1" applyBorder="1" applyAlignment="1" applyProtection="1">
      <protection locked="0"/>
    </xf>
    <xf numFmtId="0" fontId="36" fillId="2" borderId="8" xfId="59" applyFont="1" applyFill="1" applyBorder="1" applyAlignment="1" applyProtection="1">
      <alignment vertical="center"/>
    </xf>
    <xf numFmtId="0" fontId="25" fillId="2" borderId="8" xfId="0" applyFont="1" applyFill="1" applyBorder="1" applyAlignment="1" applyProtection="1">
      <alignment horizontal="center" vertical="center"/>
    </xf>
    <xf numFmtId="49" fontId="16" fillId="2" borderId="4" xfId="0" applyNumberFormat="1" applyFont="1" applyFill="1" applyBorder="1" applyAlignment="1" applyProtection="1">
      <alignment horizontal="center" vertical="center"/>
    </xf>
    <xf numFmtId="0" fontId="16" fillId="2" borderId="5" xfId="0" applyFont="1" applyFill="1" applyBorder="1" applyAlignment="1" applyProtection="1">
      <alignment horizontal="center" vertical="center"/>
    </xf>
    <xf numFmtId="0" fontId="16" fillId="2" borderId="35" xfId="0" applyFont="1" applyFill="1" applyBorder="1" applyAlignment="1" applyProtection="1">
      <alignment horizontal="center" vertical="center"/>
    </xf>
    <xf numFmtId="0" fontId="24" fillId="2" borderId="9" xfId="0" applyFont="1" applyFill="1" applyBorder="1" applyAlignment="1" applyProtection="1">
      <alignment vertical="center"/>
    </xf>
    <xf numFmtId="177" fontId="16" fillId="2" borderId="73" xfId="0" applyNumberFormat="1" applyFont="1" applyFill="1" applyBorder="1" applyAlignment="1" applyProtection="1">
      <alignment horizontal="center" vertical="center"/>
    </xf>
    <xf numFmtId="49" fontId="16" fillId="2" borderId="6" xfId="0" applyNumberFormat="1" applyFont="1" applyFill="1" applyBorder="1" applyAlignment="1" applyProtection="1">
      <alignment horizontal="right" vertical="center"/>
    </xf>
    <xf numFmtId="49" fontId="16" fillId="2" borderId="6" xfId="0" applyNumberFormat="1" applyFont="1" applyFill="1" applyBorder="1" applyAlignment="1" applyProtection="1">
      <alignment horizontal="center" vertical="center"/>
    </xf>
    <xf numFmtId="0" fontId="66" fillId="2" borderId="0" xfId="0" applyFont="1" applyFill="1" applyAlignment="1" applyProtection="1">
      <alignment vertical="center"/>
      <protection locked="0"/>
    </xf>
    <xf numFmtId="49" fontId="16" fillId="2" borderId="22" xfId="0" applyNumberFormat="1" applyFont="1" applyFill="1" applyBorder="1" applyAlignment="1" applyProtection="1">
      <alignment horizontal="right" vertical="center"/>
    </xf>
    <xf numFmtId="49" fontId="16" fillId="2" borderId="29" xfId="0" applyNumberFormat="1" applyFont="1" applyFill="1" applyBorder="1" applyAlignment="1" applyProtection="1">
      <alignment horizontal="right" vertical="center"/>
    </xf>
    <xf numFmtId="49" fontId="124" fillId="2" borderId="6" xfId="0" applyNumberFormat="1" applyFont="1" applyFill="1" applyBorder="1" applyAlignment="1" applyProtection="1">
      <alignment horizontal="center" vertical="center"/>
    </xf>
    <xf numFmtId="49" fontId="21" fillId="2" borderId="22" xfId="0" applyNumberFormat="1" applyFont="1" applyFill="1" applyBorder="1" applyAlignment="1" applyProtection="1">
      <alignment horizontal="left" vertical="center"/>
    </xf>
    <xf numFmtId="49" fontId="21" fillId="2" borderId="68" xfId="0" applyNumberFormat="1" applyFont="1" applyFill="1" applyBorder="1" applyAlignment="1" applyProtection="1">
      <alignment horizontal="left" vertical="center"/>
    </xf>
    <xf numFmtId="49" fontId="124" fillId="2" borderId="99" xfId="0" applyNumberFormat="1" applyFont="1" applyFill="1" applyBorder="1" applyAlignment="1" applyProtection="1">
      <alignment horizontal="center" vertical="center"/>
    </xf>
    <xf numFmtId="0" fontId="76" fillId="2" borderId="3" xfId="0" applyFont="1" applyFill="1" applyBorder="1" applyAlignment="1" applyProtection="1">
      <alignment horizontal="left" vertical="center" wrapText="1"/>
    </xf>
    <xf numFmtId="0" fontId="16" fillId="2" borderId="34" xfId="0" applyFont="1" applyFill="1" applyBorder="1" applyAlignment="1" applyProtection="1">
      <alignment horizontal="left" vertical="center" wrapText="1"/>
    </xf>
    <xf numFmtId="0" fontId="16" fillId="2" borderId="89" xfId="0" applyFont="1" applyFill="1" applyBorder="1" applyAlignment="1" applyProtection="1">
      <alignment horizontal="center" vertical="center" wrapText="1"/>
    </xf>
    <xf numFmtId="0" fontId="16" fillId="2" borderId="66" xfId="0" applyFont="1" applyFill="1" applyBorder="1" applyAlignment="1" applyProtection="1">
      <alignment horizontal="center" vertical="center" wrapText="1"/>
    </xf>
    <xf numFmtId="0" fontId="76" fillId="2" borderId="9" xfId="0" applyFont="1" applyFill="1" applyBorder="1" applyAlignment="1" applyProtection="1">
      <alignment vertical="center" wrapText="1"/>
    </xf>
    <xf numFmtId="0" fontId="21" fillId="2" borderId="8" xfId="0" applyFont="1" applyFill="1" applyBorder="1" applyAlignment="1" applyProtection="1">
      <alignment horizontal="left" vertical="center"/>
    </xf>
    <xf numFmtId="0" fontId="28" fillId="6" borderId="0" xfId="0" applyFont="1" applyFill="1" applyAlignment="1" applyProtection="1">
      <alignment horizontal="center"/>
      <protection locked="0"/>
    </xf>
    <xf numFmtId="0" fontId="125" fillId="6" borderId="0" xfId="0" applyFont="1" applyFill="1" applyAlignment="1" applyProtection="1">
      <protection locked="0"/>
    </xf>
    <xf numFmtId="0" fontId="28" fillId="2" borderId="0" xfId="0" applyFont="1" applyFill="1" applyAlignment="1" applyProtection="1">
      <alignment horizontal="center"/>
    </xf>
    <xf numFmtId="0" fontId="28" fillId="9" borderId="0" xfId="0" applyFont="1" applyFill="1" applyAlignment="1" applyProtection="1">
      <protection locked="0"/>
    </xf>
    <xf numFmtId="49" fontId="21" fillId="2" borderId="69" xfId="0" applyNumberFormat="1" applyFont="1" applyFill="1" applyBorder="1" applyAlignment="1" applyProtection="1">
      <alignment vertical="center"/>
    </xf>
    <xf numFmtId="0" fontId="21" fillId="2" borderId="41" xfId="0" applyFont="1" applyFill="1" applyBorder="1" applyAlignment="1" applyProtection="1">
      <alignment vertical="center" wrapText="1"/>
    </xf>
    <xf numFmtId="49" fontId="23" fillId="2" borderId="69" xfId="0" applyNumberFormat="1" applyFont="1" applyFill="1" applyBorder="1" applyAlignment="1" applyProtection="1">
      <alignment vertical="center"/>
    </xf>
    <xf numFmtId="0" fontId="48" fillId="2" borderId="55" xfId="0" applyFont="1" applyFill="1" applyBorder="1" applyAlignment="1" applyProtection="1">
      <alignment vertical="center"/>
      <protection locked="0"/>
    </xf>
    <xf numFmtId="0" fontId="21" fillId="2" borderId="41" xfId="0" applyFont="1" applyFill="1" applyBorder="1" applyAlignment="1" applyProtection="1">
      <alignment horizontal="center" vertical="center"/>
    </xf>
    <xf numFmtId="0" fontId="16" fillId="2" borderId="41" xfId="0" applyFont="1" applyFill="1" applyBorder="1" applyAlignment="1" applyProtection="1">
      <alignment vertical="center"/>
    </xf>
    <xf numFmtId="0" fontId="71" fillId="2" borderId="5" xfId="0" applyFont="1" applyFill="1" applyBorder="1" applyAlignment="1" applyProtection="1">
      <alignment horizontal="left" vertical="center"/>
    </xf>
    <xf numFmtId="0" fontId="21" fillId="0" borderId="13" xfId="0" applyFont="1" applyFill="1" applyBorder="1" applyAlignment="1" applyProtection="1">
      <alignment horizontal="center" vertical="center"/>
      <protection locked="0"/>
    </xf>
    <xf numFmtId="177" fontId="21" fillId="0" borderId="14" xfId="0" applyNumberFormat="1" applyFont="1" applyFill="1" applyBorder="1" applyAlignment="1" applyProtection="1">
      <alignment horizontal="center" vertical="center"/>
      <protection locked="0"/>
    </xf>
    <xf numFmtId="49" fontId="36" fillId="2" borderId="0" xfId="0" applyNumberFormat="1" applyFont="1" applyFill="1" applyBorder="1" applyAlignment="1" applyProtection="1">
      <alignment horizontal="left"/>
    </xf>
    <xf numFmtId="0" fontId="75" fillId="2" borderId="89" xfId="0" applyFont="1" applyFill="1" applyBorder="1" applyAlignment="1" applyProtection="1">
      <alignment vertical="center"/>
    </xf>
    <xf numFmtId="0" fontId="75" fillId="2" borderId="66" xfId="0" applyFont="1" applyFill="1" applyBorder="1" applyAlignment="1" applyProtection="1">
      <alignment vertical="center"/>
    </xf>
    <xf numFmtId="177" fontId="21" fillId="2" borderId="83" xfId="0" applyNumberFormat="1" applyFont="1" applyFill="1" applyBorder="1" applyAlignment="1" applyProtection="1">
      <alignment horizontal="center" vertical="center"/>
    </xf>
    <xf numFmtId="0" fontId="16" fillId="2" borderId="141" xfId="0" applyFont="1" applyFill="1" applyBorder="1" applyAlignment="1" applyProtection="1">
      <alignment horizontal="left" vertical="center"/>
    </xf>
    <xf numFmtId="0" fontId="75" fillId="2" borderId="142" xfId="0" applyFont="1" applyFill="1" applyBorder="1" applyAlignment="1" applyProtection="1">
      <alignment vertical="center"/>
    </xf>
    <xf numFmtId="0" fontId="75" fillId="2" borderId="102" xfId="0" applyFont="1" applyFill="1" applyBorder="1" applyAlignment="1" applyProtection="1">
      <alignment vertical="center"/>
    </xf>
    <xf numFmtId="0" fontId="17" fillId="2" borderId="1" xfId="0" applyFont="1" applyFill="1" applyBorder="1" applyAlignment="1" applyProtection="1">
      <alignment horizontal="left"/>
    </xf>
    <xf numFmtId="184" fontId="17" fillId="2" borderId="1" xfId="0" applyNumberFormat="1" applyFont="1" applyFill="1" applyBorder="1" applyAlignment="1" applyProtection="1">
      <alignment horizontal="center"/>
    </xf>
    <xf numFmtId="177" fontId="21" fillId="2" borderId="1" xfId="0" applyNumberFormat="1" applyFont="1" applyFill="1" applyBorder="1" applyAlignment="1" applyProtection="1">
      <alignment horizontal="center" vertical="center"/>
    </xf>
    <xf numFmtId="0" fontId="26" fillId="2" borderId="1" xfId="0" applyFont="1" applyFill="1" applyBorder="1" applyAlignment="1" applyProtection="1">
      <alignment horizontal="left"/>
    </xf>
    <xf numFmtId="0" fontId="26" fillId="2" borderId="1" xfId="0" applyFont="1" applyFill="1" applyBorder="1" applyAlignment="1" applyProtection="1">
      <alignment horizontal="center"/>
    </xf>
    <xf numFmtId="0" fontId="19" fillId="2" borderId="1" xfId="0" applyFont="1" applyFill="1" applyBorder="1" applyAlignment="1" applyProtection="1">
      <alignment horizontal="left"/>
    </xf>
    <xf numFmtId="0" fontId="19" fillId="2" borderId="1" xfId="0" applyFont="1" applyFill="1" applyBorder="1" applyAlignment="1" applyProtection="1">
      <alignment horizontal="center"/>
    </xf>
    <xf numFmtId="177" fontId="17" fillId="2" borderId="1" xfId="0" applyNumberFormat="1" applyFont="1" applyFill="1" applyBorder="1" applyAlignment="1" applyProtection="1">
      <alignment horizontal="center"/>
    </xf>
    <xf numFmtId="0" fontId="16" fillId="2" borderId="1" xfId="0" applyFont="1" applyFill="1" applyBorder="1" applyAlignment="1" applyProtection="1"/>
    <xf numFmtId="177" fontId="16" fillId="2" borderId="1" xfId="0" applyNumberFormat="1" applyFont="1" applyFill="1" applyBorder="1" applyAlignment="1" applyProtection="1">
      <alignment horizontal="center"/>
    </xf>
    <xf numFmtId="0" fontId="46" fillId="9" borderId="0" xfId="0" applyFont="1" applyFill="1" applyAlignment="1" applyProtection="1">
      <alignment vertical="center"/>
      <protection locked="0"/>
    </xf>
    <xf numFmtId="0" fontId="94" fillId="2" borderId="63" xfId="0" applyFont="1" applyFill="1" applyBorder="1" applyAlignment="1" applyProtection="1">
      <alignment horizontal="left" vertical="center" wrapText="1"/>
    </xf>
    <xf numFmtId="0" fontId="94" fillId="2" borderId="105" xfId="0" applyFont="1" applyFill="1" applyBorder="1" applyAlignment="1" applyProtection="1">
      <alignment horizontal="left" vertical="center" wrapText="1"/>
    </xf>
    <xf numFmtId="0" fontId="27" fillId="6" borderId="0" xfId="0" applyFont="1" applyFill="1" applyAlignment="1" applyProtection="1">
      <alignment horizontal="center" vertical="center"/>
      <protection locked="0"/>
    </xf>
    <xf numFmtId="0" fontId="66" fillId="6" borderId="0" xfId="0" applyFont="1" applyFill="1" applyAlignment="1" applyProtection="1">
      <alignment horizontal="center" vertical="center"/>
      <protection locked="0"/>
    </xf>
    <xf numFmtId="0" fontId="16" fillId="15" borderId="1" xfId="0" applyFont="1" applyFill="1" applyBorder="1" applyAlignment="1" applyProtection="1">
      <alignment horizontal="center" vertical="center"/>
    </xf>
    <xf numFmtId="0" fontId="126" fillId="0" borderId="0" xfId="0" applyFont="1" applyFill="1" applyAlignment="1" applyProtection="1">
      <alignment horizontal="center" vertical="center"/>
    </xf>
    <xf numFmtId="0" fontId="127" fillId="2" borderId="54" xfId="0" applyFont="1" applyFill="1" applyBorder="1" applyAlignment="1" applyProtection="1">
      <alignment vertical="center"/>
    </xf>
    <xf numFmtId="0" fontId="128" fillId="2" borderId="54" xfId="0" applyFont="1" applyFill="1" applyBorder="1" applyAlignment="1" applyProtection="1">
      <alignment vertical="center"/>
    </xf>
    <xf numFmtId="178" fontId="36" fillId="2" borderId="1" xfId="0" applyNumberFormat="1" applyFont="1" applyFill="1" applyBorder="1" applyAlignment="1" applyProtection="1">
      <alignment horizontal="right" vertical="center"/>
    </xf>
    <xf numFmtId="0" fontId="34" fillId="9" borderId="0" xfId="0" applyFont="1" applyFill="1" applyBorder="1" applyAlignment="1" applyProtection="1">
      <alignment vertical="center"/>
      <protection locked="0"/>
    </xf>
    <xf numFmtId="0" fontId="35" fillId="9" borderId="0" xfId="0" applyFont="1" applyFill="1" applyBorder="1" applyAlignment="1" applyProtection="1">
      <alignment vertical="center"/>
      <protection locked="0"/>
    </xf>
    <xf numFmtId="0" fontId="49" fillId="2" borderId="9" xfId="59" applyFont="1" applyFill="1" applyBorder="1" applyAlignment="1" applyProtection="1">
      <alignment vertical="center"/>
    </xf>
    <xf numFmtId="0" fontId="36" fillId="2" borderId="9" xfId="0" applyFont="1" applyFill="1" applyBorder="1" applyAlignment="1" applyProtection="1">
      <alignment vertical="center"/>
    </xf>
    <xf numFmtId="0" fontId="28" fillId="5" borderId="59" xfId="0" applyNumberFormat="1" applyFont="1" applyFill="1" applyBorder="1" applyAlignment="1" applyProtection="1">
      <alignment horizontal="center" vertical="center" wrapText="1"/>
      <protection locked="0"/>
    </xf>
    <xf numFmtId="0" fontId="32" fillId="0" borderId="6" xfId="0" applyNumberFormat="1" applyFont="1" applyFill="1" applyBorder="1" applyAlignment="1" applyProtection="1">
      <alignment horizontal="center" vertical="center" wrapText="1"/>
      <protection locked="0"/>
    </xf>
    <xf numFmtId="0" fontId="28" fillId="5" borderId="65" xfId="0" applyNumberFormat="1" applyFont="1" applyFill="1" applyBorder="1" applyAlignment="1" applyProtection="1">
      <alignment horizontal="center" vertical="center" wrapText="1"/>
      <protection locked="0"/>
    </xf>
    <xf numFmtId="0" fontId="28" fillId="5" borderId="89" xfId="0" applyNumberFormat="1" applyFont="1" applyFill="1" applyBorder="1" applyAlignment="1" applyProtection="1">
      <alignment horizontal="center" vertical="center" wrapText="1"/>
      <protection locked="0"/>
    </xf>
    <xf numFmtId="0" fontId="32" fillId="2" borderId="68" xfId="0" applyNumberFormat="1" applyFont="1" applyFill="1" applyBorder="1" applyAlignment="1" applyProtection="1">
      <alignment horizontal="center" vertical="center" wrapText="1"/>
    </xf>
    <xf numFmtId="0" fontId="32" fillId="2" borderId="64" xfId="0" applyNumberFormat="1" applyFont="1" applyFill="1" applyBorder="1" applyAlignment="1" applyProtection="1">
      <alignment horizontal="center" vertical="center" wrapText="1"/>
    </xf>
    <xf numFmtId="0" fontId="32" fillId="2" borderId="21" xfId="0" applyFont="1" applyFill="1" applyBorder="1" applyAlignment="1" applyProtection="1">
      <alignment horizontal="center" vertical="center"/>
    </xf>
    <xf numFmtId="0" fontId="32" fillId="0" borderId="10" xfId="0" applyFont="1" applyFill="1" applyBorder="1" applyAlignment="1" applyProtection="1">
      <alignment horizontal="center" vertical="center"/>
      <protection locked="0"/>
    </xf>
    <xf numFmtId="0" fontId="43" fillId="2" borderId="32" xfId="0" applyFont="1" applyFill="1" applyBorder="1" applyAlignment="1" applyProtection="1">
      <alignment vertical="center" textRotation="255" wrapText="1"/>
    </xf>
    <xf numFmtId="0" fontId="30" fillId="0" borderId="42" xfId="0" applyFont="1" applyFill="1" applyBorder="1" applyAlignment="1" applyProtection="1">
      <alignment horizontal="center" vertical="center"/>
      <protection locked="0"/>
    </xf>
    <xf numFmtId="0" fontId="32" fillId="0" borderId="7" xfId="0" applyNumberFormat="1" applyFont="1" applyFill="1" applyBorder="1" applyAlignment="1" applyProtection="1">
      <alignment horizontal="center" vertical="center" wrapText="1"/>
      <protection locked="0"/>
    </xf>
    <xf numFmtId="0" fontId="28" fillId="2" borderId="15" xfId="0" applyNumberFormat="1" applyFont="1" applyFill="1" applyBorder="1" applyAlignment="1" applyProtection="1">
      <alignment horizontal="center" vertical="center" wrapText="1"/>
    </xf>
    <xf numFmtId="0" fontId="32" fillId="0" borderId="97" xfId="0" applyNumberFormat="1" applyFont="1" applyFill="1" applyBorder="1" applyAlignment="1" applyProtection="1">
      <alignment horizontal="center" vertical="center" wrapText="1"/>
      <protection locked="0"/>
    </xf>
    <xf numFmtId="0" fontId="32" fillId="0" borderId="4" xfId="0" applyNumberFormat="1" applyFont="1" applyFill="1" applyBorder="1" applyAlignment="1" applyProtection="1">
      <alignment horizontal="center" vertical="center" wrapText="1"/>
      <protection locked="0"/>
    </xf>
    <xf numFmtId="9" fontId="28" fillId="5" borderId="64" xfId="0" applyNumberFormat="1" applyFont="1" applyFill="1" applyBorder="1" applyAlignment="1" applyProtection="1">
      <alignment horizontal="center" vertical="center" wrapText="1"/>
      <protection locked="0"/>
    </xf>
    <xf numFmtId="0" fontId="30" fillId="0" borderId="77" xfId="0" applyNumberFormat="1" applyFont="1" applyFill="1" applyBorder="1" applyAlignment="1" applyProtection="1">
      <alignment horizontal="center" vertical="center" wrapText="1"/>
      <protection locked="0"/>
    </xf>
    <xf numFmtId="49" fontId="37" fillId="5" borderId="13" xfId="0" applyNumberFormat="1" applyFont="1" applyFill="1" applyBorder="1" applyAlignment="1" applyProtection="1">
      <alignment vertical="center"/>
      <protection locked="0"/>
    </xf>
    <xf numFmtId="0" fontId="37" fillId="2" borderId="78" xfId="0" applyFont="1" applyFill="1" applyBorder="1" applyAlignment="1" applyProtection="1">
      <alignment horizontal="right" vertical="center" wrapText="1"/>
    </xf>
    <xf numFmtId="0" fontId="37" fillId="2" borderId="44" xfId="0" applyFont="1" applyFill="1" applyBorder="1" applyAlignment="1" applyProtection="1">
      <alignment vertical="center" wrapText="1"/>
    </xf>
    <xf numFmtId="0" fontId="44" fillId="7" borderId="78" xfId="0" applyFont="1" applyFill="1" applyBorder="1" applyAlignment="1" applyProtection="1">
      <alignment vertical="center" wrapText="1"/>
      <protection locked="0"/>
    </xf>
    <xf numFmtId="0" fontId="44" fillId="2" borderId="78" xfId="0" applyFont="1" applyFill="1" applyBorder="1" applyAlignment="1" applyProtection="1">
      <alignment vertical="center" wrapText="1"/>
    </xf>
    <xf numFmtId="0" fontId="44" fillId="7" borderId="59" xfId="0" applyFont="1" applyFill="1" applyBorder="1" applyAlignment="1" applyProtection="1">
      <alignment vertical="center" wrapText="1"/>
      <protection locked="0"/>
    </xf>
    <xf numFmtId="0" fontId="44" fillId="2" borderId="44" xfId="0" applyFont="1" applyFill="1" applyBorder="1" applyAlignment="1" applyProtection="1">
      <alignment vertical="center" wrapText="1"/>
    </xf>
    <xf numFmtId="49" fontId="37" fillId="2" borderId="53" xfId="0" applyNumberFormat="1" applyFont="1" applyFill="1" applyBorder="1" applyAlignment="1" applyProtection="1">
      <alignment vertical="center"/>
    </xf>
    <xf numFmtId="184" fontId="37" fillId="2" borderId="79" xfId="0" applyNumberFormat="1" applyFont="1" applyFill="1" applyBorder="1" applyAlignment="1" applyProtection="1">
      <alignment vertical="center" wrapText="1"/>
    </xf>
    <xf numFmtId="184" fontId="37" fillId="2" borderId="77" xfId="0" applyNumberFormat="1" applyFont="1" applyFill="1" applyBorder="1" applyAlignment="1" applyProtection="1">
      <alignment vertical="center" wrapText="1"/>
    </xf>
    <xf numFmtId="184" fontId="37" fillId="2" borderId="17" xfId="0" applyNumberFormat="1" applyFont="1" applyFill="1" applyBorder="1" applyAlignment="1" applyProtection="1">
      <alignment vertical="center" wrapText="1"/>
    </xf>
    <xf numFmtId="14" fontId="32" fillId="9" borderId="0" xfId="0" applyNumberFormat="1" applyFont="1" applyFill="1" applyAlignment="1" applyProtection="1">
      <alignment horizontal="center" vertical="center"/>
      <protection locked="0"/>
    </xf>
    <xf numFmtId="14" fontId="32" fillId="2" borderId="4" xfId="0" applyNumberFormat="1" applyFont="1" applyFill="1" applyBorder="1" applyAlignment="1" applyProtection="1">
      <alignment horizontal="left" vertical="center"/>
    </xf>
    <xf numFmtId="186" fontId="32" fillId="2" borderId="5" xfId="0" applyNumberFormat="1" applyFont="1" applyFill="1" applyBorder="1" applyAlignment="1" applyProtection="1">
      <alignment horizontal="center" vertical="center"/>
    </xf>
    <xf numFmtId="0" fontId="114" fillId="3" borderId="5" xfId="0" applyFont="1" applyFill="1" applyBorder="1" applyAlignment="1" applyProtection="1">
      <alignment horizontal="center" vertical="center"/>
      <protection locked="0"/>
    </xf>
    <xf numFmtId="0" fontId="120" fillId="2" borderId="55"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xf>
    <xf numFmtId="0" fontId="32" fillId="2" borderId="39" xfId="0" applyFont="1" applyFill="1" applyBorder="1" applyAlignment="1" applyProtection="1">
      <alignment horizontal="center" vertical="center"/>
    </xf>
    <xf numFmtId="0" fontId="47" fillId="2" borderId="19" xfId="0" applyFont="1" applyFill="1" applyBorder="1" applyAlignment="1" applyProtection="1">
      <alignment horizontal="center" vertical="center" wrapText="1"/>
    </xf>
    <xf numFmtId="0" fontId="47" fillId="2" borderId="45" xfId="0" applyFont="1" applyFill="1" applyBorder="1" applyAlignment="1" applyProtection="1">
      <alignment horizontal="center" vertical="center" wrapText="1"/>
    </xf>
    <xf numFmtId="0" fontId="17" fillId="2" borderId="6" xfId="0" applyFont="1" applyFill="1" applyBorder="1" applyAlignment="1" applyProtection="1"/>
    <xf numFmtId="184" fontId="17" fillId="2" borderId="1" xfId="59" applyNumberFormat="1" applyFont="1" applyFill="1" applyBorder="1" applyAlignment="1" applyProtection="1">
      <alignment horizontal="center"/>
    </xf>
    <xf numFmtId="0" fontId="17" fillId="2" borderId="1" xfId="0" applyFont="1" applyFill="1" applyBorder="1" applyAlignment="1" applyProtection="1">
      <alignment horizontal="center"/>
    </xf>
    <xf numFmtId="0" fontId="126" fillId="2" borderId="1" xfId="0" applyFont="1" applyFill="1" applyBorder="1" applyAlignment="1" applyProtection="1">
      <alignment horizontal="center" vertical="center"/>
      <protection locked="0"/>
    </xf>
    <xf numFmtId="178" fontId="17" fillId="2" borderId="10" xfId="59" applyNumberFormat="1" applyFont="1" applyFill="1" applyBorder="1" applyAlignment="1" applyProtection="1">
      <alignment horizontal="center"/>
    </xf>
    <xf numFmtId="0" fontId="47" fillId="2" borderId="65" xfId="0" applyFont="1" applyFill="1" applyBorder="1" applyAlignment="1" applyProtection="1">
      <alignment horizontal="center" vertical="center" wrapText="1"/>
    </xf>
    <xf numFmtId="0" fontId="47" fillId="2" borderId="66" xfId="0" applyFont="1" applyFill="1" applyBorder="1" applyAlignment="1" applyProtection="1">
      <alignment horizontal="center" vertical="center" wrapText="1"/>
    </xf>
    <xf numFmtId="0" fontId="17" fillId="2" borderId="6" xfId="59" applyFont="1" applyFill="1" applyBorder="1" applyAlignment="1" applyProtection="1"/>
    <xf numFmtId="0" fontId="17" fillId="2" borderId="1" xfId="59" applyFont="1" applyFill="1" applyBorder="1" applyAlignment="1" applyProtection="1">
      <alignment horizontal="center"/>
    </xf>
    <xf numFmtId="9" fontId="126" fillId="3" borderId="1" xfId="0" applyNumberFormat="1" applyFont="1" applyFill="1" applyBorder="1" applyAlignment="1" applyProtection="1">
      <alignment horizontal="center" vertical="center"/>
      <protection locked="0"/>
    </xf>
    <xf numFmtId="182" fontId="17" fillId="0" borderId="1" xfId="59" applyNumberFormat="1" applyFont="1" applyFill="1" applyBorder="1" applyAlignment="1" applyProtection="1">
      <alignment horizontal="center"/>
      <protection locked="0"/>
    </xf>
    <xf numFmtId="0" fontId="72" fillId="2" borderId="6" xfId="0" applyFont="1" applyFill="1" applyBorder="1" applyAlignment="1" applyProtection="1">
      <alignment horizontal="center" vertical="center"/>
    </xf>
    <xf numFmtId="0" fontId="72" fillId="2" borderId="14"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101" fillId="2" borderId="6" xfId="59" applyFont="1" applyFill="1" applyBorder="1" applyAlignment="1" applyProtection="1"/>
    <xf numFmtId="182" fontId="17" fillId="2" borderId="1" xfId="59" applyNumberFormat="1" applyFont="1" applyFill="1" applyBorder="1" applyAlignment="1" applyProtection="1">
      <alignment horizontal="center"/>
    </xf>
    <xf numFmtId="0" fontId="126" fillId="3" borderId="6"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xf>
    <xf numFmtId="49" fontId="72" fillId="2" borderId="15" xfId="0" applyNumberFormat="1" applyFont="1" applyFill="1" applyBorder="1" applyAlignment="1" applyProtection="1">
      <alignment horizontal="center" vertical="center"/>
    </xf>
    <xf numFmtId="0" fontId="20" fillId="2" borderId="7" xfId="59" applyFont="1" applyFill="1" applyBorder="1" applyAlignment="1" applyProtection="1"/>
    <xf numFmtId="0" fontId="17" fillId="2" borderId="8" xfId="0" applyFont="1" applyFill="1" applyBorder="1" applyAlignment="1" applyProtection="1">
      <alignment horizontal="center"/>
    </xf>
    <xf numFmtId="178" fontId="20" fillId="2" borderId="15" xfId="0" applyNumberFormat="1" applyFont="1" applyFill="1" applyBorder="1" applyAlignment="1" applyProtection="1">
      <alignment horizontal="center"/>
    </xf>
    <xf numFmtId="0" fontId="17" fillId="2" borderId="0" xfId="0" applyFont="1" applyFill="1" applyAlignment="1" applyProtection="1">
      <protection locked="0"/>
    </xf>
    <xf numFmtId="183" fontId="128" fillId="2" borderId="54" xfId="0" applyNumberFormat="1" applyFont="1" applyFill="1" applyBorder="1" applyAlignment="1" applyProtection="1">
      <alignment horizontal="center" vertical="center"/>
    </xf>
    <xf numFmtId="183" fontId="34" fillId="9" borderId="0" xfId="0" applyNumberFormat="1" applyFont="1" applyFill="1" applyBorder="1" applyAlignment="1" applyProtection="1">
      <alignment horizontal="center" vertical="center"/>
      <protection locked="0"/>
    </xf>
    <xf numFmtId="0" fontId="75" fillId="2" borderId="11" xfId="0" applyNumberFormat="1" applyFont="1" applyFill="1" applyBorder="1" applyAlignment="1" applyProtection="1">
      <alignment horizontal="center" vertical="center" wrapText="1"/>
    </xf>
    <xf numFmtId="0" fontId="75" fillId="0" borderId="11"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5" fillId="2" borderId="6" xfId="0" applyNumberFormat="1" applyFont="1" applyFill="1" applyBorder="1" applyAlignment="1" applyProtection="1">
      <alignment horizontal="center" vertical="center" wrapText="1"/>
    </xf>
    <xf numFmtId="0" fontId="129" fillId="2" borderId="11" xfId="0" applyNumberFormat="1" applyFont="1" applyFill="1" applyBorder="1" applyAlignment="1" applyProtection="1">
      <alignment horizontal="center" vertical="center" wrapText="1"/>
    </xf>
    <xf numFmtId="183" fontId="32" fillId="7" borderId="11" xfId="0" applyNumberFormat="1" applyFont="1" applyFill="1" applyBorder="1" applyAlignment="1" applyProtection="1">
      <alignment horizontal="center" vertical="center"/>
    </xf>
    <xf numFmtId="186" fontId="32" fillId="2" borderId="46" xfId="0" applyNumberFormat="1" applyFont="1" applyFill="1" applyBorder="1" applyAlignment="1" applyProtection="1">
      <alignment horizontal="left" vertical="center" wrapText="1"/>
    </xf>
    <xf numFmtId="183" fontId="32" fillId="7" borderId="1" xfId="0" applyNumberFormat="1" applyFont="1" applyFill="1" applyBorder="1" applyAlignment="1" applyProtection="1">
      <alignment horizontal="center" vertical="center" wrapText="1"/>
    </xf>
    <xf numFmtId="0" fontId="85" fillId="2" borderId="11" xfId="0" applyFont="1" applyFill="1" applyBorder="1" applyAlignment="1" applyProtection="1">
      <alignment horizontal="center" vertical="center"/>
    </xf>
    <xf numFmtId="0" fontId="85" fillId="2" borderId="1" xfId="0" applyFont="1" applyFill="1" applyBorder="1" applyAlignment="1" applyProtection="1">
      <alignment horizontal="center" vertical="center"/>
    </xf>
    <xf numFmtId="0" fontId="130" fillId="2" borderId="0" xfId="0" applyFont="1" applyFill="1" applyAlignment="1" applyProtection="1">
      <alignment horizontal="left" vertical="center"/>
      <protection locked="0"/>
    </xf>
    <xf numFmtId="0" fontId="72" fillId="2" borderId="11" xfId="0" applyFont="1" applyFill="1" applyBorder="1" applyAlignment="1" applyProtection="1">
      <alignment horizontal="center" vertical="center"/>
    </xf>
    <xf numFmtId="0" fontId="72" fillId="2" borderId="1" xfId="0" applyFont="1" applyFill="1" applyBorder="1" applyAlignment="1" applyProtection="1">
      <alignment horizontal="center" vertical="center"/>
    </xf>
    <xf numFmtId="0" fontId="126" fillId="9" borderId="0" xfId="0" applyFont="1" applyFill="1" applyAlignment="1" applyProtection="1">
      <alignment horizontal="center" vertical="center"/>
      <protection locked="0"/>
    </xf>
    <xf numFmtId="0" fontId="126" fillId="2" borderId="0" xfId="0" applyFont="1" applyFill="1" applyAlignment="1" applyProtection="1">
      <alignment horizontal="center" vertical="center"/>
      <protection locked="0"/>
    </xf>
    <xf numFmtId="0" fontId="72" fillId="0" borderId="1" xfId="0" applyFont="1" applyFill="1" applyBorder="1" applyAlignment="1" applyProtection="1">
      <alignment horizontal="center" vertical="center"/>
      <protection locked="0"/>
    </xf>
    <xf numFmtId="0" fontId="17" fillId="9" borderId="0" xfId="0" applyFont="1" applyFill="1" applyAlignment="1" applyProtection="1">
      <protection locked="0"/>
    </xf>
    <xf numFmtId="184" fontId="32" fillId="2" borderId="1" xfId="0" applyNumberFormat="1" applyFont="1" applyFill="1" applyBorder="1" applyAlignment="1" applyProtection="1">
      <alignment horizontal="center" vertical="center"/>
    </xf>
    <xf numFmtId="184" fontId="37" fillId="2" borderId="1" xfId="0" applyNumberFormat="1" applyFont="1" applyFill="1" applyBorder="1" applyAlignment="1" applyProtection="1">
      <alignment horizontal="center" vertical="center"/>
    </xf>
    <xf numFmtId="186" fontId="32" fillId="2" borderId="0" xfId="0" applyNumberFormat="1" applyFont="1" applyFill="1" applyAlignment="1" applyProtection="1">
      <alignment horizontal="center" vertical="center"/>
    </xf>
    <xf numFmtId="14" fontId="32" fillId="2" borderId="0" xfId="0" applyNumberFormat="1" applyFont="1" applyFill="1" applyAlignment="1" applyProtection="1">
      <alignment horizontal="center" vertical="center"/>
    </xf>
    <xf numFmtId="0" fontId="131" fillId="2" borderId="19" xfId="0" applyNumberFormat="1" applyFont="1" applyFill="1" applyBorder="1" applyAlignment="1" applyProtection="1">
      <alignment vertical="center"/>
    </xf>
    <xf numFmtId="0" fontId="28" fillId="2" borderId="56" xfId="0" applyNumberFormat="1" applyFont="1" applyFill="1" applyBorder="1" applyAlignment="1" applyProtection="1">
      <alignment horizontal="center" vertical="center" wrapText="1"/>
    </xf>
    <xf numFmtId="0" fontId="131" fillId="2" borderId="6" xfId="0" applyNumberFormat="1" applyFont="1" applyFill="1" applyBorder="1" applyAlignment="1" applyProtection="1">
      <alignment horizontal="center" vertical="center" wrapText="1"/>
    </xf>
    <xf numFmtId="10" fontId="39" fillId="2" borderId="1" xfId="0" applyNumberFormat="1" applyFont="1" applyFill="1" applyBorder="1" applyAlignment="1" applyProtection="1">
      <alignment horizontal="center" vertical="center" wrapText="1"/>
    </xf>
    <xf numFmtId="178" fontId="28" fillId="0" borderId="43" xfId="0" applyNumberFormat="1" applyFont="1" applyFill="1" applyBorder="1" applyAlignment="1" applyProtection="1">
      <alignment horizontal="center" vertical="center" wrapText="1"/>
      <protection locked="0"/>
    </xf>
    <xf numFmtId="188" fontId="28" fillId="0" borderId="80" xfId="0" applyNumberFormat="1" applyFont="1" applyFill="1" applyBorder="1" applyAlignment="1" applyProtection="1">
      <alignment horizontal="center" vertical="center" wrapText="1"/>
      <protection locked="0"/>
    </xf>
    <xf numFmtId="0" fontId="32" fillId="0" borderId="9" xfId="0" applyNumberFormat="1" applyFont="1" applyFill="1" applyBorder="1" applyAlignment="1" applyProtection="1">
      <alignment horizontal="center" vertical="center" wrapText="1"/>
      <protection locked="0"/>
    </xf>
    <xf numFmtId="0" fontId="42" fillId="0" borderId="85" xfId="0" applyNumberFormat="1" applyFont="1" applyFill="1" applyBorder="1" applyAlignment="1" applyProtection="1">
      <alignment horizontal="center" vertical="center" wrapText="1"/>
      <protection locked="0"/>
    </xf>
    <xf numFmtId="0" fontId="30" fillId="2" borderId="80" xfId="0" applyNumberFormat="1" applyFont="1" applyFill="1" applyBorder="1" applyAlignment="1" applyProtection="1">
      <alignment horizontal="center" vertical="center" wrapText="1"/>
    </xf>
    <xf numFmtId="49" fontId="28" fillId="2" borderId="0" xfId="0" applyNumberFormat="1" applyFont="1" applyFill="1" applyBorder="1" applyAlignment="1" applyProtection="1">
      <alignment horizontal="center" vertical="center" wrapText="1"/>
      <protection locked="0"/>
    </xf>
    <xf numFmtId="0" fontId="28" fillId="0" borderId="10" xfId="0" applyNumberFormat="1" applyFont="1" applyFill="1" applyBorder="1" applyAlignment="1" applyProtection="1">
      <alignment horizontal="center" vertical="center" wrapText="1"/>
      <protection locked="0"/>
    </xf>
    <xf numFmtId="0" fontId="28" fillId="0" borderId="14" xfId="0" applyNumberFormat="1" applyFont="1" applyFill="1" applyBorder="1" applyAlignment="1" applyProtection="1">
      <alignment horizontal="center" vertical="center" wrapText="1"/>
      <protection locked="0"/>
    </xf>
    <xf numFmtId="0" fontId="28" fillId="9" borderId="0" xfId="0" applyNumberFormat="1" applyFont="1" applyFill="1" applyBorder="1" applyAlignment="1" applyProtection="1">
      <alignment horizontal="center" vertical="center" wrapText="1"/>
      <protection locked="0"/>
    </xf>
    <xf numFmtId="0" fontId="31" fillId="9" borderId="0" xfId="0" applyNumberFormat="1" applyFont="1" applyFill="1" applyBorder="1" applyAlignment="1" applyProtection="1">
      <alignment horizontal="center" vertical="center" wrapText="1"/>
      <protection locked="0"/>
    </xf>
    <xf numFmtId="0" fontId="32" fillId="9" borderId="0" xfId="0" applyNumberFormat="1" applyFont="1" applyFill="1" applyBorder="1" applyAlignment="1" applyProtection="1">
      <alignment horizontal="center" vertical="center" wrapText="1"/>
      <protection locked="0"/>
    </xf>
    <xf numFmtId="0" fontId="30" fillId="9" borderId="0" xfId="0" applyNumberFormat="1" applyFont="1" applyFill="1" applyBorder="1" applyAlignment="1" applyProtection="1">
      <alignment horizontal="center" vertical="center" wrapText="1"/>
      <protection locked="0"/>
    </xf>
    <xf numFmtId="0" fontId="28" fillId="2" borderId="85" xfId="0" applyNumberFormat="1" applyFont="1" applyFill="1" applyBorder="1" applyAlignment="1" applyProtection="1">
      <alignment horizontal="left" vertical="center" wrapText="1"/>
    </xf>
    <xf numFmtId="0" fontId="30" fillId="2" borderId="73" xfId="0" applyNumberFormat="1" applyFont="1" applyFill="1" applyBorder="1" applyAlignment="1" applyProtection="1">
      <alignment horizontal="center" vertical="center" wrapText="1"/>
    </xf>
    <xf numFmtId="0" fontId="32" fillId="0" borderId="57" xfId="0" applyNumberFormat="1" applyFont="1" applyFill="1" applyBorder="1" applyAlignment="1" applyProtection="1">
      <alignment horizontal="center" vertical="center" wrapText="1"/>
      <protection locked="0"/>
    </xf>
    <xf numFmtId="0" fontId="47" fillId="2" borderId="5" xfId="0" applyNumberFormat="1" applyFont="1" applyFill="1" applyBorder="1" applyAlignment="1" applyProtection="1">
      <alignment horizontal="center" vertical="center" wrapText="1"/>
    </xf>
    <xf numFmtId="0" fontId="47" fillId="2" borderId="5" xfId="0" applyNumberFormat="1" applyFont="1" applyFill="1" applyBorder="1" applyAlignment="1" applyProtection="1">
      <alignment horizontal="left" vertical="center" wrapText="1"/>
    </xf>
    <xf numFmtId="0" fontId="47" fillId="2" borderId="13" xfId="0" applyNumberFormat="1" applyFont="1" applyFill="1" applyBorder="1" applyAlignment="1" applyProtection="1">
      <alignment horizontal="center" vertical="center" wrapText="1"/>
    </xf>
    <xf numFmtId="0" fontId="32" fillId="6" borderId="0" xfId="0" applyFont="1" applyFill="1" applyAlignment="1" applyProtection="1">
      <alignment horizontal="center" vertical="center"/>
    </xf>
    <xf numFmtId="0" fontId="36" fillId="9" borderId="0" xfId="0" applyFont="1" applyFill="1" applyBorder="1" applyAlignment="1" applyProtection="1">
      <alignment vertical="center"/>
      <protection locked="0"/>
    </xf>
    <xf numFmtId="0" fontId="48" fillId="9" borderId="0" xfId="0" applyFont="1" applyFill="1" applyAlignment="1" applyProtection="1">
      <alignment horizontal="center" vertical="center"/>
      <protection locked="0"/>
    </xf>
    <xf numFmtId="185" fontId="28" fillId="2" borderId="62" xfId="0" applyNumberFormat="1" applyFont="1" applyFill="1" applyBorder="1" applyAlignment="1" applyProtection="1">
      <alignment horizontal="center" vertical="center" wrapText="1"/>
    </xf>
    <xf numFmtId="0" fontId="28" fillId="5" borderId="78" xfId="0" applyNumberFormat="1" applyFont="1" applyFill="1" applyBorder="1" applyAlignment="1" applyProtection="1">
      <alignment horizontal="center" vertical="center" wrapText="1"/>
      <protection locked="0"/>
    </xf>
    <xf numFmtId="0" fontId="39" fillId="2" borderId="46" xfId="0"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center" vertical="center" wrapText="1"/>
      <protection locked="0"/>
    </xf>
    <xf numFmtId="49" fontId="42" fillId="0" borderId="29" xfId="0" applyNumberFormat="1" applyFont="1" applyFill="1" applyBorder="1" applyAlignment="1" applyProtection="1">
      <alignment horizontal="center" vertical="center" wrapText="1"/>
      <protection locked="0"/>
    </xf>
    <xf numFmtId="49" fontId="32" fillId="2" borderId="58" xfId="0" applyNumberFormat="1" applyFont="1" applyFill="1" applyBorder="1" applyAlignment="1" applyProtection="1">
      <alignment horizontal="center" vertical="center" wrapText="1"/>
    </xf>
    <xf numFmtId="0" fontId="28" fillId="2" borderId="9"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32" fillId="0" borderId="14" xfId="0" applyFont="1" applyFill="1" applyBorder="1" applyAlignment="1" applyProtection="1">
      <alignment horizontal="center" vertical="center"/>
      <protection locked="0"/>
    </xf>
    <xf numFmtId="0" fontId="30" fillId="0" borderId="15" xfId="0" applyFont="1" applyFill="1" applyBorder="1" applyAlignment="1" applyProtection="1">
      <alignment horizontal="center" vertical="center"/>
      <protection locked="0"/>
    </xf>
    <xf numFmtId="0" fontId="32" fillId="0" borderId="58" xfId="0" applyNumberFormat="1" applyFont="1" applyFill="1" applyBorder="1" applyAlignment="1" applyProtection="1">
      <alignment horizontal="center" vertical="center" wrapText="1"/>
      <protection locked="0"/>
    </xf>
    <xf numFmtId="0" fontId="28" fillId="2" borderId="18"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32" fillId="2" borderId="13" xfId="0" applyFont="1" applyFill="1" applyBorder="1" applyAlignment="1" applyProtection="1">
      <alignment horizontal="center" vertical="center"/>
    </xf>
    <xf numFmtId="0" fontId="120" fillId="2" borderId="4" xfId="0" applyFont="1" applyFill="1" applyBorder="1" applyAlignment="1" applyProtection="1">
      <alignment horizontal="center" vertical="center" wrapText="1"/>
    </xf>
    <xf numFmtId="0" fontId="120" fillId="2" borderId="5" xfId="0" applyFont="1" applyFill="1" applyBorder="1" applyAlignment="1" applyProtection="1">
      <alignment horizontal="center" vertical="center" wrapText="1"/>
    </xf>
    <xf numFmtId="178" fontId="17" fillId="2" borderId="14" xfId="59" applyNumberFormat="1" applyFont="1" applyFill="1" applyBorder="1" applyAlignment="1" applyProtection="1">
      <alignment horizontal="center"/>
    </xf>
    <xf numFmtId="0" fontId="120" fillId="2" borderId="6" xfId="0" applyFont="1" applyFill="1" applyBorder="1" applyAlignment="1" applyProtection="1">
      <alignment horizontal="center" vertical="center" wrapText="1"/>
    </xf>
    <xf numFmtId="0" fontId="120" fillId="2" borderId="1"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xf>
    <xf numFmtId="49" fontId="126" fillId="2" borderId="1" xfId="0" applyNumberFormat="1" applyFont="1" applyFill="1" applyBorder="1" applyAlignment="1" applyProtection="1">
      <alignment horizontal="center" vertical="center"/>
    </xf>
    <xf numFmtId="0" fontId="126" fillId="2" borderId="1" xfId="0" applyFont="1" applyFill="1" applyBorder="1" applyAlignment="1" applyProtection="1">
      <alignment horizontal="center" vertical="center"/>
    </xf>
    <xf numFmtId="184" fontId="37" fillId="8" borderId="1" xfId="0" applyNumberFormat="1"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49" fontId="126" fillId="2" borderId="8" xfId="0" applyNumberFormat="1" applyFont="1" applyFill="1" applyBorder="1" applyAlignment="1" applyProtection="1">
      <alignment horizontal="center" vertical="center"/>
    </xf>
    <xf numFmtId="0" fontId="39" fillId="2" borderId="71" xfId="0" applyNumberFormat="1" applyFont="1" applyFill="1" applyBorder="1" applyAlignment="1" applyProtection="1">
      <alignment vertical="center"/>
    </xf>
    <xf numFmtId="0" fontId="39" fillId="3" borderId="1" xfId="0" applyNumberFormat="1" applyFont="1" applyFill="1" applyBorder="1" applyAlignment="1" applyProtection="1">
      <alignment horizontal="center" vertical="center" wrapText="1"/>
      <protection locked="0"/>
    </xf>
    <xf numFmtId="0" fontId="39" fillId="2" borderId="76" xfId="0" applyNumberFormat="1" applyFont="1" applyFill="1" applyBorder="1" applyAlignment="1" applyProtection="1">
      <alignment vertical="center"/>
    </xf>
    <xf numFmtId="0" fontId="55" fillId="2" borderId="3" xfId="53" applyNumberFormat="1" applyFont="1" applyFill="1" applyBorder="1" applyAlignment="1" applyProtection="1">
      <alignment horizontal="center" vertical="center" wrapText="1"/>
      <protection locked="0"/>
    </xf>
    <xf numFmtId="0" fontId="132" fillId="0" borderId="85"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left" vertical="center" wrapText="1"/>
      <protection locked="0"/>
    </xf>
    <xf numFmtId="0" fontId="47" fillId="0" borderId="14" xfId="0" applyNumberFormat="1" applyFont="1" applyFill="1" applyBorder="1" applyAlignment="1" applyProtection="1">
      <alignment horizontal="center" vertical="center" wrapText="1"/>
      <protection locked="0"/>
    </xf>
    <xf numFmtId="0" fontId="32" fillId="6" borderId="0" xfId="0" applyFont="1" applyFill="1" applyAlignment="1" applyProtection="1">
      <alignment horizontal="center" vertical="center"/>
      <protection locked="0"/>
    </xf>
    <xf numFmtId="183" fontId="32" fillId="6" borderId="0" xfId="0" applyNumberFormat="1" applyFont="1" applyFill="1" applyAlignment="1" applyProtection="1">
      <alignment horizontal="center" vertical="center"/>
      <protection locked="0"/>
    </xf>
    <xf numFmtId="177" fontId="32" fillId="6" borderId="0" xfId="0" applyNumberFormat="1" applyFont="1" applyFill="1" applyAlignment="1" applyProtection="1">
      <alignment horizontal="center" vertical="center"/>
      <protection locked="0"/>
    </xf>
    <xf numFmtId="183" fontId="32" fillId="6" borderId="0" xfId="0" applyNumberFormat="1" applyFont="1" applyFill="1" applyAlignment="1" applyProtection="1">
      <alignment horizontal="center" vertical="center"/>
    </xf>
    <xf numFmtId="177" fontId="32" fillId="6" borderId="0" xfId="0" applyNumberFormat="1" applyFont="1" applyFill="1" applyAlignment="1" applyProtection="1">
      <alignment horizontal="center" vertical="center"/>
    </xf>
    <xf numFmtId="0" fontId="75" fillId="6" borderId="0" xfId="0" applyFont="1" applyFill="1" applyAlignment="1" applyProtection="1">
      <protection locked="0"/>
    </xf>
    <xf numFmtId="0" fontId="39" fillId="0" borderId="0" xfId="0" applyFont="1" applyFill="1" applyAlignment="1" applyProtection="1">
      <protection locked="0"/>
    </xf>
    <xf numFmtId="0" fontId="16" fillId="0" borderId="0" xfId="0" applyFont="1" applyFill="1" applyAlignment="1" applyProtection="1">
      <protection locked="0"/>
    </xf>
    <xf numFmtId="0" fontId="30" fillId="6" borderId="0" xfId="0" applyFont="1" applyFill="1" applyProtection="1">
      <alignment vertical="center"/>
      <protection locked="0"/>
    </xf>
    <xf numFmtId="0" fontId="30" fillId="0" borderId="0" xfId="0" applyFont="1" applyFill="1" applyProtection="1">
      <alignment vertical="center"/>
      <protection locked="0"/>
    </xf>
    <xf numFmtId="0" fontId="43" fillId="6" borderId="0" xfId="0" applyFont="1" applyFill="1" applyProtection="1">
      <alignment vertical="center"/>
      <protection locked="0"/>
    </xf>
    <xf numFmtId="0" fontId="43" fillId="6" borderId="0" xfId="0" applyFont="1" applyFill="1" applyAlignment="1" applyProtection="1">
      <protection locked="0"/>
    </xf>
    <xf numFmtId="0" fontId="18" fillId="6" borderId="0" xfId="0" applyFont="1" applyFill="1" applyAlignment="1" applyProtection="1">
      <protection locked="0"/>
    </xf>
    <xf numFmtId="0" fontId="16" fillId="7" borderId="0" xfId="0" applyFont="1" applyFill="1" applyAlignment="1" applyProtection="1">
      <alignment horizontal="center"/>
      <protection locked="0"/>
    </xf>
    <xf numFmtId="0" fontId="16" fillId="6" borderId="0" xfId="0" applyFont="1" applyFill="1" applyAlignment="1" applyProtection="1">
      <protection locked="0"/>
    </xf>
    <xf numFmtId="184" fontId="16" fillId="7" borderId="0" xfId="0" applyNumberFormat="1" applyFont="1" applyFill="1" applyAlignment="1" applyProtection="1">
      <alignment horizontal="center"/>
      <protection locked="0"/>
    </xf>
    <xf numFmtId="0" fontId="25" fillId="3" borderId="78" xfId="59" applyFont="1" applyFill="1" applyBorder="1" applyAlignment="1" applyProtection="1">
      <alignment horizontal="right" vertical="center"/>
      <protection locked="0"/>
    </xf>
    <xf numFmtId="0" fontId="25" fillId="2" borderId="0" xfId="59" applyFont="1" applyFill="1" applyBorder="1" applyAlignment="1" applyProtection="1">
      <alignment vertical="center"/>
      <protection locked="0"/>
    </xf>
    <xf numFmtId="178" fontId="36" fillId="2" borderId="1" xfId="59" applyNumberFormat="1" applyFont="1" applyFill="1" applyBorder="1" applyAlignment="1" applyProtection="1">
      <alignment horizontal="right" vertical="center"/>
    </xf>
    <xf numFmtId="0" fontId="25" fillId="2" borderId="59" xfId="0" applyFont="1" applyFill="1" applyBorder="1" applyAlignment="1" applyProtection="1"/>
    <xf numFmtId="0" fontId="25" fillId="2" borderId="78" xfId="0" applyFont="1" applyFill="1" applyBorder="1" applyAlignment="1" applyProtection="1"/>
    <xf numFmtId="184" fontId="39" fillId="2" borderId="39" xfId="0" applyNumberFormat="1" applyFont="1" applyFill="1" applyBorder="1" applyAlignment="1" applyProtection="1">
      <alignment horizontal="center"/>
    </xf>
    <xf numFmtId="0" fontId="25" fillId="2" borderId="78" xfId="0" applyFont="1" applyFill="1" applyBorder="1" applyAlignment="1" applyProtection="1">
      <protection locked="0"/>
    </xf>
    <xf numFmtId="0" fontId="39" fillId="2" borderId="6" xfId="0" applyFont="1" applyFill="1" applyBorder="1" applyAlignment="1" applyProtection="1">
      <alignment horizontal="center"/>
    </xf>
    <xf numFmtId="0" fontId="39" fillId="2" borderId="18" xfId="0" applyFont="1" applyFill="1" applyBorder="1" applyAlignment="1" applyProtection="1"/>
    <xf numFmtId="184" fontId="16" fillId="3" borderId="1" xfId="0" applyNumberFormat="1" applyFont="1" applyFill="1" applyBorder="1" applyAlignment="1" applyProtection="1">
      <alignment horizontal="center" vertical="center" wrapText="1"/>
      <protection locked="0"/>
    </xf>
    <xf numFmtId="49" fontId="16" fillId="2" borderId="6" xfId="0" applyNumberFormat="1" applyFont="1" applyFill="1" applyBorder="1" applyAlignment="1" applyProtection="1">
      <alignment horizontal="left"/>
    </xf>
    <xf numFmtId="0" fontId="16" fillId="2" borderId="10" xfId="0" applyFont="1" applyFill="1" applyBorder="1" applyAlignment="1" applyProtection="1"/>
    <xf numFmtId="184" fontId="16" fillId="0" borderId="1" xfId="0" applyNumberFormat="1" applyFont="1" applyFill="1" applyBorder="1" applyAlignment="1" applyProtection="1">
      <alignment horizontal="center"/>
      <protection locked="0"/>
    </xf>
    <xf numFmtId="186" fontId="72" fillId="2" borderId="1" xfId="0" applyNumberFormat="1" applyFont="1" applyFill="1" applyBorder="1" applyAlignment="1" applyProtection="1">
      <alignment horizontal="center" vertical="center"/>
    </xf>
    <xf numFmtId="49" fontId="16" fillId="2" borderId="7" xfId="0" applyNumberFormat="1" applyFont="1" applyFill="1" applyBorder="1" applyAlignment="1" applyProtection="1">
      <alignment horizontal="left"/>
    </xf>
    <xf numFmtId="0" fontId="16" fillId="2" borderId="42" xfId="0" applyFont="1" applyFill="1" applyBorder="1" applyAlignment="1" applyProtection="1"/>
    <xf numFmtId="184" fontId="72" fillId="0" borderId="8" xfId="0" applyNumberFormat="1" applyFont="1" applyFill="1" applyBorder="1" applyAlignment="1" applyProtection="1">
      <alignment horizontal="center"/>
      <protection locked="0"/>
    </xf>
    <xf numFmtId="184" fontId="16" fillId="0" borderId="8" xfId="0" applyNumberFormat="1" applyFont="1" applyFill="1" applyBorder="1" applyAlignment="1" applyProtection="1">
      <alignment horizontal="center"/>
      <protection locked="0"/>
    </xf>
    <xf numFmtId="0" fontId="25" fillId="2" borderId="65" xfId="0" applyFont="1" applyFill="1" applyBorder="1" applyAlignment="1" applyProtection="1"/>
    <xf numFmtId="0" fontId="25" fillId="2" borderId="89" xfId="0" applyFont="1" applyFill="1" applyBorder="1" applyAlignment="1" applyProtection="1"/>
    <xf numFmtId="0" fontId="39" fillId="2" borderId="10" xfId="0" applyFont="1" applyFill="1" applyBorder="1" applyAlignment="1" applyProtection="1"/>
    <xf numFmtId="184" fontId="39" fillId="2" borderId="1" xfId="0" applyNumberFormat="1" applyFont="1" applyFill="1" applyBorder="1" applyAlignment="1" applyProtection="1">
      <alignment horizontal="center"/>
    </xf>
    <xf numFmtId="0" fontId="39" fillId="2" borderId="1" xfId="0" applyFont="1" applyFill="1" applyBorder="1" applyAlignment="1" applyProtection="1">
      <alignment horizontal="center"/>
    </xf>
    <xf numFmtId="0" fontId="39" fillId="2" borderId="12" xfId="0" applyFont="1" applyFill="1" applyBorder="1" applyAlignment="1" applyProtection="1"/>
    <xf numFmtId="49" fontId="16" fillId="2" borderId="6" xfId="59" applyNumberFormat="1" applyFont="1" applyFill="1" applyBorder="1" applyAlignment="1" applyProtection="1">
      <alignment horizontal="left"/>
    </xf>
    <xf numFmtId="0" fontId="16" fillId="2" borderId="10" xfId="59" applyFont="1" applyFill="1" applyBorder="1" applyAlignment="1" applyProtection="1"/>
    <xf numFmtId="178" fontId="16" fillId="2" borderId="1" xfId="0" applyNumberFormat="1" applyFont="1" applyFill="1" applyBorder="1" applyAlignment="1" applyProtection="1">
      <alignment horizontal="center" vertical="center"/>
    </xf>
    <xf numFmtId="182" fontId="16" fillId="2" borderId="1" xfId="59" applyNumberFormat="1" applyFont="1" applyFill="1" applyBorder="1" applyAlignment="1" applyProtection="1">
      <alignment horizontal="center"/>
    </xf>
    <xf numFmtId="177" fontId="16" fillId="2" borderId="1" xfId="59" applyNumberFormat="1" applyFont="1" applyFill="1" applyBorder="1" applyAlignment="1" applyProtection="1">
      <alignment horizontal="center"/>
    </xf>
    <xf numFmtId="9" fontId="16" fillId="2" borderId="1" xfId="59" applyNumberFormat="1" applyFont="1" applyFill="1" applyBorder="1" applyAlignment="1" applyProtection="1">
      <alignment horizontal="center"/>
    </xf>
    <xf numFmtId="178" fontId="16" fillId="2" borderId="1" xfId="59" applyNumberFormat="1" applyFont="1" applyFill="1" applyBorder="1" applyAlignment="1" applyProtection="1">
      <alignment horizontal="center"/>
    </xf>
    <xf numFmtId="178" fontId="16" fillId="2" borderId="1" xfId="59" applyNumberFormat="1" applyFont="1" applyFill="1" applyBorder="1" applyAlignment="1" applyProtection="1"/>
    <xf numFmtId="10" fontId="16" fillId="2" borderId="1" xfId="59" applyNumberFormat="1" applyFont="1" applyFill="1" applyBorder="1" applyAlignment="1" applyProtection="1">
      <alignment horizontal="center"/>
    </xf>
    <xf numFmtId="0" fontId="16" fillId="2" borderId="12" xfId="0" applyFont="1" applyFill="1" applyBorder="1" applyAlignment="1" applyProtection="1"/>
    <xf numFmtId="49" fontId="39" fillId="2" borderId="6" xfId="59" applyNumberFormat="1" applyFont="1" applyFill="1" applyBorder="1" applyAlignment="1" applyProtection="1">
      <alignment horizontal="left"/>
    </xf>
    <xf numFmtId="0" fontId="39" fillId="2" borderId="10" xfId="59" applyFont="1" applyFill="1" applyBorder="1" applyAlignment="1" applyProtection="1"/>
    <xf numFmtId="178" fontId="39" fillId="2" borderId="1" xfId="59" applyNumberFormat="1" applyFont="1" applyFill="1" applyBorder="1" applyAlignment="1" applyProtection="1">
      <alignment horizontal="center"/>
    </xf>
    <xf numFmtId="0" fontId="39" fillId="2" borderId="1" xfId="59" applyFont="1" applyFill="1" applyBorder="1" applyAlignment="1" applyProtection="1"/>
    <xf numFmtId="178" fontId="39" fillId="2" borderId="1" xfId="59" applyNumberFormat="1" applyFont="1" applyFill="1" applyBorder="1" applyAlignment="1" applyProtection="1"/>
    <xf numFmtId="0" fontId="20" fillId="2" borderId="1" xfId="59" applyFont="1" applyFill="1" applyBorder="1" applyAlignment="1" applyProtection="1">
      <alignment horizontal="left"/>
    </xf>
    <xf numFmtId="10" fontId="39" fillId="2" borderId="1" xfId="59" applyNumberFormat="1" applyFont="1" applyFill="1" applyBorder="1" applyAlignment="1" applyProtection="1">
      <alignment horizontal="center"/>
    </xf>
    <xf numFmtId="178" fontId="39" fillId="2" borderId="0" xfId="0" applyNumberFormat="1" applyFont="1" applyFill="1" applyBorder="1" applyAlignment="1" applyProtection="1">
      <alignment horizontal="center"/>
    </xf>
    <xf numFmtId="10" fontId="39" fillId="2" borderId="9" xfId="0" applyNumberFormat="1" applyFont="1" applyFill="1" applyBorder="1" applyAlignment="1" applyProtection="1">
      <alignment horizontal="center" vertical="center"/>
    </xf>
    <xf numFmtId="0" fontId="131" fillId="2" borderId="1" xfId="59" applyFont="1" applyFill="1" applyBorder="1" applyAlignment="1" applyProtection="1">
      <alignment vertical="center" wrapText="1"/>
    </xf>
    <xf numFmtId="178" fontId="39" fillId="2" borderId="11" xfId="0" applyNumberFormat="1" applyFont="1" applyFill="1" applyBorder="1" applyAlignment="1" applyProtection="1">
      <alignment horizontal="center" vertical="center" wrapText="1"/>
    </xf>
    <xf numFmtId="0" fontId="21" fillId="2" borderId="1" xfId="0" applyFont="1" applyFill="1" applyBorder="1" applyAlignment="1" applyProtection="1"/>
    <xf numFmtId="0" fontId="39" fillId="2" borderId="1" xfId="59" applyFont="1" applyFill="1" applyBorder="1" applyAlignment="1" applyProtection="1">
      <alignment horizontal="left"/>
    </xf>
    <xf numFmtId="180" fontId="133" fillId="2" borderId="1" xfId="0" applyNumberFormat="1" applyFont="1" applyFill="1" applyBorder="1" applyAlignment="1" applyProtection="1">
      <alignment horizontal="center" vertical="center"/>
    </xf>
    <xf numFmtId="10" fontId="133" fillId="2" borderId="1" xfId="0" applyNumberFormat="1" applyFont="1" applyFill="1" applyBorder="1" applyAlignment="1" applyProtection="1">
      <alignment horizontal="center"/>
    </xf>
    <xf numFmtId="49" fontId="39" fillId="2" borderId="22" xfId="59" applyNumberFormat="1" applyFont="1" applyFill="1" applyBorder="1" applyAlignment="1" applyProtection="1">
      <alignment horizontal="left"/>
    </xf>
    <xf numFmtId="0" fontId="39" fillId="2" borderId="9" xfId="59" applyFont="1" applyFill="1" applyBorder="1" applyAlignment="1" applyProtection="1">
      <alignment horizontal="left"/>
    </xf>
    <xf numFmtId="184" fontId="21" fillId="2" borderId="9" xfId="0" applyNumberFormat="1" applyFont="1" applyFill="1" applyBorder="1" applyAlignment="1" applyProtection="1">
      <alignment horizontal="center"/>
    </xf>
    <xf numFmtId="180" fontId="133" fillId="2" borderId="9" xfId="0" applyNumberFormat="1" applyFont="1" applyFill="1" applyBorder="1" applyAlignment="1" applyProtection="1">
      <alignment horizontal="center" vertical="center"/>
    </xf>
    <xf numFmtId="10" fontId="133" fillId="2" borderId="9" xfId="0" applyNumberFormat="1" applyFont="1" applyFill="1" applyBorder="1" applyAlignment="1" applyProtection="1">
      <alignment horizontal="center" vertical="center"/>
    </xf>
    <xf numFmtId="0" fontId="39" fillId="2" borderId="54" xfId="0" applyFont="1" applyFill="1" applyBorder="1" applyAlignment="1" applyProtection="1"/>
    <xf numFmtId="0" fontId="133" fillId="2" borderId="103" xfId="0" applyFont="1" applyFill="1" applyBorder="1" applyAlignment="1" applyProtection="1">
      <alignment vertical="center"/>
    </xf>
    <xf numFmtId="0" fontId="133" fillId="2" borderId="104" xfId="0" applyFont="1" applyFill="1" applyBorder="1" applyAlignment="1" applyProtection="1">
      <alignment vertical="center"/>
    </xf>
    <xf numFmtId="184" fontId="21" fillId="2" borderId="108" xfId="0" applyNumberFormat="1" applyFont="1" applyFill="1" applyBorder="1" applyAlignment="1" applyProtection="1">
      <alignment horizontal="center"/>
    </xf>
    <xf numFmtId="180" fontId="133" fillId="2" borderId="108" xfId="0" applyNumberFormat="1" applyFont="1" applyFill="1" applyBorder="1" applyAlignment="1" applyProtection="1">
      <alignment horizontal="center" vertical="center"/>
    </xf>
    <xf numFmtId="10" fontId="133" fillId="2" borderId="108" xfId="0" applyNumberFormat="1" applyFont="1" applyFill="1" applyBorder="1" applyAlignment="1" applyProtection="1">
      <alignment horizontal="center" vertical="center"/>
    </xf>
    <xf numFmtId="0" fontId="39" fillId="2" borderId="104" xfId="0" applyFont="1" applyFill="1" applyBorder="1" applyAlignment="1" applyProtection="1"/>
    <xf numFmtId="10" fontId="39" fillId="2" borderId="108" xfId="0" applyNumberFormat="1" applyFont="1" applyFill="1" applyBorder="1" applyAlignment="1" applyProtection="1">
      <alignment horizontal="center"/>
    </xf>
    <xf numFmtId="0" fontId="39" fillId="2" borderId="63" xfId="0" applyFont="1" applyFill="1" applyBorder="1" applyAlignment="1" applyProtection="1"/>
    <xf numFmtId="0" fontId="133" fillId="2" borderId="108" xfId="0" applyFont="1" applyFill="1" applyBorder="1" applyAlignment="1" applyProtection="1">
      <alignment horizontal="center" vertical="center" wrapText="1"/>
    </xf>
    <xf numFmtId="0" fontId="133" fillId="2" borderId="108" xfId="0" applyFont="1" applyFill="1" applyBorder="1" applyAlignment="1" applyProtection="1">
      <alignment vertical="center" wrapText="1"/>
    </xf>
    <xf numFmtId="10" fontId="133" fillId="2" borderId="108" xfId="0" applyNumberFormat="1" applyFont="1" applyFill="1" applyBorder="1" applyAlignment="1" applyProtection="1">
      <alignment horizontal="center" vertical="center" wrapText="1"/>
    </xf>
    <xf numFmtId="0" fontId="133" fillId="2" borderId="104" xfId="0" applyFont="1" applyFill="1" applyBorder="1" applyAlignment="1" applyProtection="1">
      <alignment vertical="center" wrapText="1"/>
    </xf>
    <xf numFmtId="0" fontId="39" fillId="2" borderId="32" xfId="0" applyFont="1" applyFill="1" applyBorder="1" applyAlignment="1" applyProtection="1"/>
    <xf numFmtId="0" fontId="39" fillId="2" borderId="43" xfId="0" applyFont="1" applyFill="1" applyBorder="1" applyAlignment="1" applyProtection="1"/>
    <xf numFmtId="184" fontId="21" fillId="2" borderId="80" xfId="0" applyNumberFormat="1" applyFont="1" applyFill="1" applyBorder="1" applyAlignment="1" applyProtection="1">
      <alignment horizontal="center"/>
    </xf>
    <xf numFmtId="0" fontId="39" fillId="2" borderId="17" xfId="0" applyFont="1" applyFill="1" applyBorder="1" applyAlignment="1" applyProtection="1"/>
    <xf numFmtId="0" fontId="131" fillId="2" borderId="16" xfId="0" applyFont="1" applyFill="1" applyBorder="1" applyAlignment="1" applyProtection="1"/>
    <xf numFmtId="0" fontId="16" fillId="0" borderId="0" xfId="0" applyFont="1" applyFill="1" applyAlignment="1" applyProtection="1">
      <alignment horizontal="center"/>
      <protection locked="0"/>
    </xf>
    <xf numFmtId="184" fontId="16" fillId="0" borderId="0" xfId="0" applyNumberFormat="1" applyFont="1" applyFill="1" applyAlignment="1" applyProtection="1">
      <alignment horizontal="center"/>
      <protection locked="0"/>
    </xf>
    <xf numFmtId="0" fontId="25" fillId="2" borderId="0" xfId="59" applyFont="1" applyFill="1" applyBorder="1" applyAlignment="1" applyProtection="1">
      <alignment vertical="center"/>
    </xf>
    <xf numFmtId="0" fontId="16" fillId="0" borderId="0" xfId="0" applyFont="1" applyFill="1" applyProtection="1">
      <alignment vertical="center"/>
      <protection locked="0"/>
    </xf>
    <xf numFmtId="0" fontId="25" fillId="2" borderId="44" xfId="0" applyFont="1" applyFill="1" applyBorder="1" applyAlignment="1" applyProtection="1">
      <protection locked="0"/>
    </xf>
    <xf numFmtId="0" fontId="75" fillId="0" borderId="0" xfId="0" applyFont="1" applyFill="1" applyAlignment="1" applyProtection="1">
      <protection locked="0"/>
    </xf>
    <xf numFmtId="184" fontId="16" fillId="3" borderId="14" xfId="0" applyNumberFormat="1" applyFont="1" applyFill="1" applyBorder="1" applyAlignment="1" applyProtection="1">
      <alignment horizontal="center" vertical="center" wrapText="1"/>
      <protection locked="0"/>
    </xf>
    <xf numFmtId="184" fontId="16" fillId="0" borderId="14" xfId="0" applyNumberFormat="1" applyFont="1" applyFill="1" applyBorder="1" applyAlignment="1" applyProtection="1">
      <alignment horizontal="center"/>
      <protection locked="0"/>
    </xf>
    <xf numFmtId="186" fontId="72" fillId="2" borderId="14" xfId="0" applyNumberFormat="1" applyFont="1" applyFill="1" applyBorder="1" applyAlignment="1" applyProtection="1">
      <alignment horizontal="center" vertical="center"/>
    </xf>
    <xf numFmtId="184" fontId="16" fillId="0" borderId="15" xfId="0" applyNumberFormat="1" applyFont="1" applyFill="1" applyBorder="1" applyAlignment="1" applyProtection="1">
      <alignment horizontal="center"/>
      <protection locked="0"/>
    </xf>
    <xf numFmtId="0" fontId="25" fillId="2" borderId="66" xfId="0" applyFont="1" applyFill="1" applyBorder="1" applyAlignment="1" applyProtection="1"/>
    <xf numFmtId="0" fontId="39" fillId="2" borderId="46" xfId="0" applyFont="1" applyFill="1" applyBorder="1" applyAlignment="1" applyProtection="1"/>
    <xf numFmtId="0" fontId="28" fillId="0" borderId="0" xfId="0" applyFont="1" applyFill="1" applyAlignment="1" applyProtection="1">
      <protection locked="0"/>
    </xf>
    <xf numFmtId="0" fontId="16" fillId="2" borderId="46" xfId="0" applyFont="1" applyFill="1" applyBorder="1" applyAlignment="1" applyProtection="1"/>
    <xf numFmtId="0" fontId="43" fillId="0" borderId="0" xfId="0" applyFont="1" applyFill="1" applyProtection="1">
      <alignment vertical="center"/>
      <protection locked="0"/>
    </xf>
    <xf numFmtId="0" fontId="43" fillId="0" borderId="0" xfId="0" applyFont="1" applyFill="1" applyAlignment="1" applyProtection="1">
      <protection locked="0"/>
    </xf>
    <xf numFmtId="0" fontId="30" fillId="2" borderId="0" xfId="0" applyFont="1" applyFill="1" applyAlignment="1" applyProtection="1"/>
    <xf numFmtId="0" fontId="43" fillId="2" borderId="0" xfId="0" applyFont="1" applyFill="1" applyAlignment="1" applyProtection="1"/>
    <xf numFmtId="0" fontId="18" fillId="0" borderId="0" xfId="0" applyFont="1" applyFill="1" applyAlignment="1" applyProtection="1">
      <protection locked="0"/>
    </xf>
    <xf numFmtId="0" fontId="39" fillId="2" borderId="47" xfId="0" applyFont="1" applyFill="1" applyBorder="1" applyAlignment="1" applyProtection="1"/>
    <xf numFmtId="0" fontId="39" fillId="2" borderId="105" xfId="0" applyFont="1" applyFill="1" applyBorder="1" applyAlignment="1" applyProtection="1"/>
    <xf numFmtId="0" fontId="43" fillId="2" borderId="104" xfId="0" applyFont="1" applyFill="1" applyBorder="1" applyAlignment="1" applyProtection="1">
      <alignment vertical="center" wrapText="1"/>
    </xf>
    <xf numFmtId="0" fontId="43" fillId="2" borderId="105" xfId="0" applyFont="1" applyFill="1" applyBorder="1" applyAlignment="1" applyProtection="1">
      <alignment vertical="center" wrapText="1"/>
    </xf>
    <xf numFmtId="0" fontId="39" fillId="2" borderId="67" xfId="0" applyFont="1" applyFill="1" applyBorder="1" applyAlignment="1" applyProtection="1"/>
    <xf numFmtId="0" fontId="39" fillId="6" borderId="0" xfId="0" applyFont="1" applyFill="1" applyAlignment="1" applyProtection="1">
      <protection locked="0"/>
    </xf>
    <xf numFmtId="0" fontId="30" fillId="6" borderId="0" xfId="0" applyFont="1" applyFill="1" applyAlignment="1" applyProtection="1">
      <protection locked="0"/>
    </xf>
    <xf numFmtId="0" fontId="30" fillId="6" borderId="0" xfId="0" applyFont="1" applyFill="1" applyAlignment="1" applyProtection="1">
      <alignment vertical="center" wrapText="1"/>
      <protection locked="0"/>
    </xf>
    <xf numFmtId="0" fontId="18" fillId="6" borderId="0" xfId="0" applyFont="1" applyFill="1" applyAlignment="1" applyProtection="1">
      <alignment vertical="center" wrapText="1"/>
      <protection locked="0"/>
    </xf>
    <xf numFmtId="0" fontId="33" fillId="2" borderId="59" xfId="59" applyFont="1" applyFill="1" applyBorder="1" applyAlignment="1" applyProtection="1">
      <alignment vertical="center"/>
      <protection locked="0"/>
    </xf>
    <xf numFmtId="0" fontId="36" fillId="2" borderId="1" xfId="59" applyFont="1" applyFill="1" applyBorder="1" applyAlignment="1" applyProtection="1">
      <alignment vertical="center"/>
      <protection locked="0"/>
    </xf>
    <xf numFmtId="178" fontId="36" fillId="2" borderId="1" xfId="59" applyNumberFormat="1" applyFont="1" applyFill="1" applyBorder="1" applyAlignment="1" applyProtection="1">
      <alignment horizontal="right" vertical="center"/>
      <protection locked="0"/>
    </xf>
    <xf numFmtId="0" fontId="50" fillId="2" borderId="9" xfId="59" applyFont="1" applyFill="1" applyBorder="1" applyAlignment="1" applyProtection="1">
      <alignment vertical="center"/>
      <protection locked="0"/>
    </xf>
    <xf numFmtId="0" fontId="36" fillId="2" borderId="9" xfId="59" applyFont="1" applyFill="1" applyBorder="1" applyAlignment="1" applyProtection="1">
      <alignment horizontal="right" vertical="center"/>
      <protection locked="0"/>
    </xf>
    <xf numFmtId="0" fontId="25" fillId="2" borderId="59" xfId="0" applyFont="1" applyFill="1" applyBorder="1" applyAlignment="1" applyProtection="1">
      <alignment vertical="center"/>
    </xf>
    <xf numFmtId="0" fontId="25" fillId="2" borderId="78" xfId="0" applyFont="1" applyFill="1" applyBorder="1" applyAlignment="1" applyProtection="1">
      <alignment vertical="center"/>
    </xf>
    <xf numFmtId="184" fontId="39" fillId="2" borderId="39" xfId="0" applyNumberFormat="1" applyFont="1" applyFill="1" applyBorder="1" applyAlignment="1" applyProtection="1">
      <alignment horizontal="center" vertical="center"/>
    </xf>
    <xf numFmtId="0" fontId="39" fillId="2" borderId="6" xfId="0" applyFont="1" applyFill="1" applyBorder="1" applyAlignment="1" applyProtection="1">
      <alignment horizontal="center" vertical="center"/>
    </xf>
    <xf numFmtId="0" fontId="39" fillId="2" borderId="18" xfId="0" applyFont="1" applyFill="1" applyBorder="1" applyAlignment="1" applyProtection="1">
      <alignment vertical="center"/>
    </xf>
    <xf numFmtId="184" fontId="16" fillId="0" borderId="1" xfId="0" applyNumberFormat="1" applyFont="1" applyFill="1" applyBorder="1" applyAlignment="1" applyProtection="1">
      <alignment horizontal="center" vertical="center"/>
      <protection locked="0"/>
    </xf>
    <xf numFmtId="49" fontId="16" fillId="2" borderId="7" xfId="0" applyNumberFormat="1" applyFont="1" applyFill="1" applyBorder="1" applyAlignment="1" applyProtection="1">
      <alignment horizontal="left" vertical="center"/>
    </xf>
    <xf numFmtId="0" fontId="16" fillId="2" borderId="42" xfId="0" applyFont="1" applyFill="1" applyBorder="1" applyAlignment="1" applyProtection="1">
      <alignment vertical="center"/>
    </xf>
    <xf numFmtId="184" fontId="72" fillId="0" borderId="9" xfId="0" applyNumberFormat="1" applyFont="1" applyFill="1" applyBorder="1" applyAlignment="1" applyProtection="1">
      <alignment horizontal="center" vertical="center"/>
      <protection locked="0"/>
    </xf>
    <xf numFmtId="184" fontId="16" fillId="0" borderId="8" xfId="0" applyNumberFormat="1" applyFont="1" applyFill="1" applyBorder="1" applyAlignment="1" applyProtection="1">
      <alignment horizontal="center" vertical="center"/>
      <protection locked="0"/>
    </xf>
    <xf numFmtId="49" fontId="25" fillId="2" borderId="59" xfId="0" applyNumberFormat="1" applyFont="1" applyFill="1" applyBorder="1" applyAlignment="1" applyProtection="1">
      <alignment vertical="center"/>
    </xf>
    <xf numFmtId="49" fontId="39" fillId="2" borderId="6" xfId="0" applyNumberFormat="1" applyFont="1" applyFill="1" applyBorder="1" applyAlignment="1" applyProtection="1">
      <alignment horizontal="center" vertical="center"/>
    </xf>
    <xf numFmtId="0" fontId="39" fillId="2" borderId="10" xfId="0" applyFont="1" applyFill="1" applyBorder="1" applyAlignment="1" applyProtection="1">
      <alignment vertical="center"/>
    </xf>
    <xf numFmtId="184" fontId="39" fillId="2" borderId="1" xfId="0" applyNumberFormat="1" applyFont="1" applyFill="1" applyBorder="1" applyAlignment="1" applyProtection="1">
      <alignment horizontal="center" vertical="center"/>
    </xf>
    <xf numFmtId="0" fontId="39" fillId="2" borderId="1" xfId="0" applyFont="1" applyFill="1" applyBorder="1" applyAlignment="1" applyProtection="1">
      <alignment horizontal="center" vertical="center"/>
    </xf>
    <xf numFmtId="0" fontId="39" fillId="2" borderId="12" xfId="0" applyFont="1" applyFill="1" applyBorder="1" applyAlignment="1" applyProtection="1">
      <alignment vertical="center"/>
    </xf>
    <xf numFmtId="49" fontId="16" fillId="2" borderId="6" xfId="59" applyNumberFormat="1" applyFont="1" applyFill="1" applyBorder="1" applyAlignment="1" applyProtection="1">
      <alignment horizontal="left" vertical="center"/>
    </xf>
    <xf numFmtId="0" fontId="16" fillId="2" borderId="10" xfId="59" applyFont="1" applyFill="1" applyBorder="1" applyAlignment="1" applyProtection="1">
      <alignment vertical="center"/>
    </xf>
    <xf numFmtId="182" fontId="16" fillId="2" borderId="1" xfId="59" applyNumberFormat="1" applyFont="1" applyFill="1" applyBorder="1" applyAlignment="1" applyProtection="1">
      <alignment horizontal="center" vertical="center"/>
    </xf>
    <xf numFmtId="0" fontId="16" fillId="2" borderId="1" xfId="0" applyFont="1" applyFill="1" applyBorder="1" applyAlignment="1" applyProtection="1">
      <alignment vertical="center"/>
    </xf>
    <xf numFmtId="177" fontId="16" fillId="2" borderId="1" xfId="59" applyNumberFormat="1" applyFont="1" applyFill="1" applyBorder="1" applyAlignment="1" applyProtection="1">
      <alignment horizontal="center" vertical="center"/>
    </xf>
    <xf numFmtId="9" fontId="16" fillId="2" borderId="1" xfId="59" applyNumberFormat="1" applyFont="1" applyFill="1" applyBorder="1" applyAlignment="1" applyProtection="1">
      <alignment horizontal="center" vertical="center"/>
    </xf>
    <xf numFmtId="182" fontId="16" fillId="15" borderId="1" xfId="59" applyNumberFormat="1" applyFont="1" applyFill="1" applyBorder="1" applyAlignment="1" applyProtection="1">
      <alignment horizontal="center" vertical="center"/>
    </xf>
    <xf numFmtId="178" fontId="16" fillId="2" borderId="1" xfId="59" applyNumberFormat="1" applyFont="1" applyFill="1" applyBorder="1" applyAlignment="1" applyProtection="1">
      <alignment horizontal="center" vertical="center"/>
    </xf>
    <xf numFmtId="178" fontId="16" fillId="2" borderId="1" xfId="59" applyNumberFormat="1" applyFont="1" applyFill="1" applyBorder="1" applyAlignment="1" applyProtection="1">
      <alignment vertical="center"/>
    </xf>
    <xf numFmtId="10" fontId="16" fillId="2" borderId="1" xfId="59" applyNumberFormat="1" applyFont="1" applyFill="1" applyBorder="1" applyAlignment="1" applyProtection="1">
      <alignment horizontal="center" vertical="center"/>
    </xf>
    <xf numFmtId="0" fontId="16" fillId="2" borderId="12" xfId="0" applyFont="1" applyFill="1" applyBorder="1" applyAlignment="1" applyProtection="1">
      <alignment vertical="center"/>
    </xf>
    <xf numFmtId="49" fontId="39" fillId="2" borderId="6" xfId="59" applyNumberFormat="1" applyFont="1" applyFill="1" applyBorder="1" applyAlignment="1" applyProtection="1">
      <alignment horizontal="left" vertical="center"/>
    </xf>
    <xf numFmtId="0" fontId="39" fillId="2" borderId="10" xfId="59" applyFont="1" applyFill="1" applyBorder="1" applyAlignment="1" applyProtection="1">
      <alignment vertical="center"/>
    </xf>
    <xf numFmtId="178" fontId="39" fillId="2" borderId="1" xfId="59" applyNumberFormat="1" applyFont="1" applyFill="1" applyBorder="1" applyAlignment="1" applyProtection="1">
      <alignment horizontal="center" vertical="center"/>
    </xf>
    <xf numFmtId="0" fontId="39" fillId="2" borderId="1" xfId="59" applyFont="1" applyFill="1" applyBorder="1" applyAlignment="1" applyProtection="1">
      <alignment vertical="center"/>
    </xf>
    <xf numFmtId="178" fontId="39" fillId="2" borderId="1" xfId="59" applyNumberFormat="1" applyFont="1" applyFill="1" applyBorder="1" applyAlignment="1" applyProtection="1">
      <alignment vertical="center"/>
    </xf>
    <xf numFmtId="0" fontId="28" fillId="2" borderId="10" xfId="0" applyFont="1" applyFill="1" applyBorder="1" applyAlignment="1" applyProtection="1">
      <alignment vertical="center"/>
    </xf>
    <xf numFmtId="0" fontId="28" fillId="2" borderId="12" xfId="0" applyFont="1" applyFill="1" applyBorder="1" applyAlignment="1" applyProtection="1">
      <alignment vertical="center"/>
    </xf>
    <xf numFmtId="182" fontId="39" fillId="15" borderId="1" xfId="59" applyNumberFormat="1" applyFont="1" applyFill="1" applyBorder="1" applyAlignment="1" applyProtection="1">
      <alignment horizontal="center" vertical="center"/>
    </xf>
    <xf numFmtId="182" fontId="39" fillId="2" borderId="1" xfId="59" applyNumberFormat="1" applyFont="1" applyFill="1" applyBorder="1" applyAlignment="1" applyProtection="1">
      <alignment horizontal="center" vertical="center"/>
    </xf>
    <xf numFmtId="9" fontId="39" fillId="2" borderId="1" xfId="59" applyNumberFormat="1" applyFont="1" applyFill="1" applyBorder="1" applyAlignment="1" applyProtection="1">
      <alignment horizontal="center" vertical="center"/>
    </xf>
    <xf numFmtId="0" fontId="21" fillId="3" borderId="10" xfId="0" applyFont="1" applyFill="1" applyBorder="1" applyAlignment="1" applyProtection="1">
      <alignment vertical="center"/>
      <protection locked="0"/>
    </xf>
    <xf numFmtId="0" fontId="16" fillId="0" borderId="12" xfId="0" applyFont="1" applyFill="1" applyBorder="1" applyAlignment="1" applyProtection="1">
      <alignment vertical="center"/>
      <protection locked="0"/>
    </xf>
    <xf numFmtId="0" fontId="16" fillId="2" borderId="12" xfId="0" applyFont="1" applyFill="1" applyBorder="1" applyAlignment="1" applyProtection="1">
      <alignment horizontal="left" vertical="center"/>
    </xf>
    <xf numFmtId="0" fontId="134" fillId="2" borderId="10" xfId="59" applyFont="1" applyFill="1" applyBorder="1" applyAlignment="1" applyProtection="1">
      <alignment vertical="center"/>
    </xf>
    <xf numFmtId="10" fontId="39" fillId="2" borderId="1" xfId="59" applyNumberFormat="1" applyFont="1" applyFill="1" applyBorder="1" applyAlignment="1" applyProtection="1">
      <alignment horizontal="center" vertical="center"/>
    </xf>
    <xf numFmtId="178" fontId="16" fillId="2" borderId="12" xfId="59" applyNumberFormat="1" applyFont="1" applyFill="1" applyBorder="1" applyAlignment="1" applyProtection="1">
      <alignment vertical="center"/>
    </xf>
    <xf numFmtId="178" fontId="16" fillId="2" borderId="10" xfId="0" applyNumberFormat="1" applyFont="1" applyFill="1" applyBorder="1" applyAlignment="1" applyProtection="1">
      <alignment vertical="center"/>
    </xf>
    <xf numFmtId="10" fontId="39" fillId="2" borderId="1" xfId="0" applyNumberFormat="1" applyFont="1" applyFill="1" applyBorder="1" applyAlignment="1" applyProtection="1">
      <alignment horizontal="center" vertical="center"/>
    </xf>
    <xf numFmtId="178" fontId="39" fillId="2" borderId="12" xfId="59" applyNumberFormat="1" applyFont="1" applyFill="1" applyBorder="1" applyAlignment="1" applyProtection="1">
      <alignment vertical="center"/>
    </xf>
    <xf numFmtId="0" fontId="131" fillId="2" borderId="10" xfId="0" applyFont="1" applyFill="1" applyBorder="1" applyAlignment="1" applyProtection="1">
      <alignment vertical="center"/>
    </xf>
    <xf numFmtId="0" fontId="134" fillId="2" borderId="1" xfId="59" applyFont="1" applyFill="1" applyBorder="1" applyAlignment="1" applyProtection="1">
      <alignment vertical="center"/>
    </xf>
    <xf numFmtId="178" fontId="39" fillId="2" borderId="0" xfId="0" applyNumberFormat="1" applyFont="1" applyFill="1" applyBorder="1" applyAlignment="1" applyProtection="1">
      <alignment horizontal="center" vertical="center"/>
    </xf>
    <xf numFmtId="0" fontId="39" fillId="2" borderId="1" xfId="0" applyFont="1" applyFill="1" applyBorder="1" applyAlignment="1" applyProtection="1">
      <alignment horizontal="right" vertical="center"/>
    </xf>
    <xf numFmtId="0" fontId="16" fillId="2" borderId="1" xfId="59" applyFont="1" applyFill="1" applyBorder="1" applyAlignment="1" applyProtection="1">
      <alignment horizontal="left" vertical="center"/>
    </xf>
    <xf numFmtId="180" fontId="16" fillId="2" borderId="11" xfId="0" applyNumberFormat="1" applyFont="1" applyFill="1" applyBorder="1" applyAlignment="1" applyProtection="1">
      <alignment horizontal="center" vertical="center"/>
    </xf>
    <xf numFmtId="180" fontId="16" fillId="2" borderId="1" xfId="0" applyNumberFormat="1" applyFont="1" applyFill="1" applyBorder="1" applyAlignment="1" applyProtection="1">
      <alignment horizontal="center" vertical="center"/>
    </xf>
    <xf numFmtId="10" fontId="16" fillId="2" borderId="9" xfId="0" applyNumberFormat="1" applyFont="1" applyFill="1" applyBorder="1" applyAlignment="1" applyProtection="1">
      <alignment horizontal="center" vertical="center"/>
    </xf>
    <xf numFmtId="178" fontId="16" fillId="2" borderId="0" xfId="0" applyNumberFormat="1" applyFont="1" applyFill="1" applyBorder="1" applyAlignment="1" applyProtection="1">
      <alignment horizontal="center" vertical="center"/>
    </xf>
    <xf numFmtId="49" fontId="39" fillId="2" borderId="6" xfId="0" applyNumberFormat="1" applyFont="1" applyFill="1" applyBorder="1" applyAlignment="1" applyProtection="1">
      <alignment horizontal="left" vertical="center"/>
    </xf>
    <xf numFmtId="10" fontId="21" fillId="2" borderId="1" xfId="59" applyNumberFormat="1" applyFont="1" applyFill="1" applyBorder="1" applyAlignment="1" applyProtection="1">
      <alignment horizontal="center" vertical="center"/>
    </xf>
    <xf numFmtId="49" fontId="39" fillId="2" borderId="6" xfId="0" applyNumberFormat="1" applyFont="1" applyFill="1" applyBorder="1" applyAlignment="1" applyProtection="1">
      <alignment horizontal="left" vertical="center" wrapText="1"/>
    </xf>
    <xf numFmtId="0" fontId="39" fillId="2" borderId="1" xfId="59" applyFont="1" applyFill="1" applyBorder="1" applyAlignment="1" applyProtection="1">
      <alignment horizontal="left" vertical="center"/>
    </xf>
    <xf numFmtId="180" fontId="39" fillId="2" borderId="1" xfId="0" applyNumberFormat="1" applyFont="1" applyFill="1" applyBorder="1" applyAlignment="1" applyProtection="1">
      <alignment horizontal="right" vertical="center"/>
    </xf>
    <xf numFmtId="49" fontId="135" fillId="2" borderId="6" xfId="0" applyNumberFormat="1" applyFont="1" applyFill="1" applyBorder="1" applyAlignment="1" applyProtection="1">
      <alignment horizontal="left" vertical="center" wrapText="1"/>
    </xf>
    <xf numFmtId="49" fontId="16" fillId="2" borderId="6" xfId="0" applyNumberFormat="1" applyFont="1" applyFill="1" applyBorder="1" applyAlignment="1" applyProtection="1">
      <alignment horizontal="left" vertical="center" wrapText="1"/>
    </xf>
    <xf numFmtId="0" fontId="16" fillId="2" borderId="10" xfId="59" applyFont="1" applyFill="1" applyBorder="1" applyAlignment="1" applyProtection="1">
      <alignment horizontal="left" vertical="center"/>
    </xf>
    <xf numFmtId="10" fontId="16" fillId="2" borderId="1" xfId="0" applyNumberFormat="1" applyFont="1" applyFill="1" applyBorder="1" applyAlignment="1" applyProtection="1">
      <alignment horizontal="center" vertical="center" wrapText="1"/>
    </xf>
    <xf numFmtId="49" fontId="16" fillId="2" borderId="7" xfId="0" applyNumberFormat="1" applyFont="1" applyFill="1" applyBorder="1" applyAlignment="1" applyProtection="1">
      <alignment horizontal="left" vertical="center" wrapText="1"/>
    </xf>
    <xf numFmtId="0" fontId="101" fillId="2" borderId="8" xfId="0" applyFont="1" applyFill="1" applyBorder="1" applyAlignment="1" applyProtection="1">
      <alignment vertical="center"/>
    </xf>
    <xf numFmtId="178" fontId="16" fillId="2" borderId="8" xfId="0" applyNumberFormat="1" applyFont="1" applyFill="1" applyBorder="1" applyAlignment="1" applyProtection="1">
      <alignment horizontal="center" vertical="center" wrapText="1"/>
    </xf>
    <xf numFmtId="180" fontId="16" fillId="2" borderId="8" xfId="0" applyNumberFormat="1" applyFont="1" applyFill="1" applyBorder="1" applyAlignment="1" applyProtection="1">
      <alignment horizontal="center" vertical="center"/>
    </xf>
    <xf numFmtId="178" fontId="16" fillId="2" borderId="79" xfId="59" applyNumberFormat="1" applyFont="1" applyFill="1" applyBorder="1" applyAlignment="1" applyProtection="1">
      <alignment vertical="center"/>
    </xf>
    <xf numFmtId="10" fontId="16" fillId="2" borderId="8" xfId="0" applyNumberFormat="1" applyFont="1" applyFill="1" applyBorder="1" applyAlignment="1" applyProtection="1">
      <alignment horizontal="center" vertical="center" wrapText="1"/>
    </xf>
    <xf numFmtId="0" fontId="16" fillId="2" borderId="79" xfId="0" applyFont="1" applyFill="1" applyBorder="1" applyAlignment="1" applyProtection="1">
      <alignment vertical="center"/>
    </xf>
    <xf numFmtId="0" fontId="39" fillId="2" borderId="32" xfId="0" applyFont="1" applyFill="1" applyBorder="1" applyAlignment="1" applyProtection="1">
      <alignment vertical="center"/>
    </xf>
    <xf numFmtId="0" fontId="39" fillId="2" borderId="17" xfId="0" applyFont="1" applyFill="1" applyBorder="1" applyAlignment="1" applyProtection="1">
      <alignment vertical="center"/>
    </xf>
    <xf numFmtId="184" fontId="25" fillId="2" borderId="80" xfId="0" applyNumberFormat="1" applyFont="1" applyFill="1" applyBorder="1" applyAlignment="1" applyProtection="1">
      <alignment horizontal="center" vertical="center"/>
    </xf>
    <xf numFmtId="0" fontId="25" fillId="2" borderId="16" xfId="0" applyFont="1" applyFill="1" applyBorder="1" applyAlignment="1" applyProtection="1">
      <alignment vertical="center"/>
    </xf>
    <xf numFmtId="0" fontId="25" fillId="2" borderId="44" xfId="0" applyFont="1" applyFill="1" applyBorder="1" applyAlignment="1" applyProtection="1">
      <alignment vertical="center"/>
    </xf>
    <xf numFmtId="184" fontId="16" fillId="0" borderId="14" xfId="0" applyNumberFormat="1" applyFont="1" applyFill="1" applyBorder="1" applyAlignment="1" applyProtection="1">
      <alignment horizontal="center" vertical="center"/>
      <protection locked="0"/>
    </xf>
    <xf numFmtId="184" fontId="16" fillId="0" borderId="15" xfId="0" applyNumberFormat="1" applyFont="1" applyFill="1" applyBorder="1" applyAlignment="1" applyProtection="1">
      <alignment horizontal="center" vertical="center"/>
      <protection locked="0"/>
    </xf>
    <xf numFmtId="0" fontId="39" fillId="2" borderId="46" xfId="0" applyFont="1" applyFill="1" applyBorder="1" applyAlignment="1" applyProtection="1">
      <alignment vertical="center"/>
    </xf>
    <xf numFmtId="0" fontId="16" fillId="2" borderId="46" xfId="0" applyFont="1" applyFill="1" applyBorder="1" applyAlignment="1" applyProtection="1">
      <alignment vertical="center"/>
    </xf>
    <xf numFmtId="0" fontId="28" fillId="2" borderId="46" xfId="0" applyFont="1" applyFill="1" applyBorder="1" applyAlignment="1" applyProtection="1">
      <alignment vertical="center"/>
    </xf>
    <xf numFmtId="0" fontId="23" fillId="2" borderId="12" xfId="0" applyFont="1" applyFill="1" applyBorder="1" applyAlignment="1" applyProtection="1">
      <alignment vertical="center"/>
    </xf>
    <xf numFmtId="0" fontId="16" fillId="2" borderId="46" xfId="0" applyFont="1" applyFill="1" applyBorder="1" applyAlignment="1" applyProtection="1">
      <alignment horizontal="left" vertical="center"/>
    </xf>
    <xf numFmtId="0" fontId="30" fillId="0" borderId="0" xfId="0" applyFont="1" applyFill="1" applyAlignment="1" applyProtection="1">
      <protection locked="0"/>
    </xf>
    <xf numFmtId="0" fontId="30" fillId="0" borderId="0" xfId="0" applyFont="1" applyFill="1" applyAlignment="1" applyProtection="1">
      <alignment vertical="center" wrapText="1"/>
      <protection locked="0"/>
    </xf>
    <xf numFmtId="0" fontId="18" fillId="0" borderId="0" xfId="0" applyFont="1" applyFill="1" applyAlignment="1" applyProtection="1">
      <alignment vertical="center" wrapText="1"/>
      <protection locked="0"/>
    </xf>
    <xf numFmtId="0" fontId="16" fillId="2" borderId="53" xfId="0" applyFont="1" applyFill="1" applyBorder="1" applyAlignment="1" applyProtection="1">
      <alignment vertical="center"/>
    </xf>
    <xf numFmtId="0" fontId="39" fillId="2" borderId="67" xfId="0" applyFont="1" applyFill="1" applyBorder="1" applyAlignment="1" applyProtection="1">
      <alignment vertical="center"/>
    </xf>
    <xf numFmtId="0" fontId="16" fillId="0" borderId="0" xfId="0" applyFont="1" applyFill="1" applyProtection="1">
      <alignment vertical="center"/>
    </xf>
    <xf numFmtId="0" fontId="47" fillId="0" borderId="0" xfId="0" applyFont="1" applyFill="1" applyProtection="1">
      <alignment vertical="center"/>
    </xf>
    <xf numFmtId="0" fontId="136" fillId="2" borderId="0" xfId="0" applyFont="1" applyFill="1" applyProtection="1">
      <alignment vertical="center"/>
    </xf>
    <xf numFmtId="0" fontId="24" fillId="2" borderId="0" xfId="0" applyFont="1" applyFill="1" applyProtection="1">
      <alignment vertical="center"/>
    </xf>
    <xf numFmtId="0" fontId="137" fillId="2" borderId="1" xfId="0" applyFont="1" applyFill="1" applyBorder="1" applyProtection="1">
      <alignment vertical="center"/>
    </xf>
    <xf numFmtId="0" fontId="137" fillId="3" borderId="1" xfId="0" applyFont="1" applyFill="1" applyBorder="1" applyAlignment="1" applyProtection="1">
      <alignment horizontal="center" vertical="center"/>
      <protection locked="0"/>
    </xf>
    <xf numFmtId="0" fontId="137" fillId="3" borderId="1" xfId="0" applyFont="1" applyFill="1" applyBorder="1" applyAlignment="1" applyProtection="1">
      <alignment horizontal="center" vertical="center" wrapText="1"/>
      <protection locked="0"/>
    </xf>
    <xf numFmtId="0" fontId="138" fillId="0" borderId="103" xfId="0" applyFont="1" applyBorder="1" applyAlignment="1" applyProtection="1">
      <alignment horizontal="center" vertical="center"/>
      <protection locked="0"/>
    </xf>
    <xf numFmtId="0" fontId="138" fillId="0" borderId="104" xfId="0" applyFont="1" applyBorder="1" applyAlignment="1" applyProtection="1">
      <alignment horizontal="center" vertical="center"/>
      <protection locked="0"/>
    </xf>
    <xf numFmtId="0" fontId="138" fillId="0" borderId="17" xfId="0" applyFont="1" applyBorder="1" applyAlignment="1" applyProtection="1">
      <alignment horizontal="center" vertical="center"/>
      <protection locked="0"/>
    </xf>
    <xf numFmtId="0" fontId="16" fillId="2" borderId="65" xfId="0" applyFont="1" applyFill="1" applyBorder="1" applyAlignment="1" applyProtection="1">
      <alignment horizontal="center" vertical="center"/>
    </xf>
    <xf numFmtId="0" fontId="28" fillId="2" borderId="9" xfId="0" applyFont="1" applyFill="1" applyBorder="1" applyAlignment="1" applyProtection="1">
      <alignment vertical="center" wrapText="1"/>
    </xf>
    <xf numFmtId="0" fontId="47" fillId="5" borderId="9"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wrapText="1"/>
    </xf>
    <xf numFmtId="0" fontId="28" fillId="2" borderId="1" xfId="0" applyFont="1" applyFill="1" applyBorder="1" applyAlignment="1" applyProtection="1">
      <alignment horizontal="left" vertical="center" wrapText="1"/>
    </xf>
    <xf numFmtId="0" fontId="28" fillId="0" borderId="9"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16" fillId="2" borderId="12" xfId="0" applyFont="1" applyFill="1" applyBorder="1" applyAlignment="1" applyProtection="1">
      <alignment vertical="center" wrapText="1"/>
    </xf>
    <xf numFmtId="0" fontId="28" fillId="0" borderId="35"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39" fillId="2" borderId="10" xfId="0" applyFont="1" applyFill="1" applyBorder="1" applyAlignment="1" applyProtection="1">
      <alignment horizontal="right" vertical="center"/>
    </xf>
    <xf numFmtId="0" fontId="28" fillId="2" borderId="11" xfId="0" applyFont="1" applyFill="1" applyBorder="1" applyProtection="1">
      <alignment vertical="center"/>
    </xf>
    <xf numFmtId="0" fontId="28" fillId="2" borderId="3" xfId="0" applyFont="1" applyFill="1" applyBorder="1" applyAlignment="1" applyProtection="1">
      <alignment horizontal="center" vertical="center"/>
    </xf>
    <xf numFmtId="0" fontId="39" fillId="2" borderId="20" xfId="0" applyFont="1" applyFill="1" applyBorder="1" applyAlignment="1" applyProtection="1">
      <alignment horizontal="right" vertical="center"/>
    </xf>
    <xf numFmtId="0" fontId="28" fillId="2" borderId="0" xfId="0" applyFont="1" applyFill="1" applyProtection="1">
      <alignment vertical="center"/>
    </xf>
    <xf numFmtId="182" fontId="28" fillId="2" borderId="9" xfId="0" applyNumberFormat="1" applyFont="1" applyFill="1" applyBorder="1" applyAlignment="1" applyProtection="1">
      <alignment horizontal="center" vertical="center"/>
    </xf>
    <xf numFmtId="0" fontId="13" fillId="2" borderId="20"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9" fillId="2" borderId="19" xfId="0" applyFont="1" applyFill="1" applyBorder="1" applyAlignment="1" applyProtection="1">
      <alignment vertical="center"/>
    </xf>
    <xf numFmtId="0" fontId="28" fillId="2" borderId="5" xfId="0" applyFont="1" applyFill="1" applyBorder="1" applyAlignment="1" applyProtection="1">
      <alignment vertical="center"/>
    </xf>
    <xf numFmtId="0" fontId="47" fillId="2" borderId="5"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8" fillId="2" borderId="40" xfId="0" applyFont="1" applyFill="1" applyBorder="1" applyAlignment="1" applyProtection="1">
      <alignment horizontal="right" vertical="center"/>
    </xf>
    <xf numFmtId="0" fontId="16" fillId="2" borderId="45" xfId="0" applyFont="1" applyFill="1" applyBorder="1" applyAlignment="1" applyProtection="1">
      <alignment vertical="center"/>
    </xf>
    <xf numFmtId="0" fontId="39" fillId="2" borderId="21" xfId="0" applyFont="1" applyFill="1" applyBorder="1" applyAlignment="1" applyProtection="1">
      <alignment vertical="center"/>
    </xf>
    <xf numFmtId="0" fontId="28" fillId="2" borderId="1" xfId="0" applyFont="1" applyFill="1" applyBorder="1" applyProtection="1">
      <alignment vertical="center"/>
    </xf>
    <xf numFmtId="0" fontId="47" fillId="2" borderId="1"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28" fillId="2" borderId="10" xfId="0" applyFont="1" applyFill="1" applyBorder="1" applyAlignment="1" applyProtection="1">
      <alignment horizontal="right" vertical="center"/>
    </xf>
    <xf numFmtId="0" fontId="28" fillId="2" borderId="9" xfId="0" applyFont="1" applyFill="1" applyBorder="1" applyProtection="1">
      <alignment vertical="center"/>
    </xf>
    <xf numFmtId="0" fontId="28" fillId="2" borderId="9" xfId="0" applyFont="1" applyFill="1" applyBorder="1" applyAlignment="1" applyProtection="1">
      <alignment horizontal="center" vertical="center"/>
    </xf>
    <xf numFmtId="0" fontId="28" fillId="2" borderId="18" xfId="0" applyFont="1" applyFill="1" applyBorder="1" applyAlignment="1" applyProtection="1">
      <alignment horizontal="center" vertical="center"/>
    </xf>
    <xf numFmtId="0" fontId="28" fillId="2" borderId="12" xfId="0" applyFont="1" applyFill="1" applyBorder="1" applyAlignment="1" applyProtection="1">
      <alignment horizontal="right" vertical="center"/>
    </xf>
    <xf numFmtId="0" fontId="16" fillId="2" borderId="46" xfId="0" applyFont="1" applyFill="1" applyBorder="1" applyProtection="1">
      <alignment vertical="center"/>
    </xf>
    <xf numFmtId="0" fontId="39" fillId="2" borderId="10" xfId="0" applyFont="1" applyFill="1" applyBorder="1" applyAlignment="1" applyProtection="1">
      <alignment horizontal="left" vertical="center"/>
    </xf>
    <xf numFmtId="0" fontId="16" fillId="2" borderId="12" xfId="0" applyFont="1" applyFill="1" applyBorder="1" applyProtection="1">
      <alignment vertical="center"/>
    </xf>
    <xf numFmtId="0" fontId="16" fillId="2" borderId="10" xfId="0" applyFont="1" applyFill="1" applyBorder="1" applyProtection="1">
      <alignment vertical="center"/>
    </xf>
    <xf numFmtId="177" fontId="139" fillId="2" borderId="12" xfId="0" applyNumberFormat="1" applyFont="1" applyFill="1" applyBorder="1" applyAlignment="1" applyProtection="1">
      <alignment horizontal="center" vertical="center"/>
    </xf>
    <xf numFmtId="0" fontId="28" fillId="2" borderId="80" xfId="0" applyFont="1" applyFill="1" applyBorder="1" applyProtection="1">
      <alignment vertical="center"/>
    </xf>
    <xf numFmtId="0" fontId="16" fillId="2" borderId="79" xfId="0" applyFont="1" applyFill="1" applyBorder="1" applyAlignment="1" applyProtection="1">
      <alignment horizontal="right" vertical="center"/>
    </xf>
    <xf numFmtId="0" fontId="16" fillId="2" borderId="53" xfId="0" applyFont="1" applyFill="1" applyBorder="1" applyAlignment="1" applyProtection="1">
      <alignment horizontal="left" vertical="center"/>
    </xf>
    <xf numFmtId="0" fontId="39" fillId="2" borderId="69" xfId="0" applyFont="1" applyFill="1" applyBorder="1" applyAlignment="1" applyProtection="1">
      <alignment horizontal="left" vertical="center" wrapText="1"/>
    </xf>
    <xf numFmtId="0" fontId="28" fillId="2" borderId="39" xfId="0" applyFont="1" applyFill="1" applyBorder="1" applyAlignment="1" applyProtection="1">
      <alignment horizontal="right" vertical="center"/>
    </xf>
    <xf numFmtId="0" fontId="28" fillId="2" borderId="44" xfId="0" applyFont="1" applyFill="1" applyBorder="1" applyAlignment="1" applyProtection="1">
      <alignment horizontal="center" vertical="center"/>
    </xf>
    <xf numFmtId="0" fontId="39" fillId="2" borderId="29" xfId="0" applyFont="1" applyFill="1" applyBorder="1" applyAlignment="1" applyProtection="1">
      <alignment horizontal="left" vertical="center" wrapText="1"/>
    </xf>
    <xf numFmtId="0" fontId="28" fillId="3" borderId="1" xfId="0" applyFont="1" applyFill="1" applyBorder="1" applyProtection="1">
      <alignment vertical="center"/>
      <protection locked="0"/>
    </xf>
    <xf numFmtId="0" fontId="28" fillId="2" borderId="34" xfId="0" applyFont="1" applyFill="1" applyBorder="1" applyAlignment="1" applyProtection="1">
      <alignment horizontal="right" vertical="center"/>
    </xf>
    <xf numFmtId="0" fontId="28" fillId="2" borderId="46" xfId="0" applyFont="1" applyFill="1" applyBorder="1" applyAlignment="1" applyProtection="1">
      <alignment horizontal="center" vertical="center"/>
    </xf>
    <xf numFmtId="0" fontId="138" fillId="0" borderId="6" xfId="0" applyFont="1" applyBorder="1" applyAlignment="1" applyProtection="1">
      <alignment horizontal="center" vertical="center"/>
      <protection locked="0"/>
    </xf>
    <xf numFmtId="0" fontId="138" fillId="0" borderId="1" xfId="0" applyFont="1" applyFill="1" applyBorder="1" applyAlignment="1" applyProtection="1">
      <alignment horizontal="center" vertical="center"/>
      <protection locked="0"/>
    </xf>
    <xf numFmtId="0" fontId="138" fillId="0" borderId="14" xfId="0" applyFont="1" applyFill="1" applyBorder="1" applyAlignment="1" applyProtection="1">
      <alignment horizontal="center" vertical="center"/>
      <protection locked="0"/>
    </xf>
    <xf numFmtId="0" fontId="138" fillId="0" borderId="7" xfId="0" applyFont="1" applyFill="1" applyBorder="1" applyAlignment="1" applyProtection="1">
      <alignment horizontal="center" vertical="center"/>
    </xf>
    <xf numFmtId="0" fontId="138" fillId="0" borderId="8" xfId="0" applyFont="1" applyFill="1" applyBorder="1" applyAlignment="1" applyProtection="1">
      <alignment horizontal="center" vertical="center"/>
      <protection locked="0"/>
    </xf>
    <xf numFmtId="0" fontId="138" fillId="0" borderId="15"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2" fillId="2" borderId="143" xfId="0" applyFont="1" applyFill="1" applyBorder="1" applyAlignment="1" applyProtection="1">
      <alignment horizontal="center" vertical="center"/>
    </xf>
    <xf numFmtId="0" fontId="39" fillId="2" borderId="3" xfId="0" applyFont="1" applyFill="1" applyBorder="1" applyAlignment="1" applyProtection="1">
      <alignment vertical="center"/>
    </xf>
    <xf numFmtId="0" fontId="21" fillId="2" borderId="66" xfId="0" applyFont="1" applyFill="1" applyBorder="1" applyAlignment="1" applyProtection="1">
      <alignment vertical="center"/>
    </xf>
    <xf numFmtId="0" fontId="140" fillId="2" borderId="21" xfId="0" applyFont="1" applyFill="1" applyBorder="1" applyAlignment="1" applyProtection="1">
      <alignment vertical="center"/>
    </xf>
    <xf numFmtId="0" fontId="39" fillId="2" borderId="1" xfId="0" applyFont="1" applyFill="1" applyBorder="1" applyProtection="1">
      <alignment vertical="center"/>
    </xf>
    <xf numFmtId="0" fontId="21" fillId="2" borderId="46" xfId="0" applyFont="1" applyFill="1" applyBorder="1" applyAlignment="1" applyProtection="1">
      <alignment vertical="center"/>
    </xf>
    <xf numFmtId="0" fontId="28" fillId="2" borderId="56" xfId="0" applyFont="1" applyFill="1" applyBorder="1" applyAlignment="1" applyProtection="1">
      <alignment horizontal="left" vertical="center"/>
    </xf>
    <xf numFmtId="0" fontId="39" fillId="0" borderId="13" xfId="0" applyFont="1" applyFill="1" applyBorder="1" applyAlignment="1" applyProtection="1">
      <alignment horizontal="center" vertical="center"/>
      <protection locked="0"/>
    </xf>
    <xf numFmtId="0" fontId="16" fillId="3" borderId="104" xfId="0" applyFont="1" applyFill="1" applyBorder="1" applyProtection="1">
      <alignment vertical="center"/>
      <protection locked="0"/>
    </xf>
    <xf numFmtId="0" fontId="141" fillId="2" borderId="21" xfId="0" applyFont="1" applyFill="1" applyBorder="1" applyAlignment="1" applyProtection="1">
      <alignment horizontal="right" vertical="center"/>
    </xf>
    <xf numFmtId="0" fontId="39" fillId="2" borderId="9" xfId="0" applyFont="1" applyFill="1" applyBorder="1" applyProtection="1">
      <alignment vertical="center"/>
    </xf>
    <xf numFmtId="0" fontId="21" fillId="2" borderId="46" xfId="0" applyFont="1" applyFill="1" applyBorder="1" applyProtection="1">
      <alignment vertical="center"/>
    </xf>
    <xf numFmtId="0" fontId="39" fillId="2" borderId="68" xfId="0" applyFont="1" applyFill="1" applyBorder="1" applyAlignment="1" applyProtection="1">
      <alignment horizontal="left" vertical="center" wrapText="1"/>
    </xf>
    <xf numFmtId="0" fontId="28" fillId="2" borderId="11" xfId="0" applyFont="1" applyFill="1" applyBorder="1" applyAlignment="1" applyProtection="1">
      <alignment horizontal="left" vertical="center"/>
    </xf>
    <xf numFmtId="0" fontId="39" fillId="0" borderId="14" xfId="0" applyFont="1" applyFill="1" applyBorder="1" applyAlignment="1" applyProtection="1">
      <alignment horizontal="center" vertical="center"/>
      <protection locked="0"/>
    </xf>
    <xf numFmtId="0" fontId="39" fillId="2" borderId="35" xfId="0" applyFont="1" applyFill="1" applyBorder="1" applyProtection="1">
      <alignment vertical="center"/>
    </xf>
    <xf numFmtId="0" fontId="21" fillId="2" borderId="54" xfId="0" applyFont="1" applyFill="1" applyBorder="1" applyAlignment="1" applyProtection="1">
      <alignment horizontal="right" vertical="center"/>
    </xf>
    <xf numFmtId="0" fontId="21" fillId="2" borderId="47" xfId="0" applyFont="1" applyFill="1" applyBorder="1" applyAlignment="1" applyProtection="1">
      <alignment horizontal="left" vertical="center"/>
    </xf>
    <xf numFmtId="0" fontId="39" fillId="2" borderId="76" xfId="0" applyFont="1" applyFill="1" applyBorder="1" applyAlignment="1" applyProtection="1">
      <alignment horizontal="left" vertical="center" wrapText="1"/>
    </xf>
    <xf numFmtId="0" fontId="28" fillId="2" borderId="97" xfId="0" applyFont="1" applyFill="1" applyBorder="1" applyAlignment="1" applyProtection="1">
      <alignment horizontal="left" vertical="center"/>
    </xf>
    <xf numFmtId="0" fontId="39" fillId="0" borderId="8" xfId="0" applyFont="1" applyFill="1" applyBorder="1" applyAlignment="1" applyProtection="1">
      <alignment horizontal="center" vertical="center"/>
      <protection locked="0"/>
    </xf>
    <xf numFmtId="0" fontId="28" fillId="0" borderId="105" xfId="0" applyFont="1" applyFill="1" applyBorder="1" applyProtection="1">
      <alignment vertical="center"/>
      <protection locked="0"/>
    </xf>
    <xf numFmtId="0" fontId="39" fillId="2" borderId="98" xfId="0" applyFont="1" applyFill="1" applyBorder="1" applyAlignment="1" applyProtection="1">
      <alignment vertical="center"/>
    </xf>
    <xf numFmtId="0" fontId="138" fillId="0" borderId="4" xfId="0" applyFont="1" applyFill="1" applyBorder="1" applyAlignment="1" applyProtection="1">
      <alignment horizontal="center" vertical="center"/>
      <protection locked="0"/>
    </xf>
    <xf numFmtId="0" fontId="138" fillId="0" borderId="5" xfId="0" applyFont="1" applyFill="1" applyBorder="1" applyAlignment="1" applyProtection="1">
      <alignment horizontal="center" vertical="center"/>
      <protection locked="0"/>
    </xf>
    <xf numFmtId="0" fontId="138" fillId="0" borderId="13" xfId="0" applyFont="1" applyFill="1" applyBorder="1" applyAlignment="1" applyProtection="1">
      <alignment horizontal="center" vertical="center"/>
      <protection locked="0"/>
    </xf>
    <xf numFmtId="0" fontId="16" fillId="2" borderId="93" xfId="0" applyFont="1" applyFill="1" applyBorder="1" applyProtection="1">
      <alignment vertical="center"/>
    </xf>
    <xf numFmtId="0" fontId="138" fillId="0" borderId="6" xfId="0" applyFont="1" applyFill="1" applyBorder="1" applyAlignment="1" applyProtection="1">
      <alignment horizontal="center" vertical="center"/>
      <protection locked="0"/>
    </xf>
    <xf numFmtId="0" fontId="16" fillId="2" borderId="107" xfId="0" applyFont="1" applyFill="1" applyBorder="1" applyProtection="1">
      <alignment vertical="center"/>
    </xf>
    <xf numFmtId="0" fontId="138" fillId="0" borderId="7" xfId="0" applyFont="1" applyFill="1" applyBorder="1" applyAlignment="1" applyProtection="1">
      <alignment horizontal="center" vertical="center"/>
      <protection locked="0"/>
    </xf>
    <xf numFmtId="0" fontId="142" fillId="2" borderId="0" xfId="0" applyFont="1" applyFill="1" applyProtection="1">
      <alignment vertical="center"/>
    </xf>
    <xf numFmtId="0" fontId="25" fillId="2" borderId="19" xfId="0" applyFont="1" applyFill="1" applyBorder="1" applyAlignment="1" applyProtection="1">
      <alignment horizontal="center" vertical="center"/>
    </xf>
    <xf numFmtId="0" fontId="25" fillId="2" borderId="71" xfId="0" applyFont="1" applyFill="1" applyBorder="1" applyAlignment="1" applyProtection="1">
      <alignment horizontal="center" vertical="center"/>
    </xf>
    <xf numFmtId="0" fontId="57" fillId="2" borderId="40" xfId="0" applyFont="1" applyFill="1" applyBorder="1" applyAlignment="1" applyProtection="1">
      <alignment horizontal="center" vertical="center" wrapText="1"/>
    </xf>
    <xf numFmtId="0" fontId="25" fillId="2" borderId="5"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39" fillId="2" borderId="6" xfId="0" applyFont="1" applyFill="1" applyBorder="1" applyAlignment="1" applyProtection="1">
      <alignment horizontal="left" vertical="center"/>
    </xf>
    <xf numFmtId="0" fontId="39" fillId="2" borderId="1" xfId="0" applyFont="1" applyFill="1" applyBorder="1" applyAlignment="1" applyProtection="1">
      <alignment horizontal="left" vertical="center"/>
    </xf>
    <xf numFmtId="0" fontId="21" fillId="2" borderId="1" xfId="0" applyFont="1" applyFill="1" applyBorder="1" applyAlignment="1" applyProtection="1">
      <alignment horizontal="right" vertical="center"/>
    </xf>
    <xf numFmtId="0" fontId="21" fillId="2" borderId="14" xfId="0" applyFont="1" applyFill="1" applyBorder="1" applyAlignment="1" applyProtection="1">
      <alignment horizontal="right" vertical="center"/>
    </xf>
    <xf numFmtId="0" fontId="39" fillId="3" borderId="12" xfId="0" applyFont="1" applyFill="1" applyBorder="1" applyAlignment="1" applyProtection="1">
      <alignment vertical="center"/>
    </xf>
    <xf numFmtId="0" fontId="39" fillId="3" borderId="11" xfId="0" applyFont="1" applyFill="1" applyBorder="1" applyAlignment="1" applyProtection="1">
      <alignment vertical="center"/>
    </xf>
    <xf numFmtId="0" fontId="16" fillId="3" borderId="0" xfId="0" applyFont="1" applyFill="1" applyProtection="1">
      <alignment vertical="center"/>
      <protection locked="0"/>
    </xf>
    <xf numFmtId="0" fontId="39" fillId="2" borderId="64" xfId="0" applyFont="1" applyFill="1" applyBorder="1" applyAlignment="1" applyProtection="1">
      <alignment horizontal="left" vertical="center"/>
    </xf>
    <xf numFmtId="0" fontId="39" fillId="2" borderId="11" xfId="0" applyFont="1" applyFill="1" applyBorder="1" applyAlignment="1" applyProtection="1">
      <alignment horizontal="left" vertical="center"/>
    </xf>
    <xf numFmtId="0" fontId="39" fillId="2" borderId="18" xfId="0" applyFont="1" applyFill="1" applyBorder="1" applyAlignment="1" applyProtection="1">
      <alignment horizontal="right" vertical="center"/>
    </xf>
    <xf numFmtId="0" fontId="39" fillId="2" borderId="7" xfId="0" applyFont="1" applyFill="1" applyBorder="1" applyAlignment="1" applyProtection="1">
      <alignment horizontal="left" vertical="center" wrapText="1"/>
      <protection locked="0"/>
    </xf>
    <xf numFmtId="0" fontId="39" fillId="2" borderId="8" xfId="0" applyFont="1" applyFill="1" applyBorder="1" applyAlignment="1" applyProtection="1">
      <alignment horizontal="left" vertical="center" wrapText="1"/>
      <protection locked="0"/>
    </xf>
    <xf numFmtId="0" fontId="39" fillId="2" borderId="42" xfId="0" applyFont="1" applyFill="1" applyBorder="1" applyAlignment="1" applyProtection="1">
      <alignment horizontal="right" vertical="center"/>
    </xf>
    <xf numFmtId="0" fontId="143" fillId="0" borderId="20" xfId="0" applyFont="1" applyBorder="1" applyAlignment="1" applyProtection="1">
      <alignment horizontal="left" vertical="center"/>
    </xf>
    <xf numFmtId="0" fontId="144" fillId="0" borderId="0" xfId="0" applyFont="1" applyBorder="1" applyAlignment="1" applyProtection="1">
      <alignment horizontal="left" vertical="center" wrapText="1"/>
    </xf>
    <xf numFmtId="0" fontId="145" fillId="3" borderId="0"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center" vertical="center" wrapText="1"/>
      <protection locked="0"/>
    </xf>
    <xf numFmtId="0" fontId="16" fillId="0" borderId="54" xfId="0" applyFont="1" applyFill="1" applyBorder="1" applyAlignment="1" applyProtection="1">
      <alignment horizontal="center" vertical="center"/>
      <protection locked="0"/>
    </xf>
    <xf numFmtId="0" fontId="16" fillId="0" borderId="20" xfId="0" applyFont="1" applyBorder="1" applyAlignment="1" applyProtection="1">
      <alignment horizontal="left" vertical="center" wrapText="1"/>
      <protection locked="0"/>
    </xf>
    <xf numFmtId="0" fontId="16" fillId="0" borderId="0" xfId="0" applyFont="1" applyBorder="1" applyAlignment="1" applyProtection="1">
      <alignment horizontal="left" vertical="center" wrapText="1"/>
      <protection locked="0"/>
    </xf>
    <xf numFmtId="0" fontId="16" fillId="0" borderId="0" xfId="0" applyFont="1" applyFill="1" applyBorder="1" applyAlignment="1" applyProtection="1">
      <alignment horizontal="center" vertical="center"/>
      <protection locked="0"/>
    </xf>
    <xf numFmtId="0" fontId="16" fillId="0" borderId="34" xfId="0" applyFont="1" applyBorder="1" applyAlignment="1" applyProtection="1">
      <alignment horizontal="left" vertical="center" wrapText="1"/>
      <protection locked="0"/>
    </xf>
    <xf numFmtId="0" fontId="16" fillId="0" borderId="89" xfId="0" applyFont="1" applyBorder="1" applyAlignment="1" applyProtection="1">
      <alignment horizontal="left" vertical="center" wrapText="1"/>
      <protection locked="0"/>
    </xf>
    <xf numFmtId="0" fontId="16" fillId="0" borderId="89" xfId="0" applyFont="1" applyFill="1" applyBorder="1" applyAlignment="1" applyProtection="1">
      <alignment horizontal="center" vertical="center" wrapText="1"/>
      <protection locked="0"/>
    </xf>
    <xf numFmtId="0" fontId="16" fillId="0" borderId="89" xfId="0" applyFont="1" applyFill="1" applyBorder="1" applyAlignment="1" applyProtection="1">
      <alignment horizontal="center" vertical="center"/>
      <protection locked="0"/>
    </xf>
    <xf numFmtId="0" fontId="21" fillId="0" borderId="89" xfId="0" applyFont="1" applyBorder="1" applyAlignment="1" applyProtection="1">
      <alignment horizontal="left" vertical="center"/>
      <protection locked="0"/>
    </xf>
    <xf numFmtId="0" fontId="16" fillId="0" borderId="89" xfId="0" applyFont="1" applyBorder="1" applyProtection="1">
      <alignment vertical="center"/>
      <protection locked="0"/>
    </xf>
    <xf numFmtId="0" fontId="21" fillId="0" borderId="0" xfId="0" applyFont="1" applyAlignment="1" applyProtection="1">
      <alignment horizontal="left" vertical="center"/>
      <protection locked="0"/>
    </xf>
    <xf numFmtId="2" fontId="16" fillId="0" borderId="0" xfId="0" applyNumberFormat="1" applyFont="1" applyAlignment="1" applyProtection="1">
      <alignment vertical="center" wrapText="1"/>
      <protection locked="0"/>
    </xf>
    <xf numFmtId="0" fontId="21"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0" fontId="142" fillId="2" borderId="0" xfId="0" applyFont="1" applyFill="1" applyBorder="1" applyAlignment="1" applyProtection="1">
      <alignment horizontal="left" vertical="center"/>
    </xf>
    <xf numFmtId="0" fontId="146" fillId="2" borderId="0" xfId="0" applyFont="1" applyFill="1" applyBorder="1" applyAlignment="1" applyProtection="1">
      <alignment horizontal="left" vertical="center"/>
    </xf>
    <xf numFmtId="0" fontId="147" fillId="2" borderId="0" xfId="0" applyFont="1" applyFill="1" applyBorder="1" applyAlignment="1" applyProtection="1">
      <alignment vertical="center"/>
    </xf>
    <xf numFmtId="0" fontId="147" fillId="2" borderId="0" xfId="0" applyFont="1" applyFill="1" applyBorder="1" applyAlignment="1" applyProtection="1">
      <alignment horizontal="center" vertical="center"/>
    </xf>
    <xf numFmtId="0" fontId="21" fillId="2" borderId="18" xfId="0" applyFont="1" applyFill="1" applyBorder="1" applyAlignment="1" applyProtection="1">
      <alignment horizontal="left" vertical="center" wrapText="1"/>
    </xf>
    <xf numFmtId="0" fontId="21" fillId="2" borderId="54" xfId="0" applyFont="1" applyFill="1" applyBorder="1" applyAlignment="1" applyProtection="1">
      <alignment horizontal="left" vertical="center" wrapText="1"/>
    </xf>
    <xf numFmtId="0" fontId="21" fillId="2" borderId="58" xfId="0" applyFont="1" applyFill="1" applyBorder="1" applyAlignment="1" applyProtection="1">
      <alignment horizontal="left" vertical="center" wrapText="1"/>
    </xf>
    <xf numFmtId="0" fontId="16" fillId="2" borderId="54" xfId="0" applyFont="1" applyFill="1" applyBorder="1" applyAlignment="1" applyProtection="1">
      <alignment horizontal="right" vertical="center"/>
    </xf>
    <xf numFmtId="9" fontId="16" fillId="3" borderId="54" xfId="0" applyNumberFormat="1" applyFont="1" applyFill="1" applyBorder="1" applyAlignment="1" applyProtection="1">
      <alignment horizontal="center" vertical="center"/>
      <protection locked="0"/>
    </xf>
    <xf numFmtId="0" fontId="16" fillId="2" borderId="58" xfId="0" applyFont="1" applyFill="1" applyBorder="1" applyProtection="1">
      <alignment vertical="center"/>
    </xf>
    <xf numFmtId="0" fontId="21" fillId="2" borderId="59" xfId="0" applyFont="1" applyFill="1" applyBorder="1" applyAlignment="1" applyProtection="1">
      <alignment horizontal="center" vertical="center" wrapText="1"/>
    </xf>
    <xf numFmtId="0" fontId="21" fillId="2" borderId="78" xfId="0" applyFont="1" applyFill="1" applyBorder="1" applyAlignment="1" applyProtection="1">
      <alignment horizontal="center" vertical="center" wrapText="1"/>
    </xf>
    <xf numFmtId="0" fontId="21" fillId="2" borderId="44" xfId="0" applyFont="1" applyFill="1" applyBorder="1" applyAlignment="1" applyProtection="1">
      <alignment horizontal="center" vertical="center" wrapText="1"/>
    </xf>
    <xf numFmtId="9" fontId="16" fillId="2" borderId="0" xfId="0" applyNumberFormat="1" applyFont="1" applyFill="1" applyAlignment="1" applyProtection="1">
      <alignment horizontal="center" vertical="center"/>
    </xf>
    <xf numFmtId="0" fontId="138" fillId="0" borderId="105" xfId="0" applyFont="1" applyBorder="1" applyAlignment="1" applyProtection="1">
      <alignment horizontal="center" vertical="center"/>
      <protection locked="0"/>
    </xf>
    <xf numFmtId="0" fontId="138" fillId="2" borderId="0" xfId="0" applyFont="1" applyFill="1" applyAlignment="1" applyProtection="1">
      <alignment horizontal="center" vertical="center"/>
      <protection locked="0"/>
    </xf>
    <xf numFmtId="0" fontId="16" fillId="2" borderId="11" xfId="0" applyFont="1" applyFill="1" applyBorder="1" applyAlignment="1" applyProtection="1">
      <alignment horizontal="center" vertical="center" wrapText="1"/>
    </xf>
    <xf numFmtId="0" fontId="16" fillId="2" borderId="0" xfId="0" applyFont="1" applyFill="1" applyAlignment="1" applyProtection="1">
      <alignment horizontal="left" vertical="center"/>
    </xf>
    <xf numFmtId="0" fontId="16" fillId="2" borderId="11" xfId="0" applyFont="1" applyFill="1" applyBorder="1" applyAlignment="1" applyProtection="1">
      <alignment vertical="center" wrapText="1"/>
    </xf>
    <xf numFmtId="0" fontId="90" fillId="2" borderId="59" xfId="0" applyFont="1" applyFill="1" applyBorder="1" applyAlignment="1" applyProtection="1">
      <alignment horizontal="left" vertical="center"/>
    </xf>
    <xf numFmtId="0" fontId="16" fillId="2" borderId="78" xfId="0" applyFont="1" applyFill="1" applyBorder="1" applyProtection="1">
      <alignment vertical="center"/>
    </xf>
    <xf numFmtId="0" fontId="16" fillId="2" borderId="44" xfId="0" applyFont="1" applyFill="1" applyBorder="1" applyProtection="1">
      <alignment vertical="center"/>
    </xf>
    <xf numFmtId="0" fontId="90" fillId="2" borderId="64" xfId="0" applyFont="1" applyFill="1" applyBorder="1" applyAlignment="1" applyProtection="1">
      <alignment horizontal="left" vertical="center"/>
    </xf>
    <xf numFmtId="0" fontId="147" fillId="2" borderId="64" xfId="0" applyFont="1" applyFill="1" applyBorder="1" applyProtection="1">
      <alignment vertical="center"/>
      <protection locked="0"/>
    </xf>
    <xf numFmtId="0" fontId="16" fillId="2" borderId="12" xfId="0" applyFont="1" applyFill="1" applyBorder="1" applyProtection="1">
      <alignment vertical="center"/>
      <protection locked="0"/>
    </xf>
    <xf numFmtId="0" fontId="16" fillId="2" borderId="46" xfId="0" applyFont="1" applyFill="1" applyBorder="1" applyProtection="1">
      <alignment vertical="center"/>
      <protection locked="0"/>
    </xf>
    <xf numFmtId="0" fontId="90" fillId="2" borderId="21" xfId="0" applyFont="1" applyFill="1" applyBorder="1" applyAlignment="1" applyProtection="1">
      <alignment horizontal="left" vertical="center"/>
    </xf>
    <xf numFmtId="0" fontId="16" fillId="2" borderId="0" xfId="0" applyFont="1" applyFill="1" applyBorder="1" applyProtection="1">
      <alignment vertical="center"/>
      <protection locked="0"/>
    </xf>
    <xf numFmtId="0" fontId="16" fillId="2" borderId="48" xfId="0" applyFont="1" applyFill="1" applyBorder="1" applyProtection="1">
      <alignment vertical="center"/>
      <protection locked="0"/>
    </xf>
    <xf numFmtId="0" fontId="16" fillId="2" borderId="105" xfId="0" applyFont="1" applyFill="1" applyBorder="1" applyProtection="1">
      <alignment vertical="center"/>
    </xf>
    <xf numFmtId="0" fontId="90" fillId="2" borderId="32" xfId="0" applyFont="1" applyFill="1" applyBorder="1" applyAlignment="1" applyProtection="1">
      <alignment horizontal="left" vertical="center"/>
    </xf>
    <xf numFmtId="0" fontId="16" fillId="2" borderId="17" xfId="0" applyFont="1" applyFill="1" applyBorder="1" applyProtection="1">
      <alignment vertical="center"/>
    </xf>
    <xf numFmtId="0" fontId="16" fillId="2" borderId="67" xfId="0" applyFont="1" applyFill="1" applyBorder="1" applyProtection="1">
      <alignment vertical="center"/>
    </xf>
    <xf numFmtId="0" fontId="148" fillId="2" borderId="98" xfId="0" applyFont="1" applyFill="1" applyBorder="1" applyAlignment="1" applyProtection="1">
      <alignment horizontal="center" vertical="center" wrapText="1"/>
    </xf>
    <xf numFmtId="0" fontId="148" fillId="2" borderId="45" xfId="0" applyFont="1" applyFill="1" applyBorder="1" applyAlignment="1" applyProtection="1">
      <alignment horizontal="center" vertical="center" wrapText="1"/>
    </xf>
    <xf numFmtId="0" fontId="94" fillId="2" borderId="0" xfId="0" applyFont="1" applyFill="1" applyBorder="1" applyAlignment="1" applyProtection="1">
      <alignment horizontal="center" vertical="center"/>
      <protection locked="0"/>
    </xf>
    <xf numFmtId="0" fontId="148" fillId="2" borderId="93" xfId="0" applyFont="1" applyFill="1" applyBorder="1" applyAlignment="1" applyProtection="1">
      <alignment horizontal="center" vertical="center" wrapText="1"/>
    </xf>
    <xf numFmtId="0" fontId="148" fillId="2" borderId="48" xfId="0" applyFont="1" applyFill="1" applyBorder="1" applyAlignment="1" applyProtection="1">
      <alignment horizontal="center" vertical="center" wrapText="1"/>
    </xf>
    <xf numFmtId="0" fontId="148" fillId="2" borderId="107" xfId="0" applyFont="1" applyFill="1" applyBorder="1" applyAlignment="1" applyProtection="1">
      <alignment horizontal="center" vertical="center" wrapText="1"/>
    </xf>
    <xf numFmtId="0" fontId="47" fillId="2" borderId="67" xfId="0" applyFont="1" applyFill="1" applyBorder="1" applyAlignment="1" applyProtection="1">
      <alignment vertical="center" wrapText="1"/>
    </xf>
    <xf numFmtId="0" fontId="148" fillId="2" borderId="106" xfId="0" applyFont="1" applyFill="1" applyBorder="1" applyAlignment="1" applyProtection="1">
      <alignment horizontal="center" vertical="center" wrapText="1"/>
    </xf>
    <xf numFmtId="0" fontId="148" fillId="2" borderId="105" xfId="0" applyFont="1" applyFill="1" applyBorder="1" applyAlignment="1" applyProtection="1">
      <alignment horizontal="center" vertical="center" wrapText="1"/>
    </xf>
    <xf numFmtId="0" fontId="149" fillId="2" borderId="105" xfId="0" applyFont="1" applyFill="1" applyBorder="1" applyAlignment="1" applyProtection="1">
      <alignment horizontal="center" vertical="center" wrapText="1"/>
    </xf>
    <xf numFmtId="0" fontId="150" fillId="2" borderId="103" xfId="0" applyFont="1" applyFill="1" applyBorder="1" applyAlignment="1" applyProtection="1">
      <alignment horizontal="center" vertical="center" wrapText="1"/>
    </xf>
    <xf numFmtId="0" fontId="150" fillId="2" borderId="104" xfId="0" applyFont="1" applyFill="1" applyBorder="1" applyAlignment="1" applyProtection="1">
      <alignment horizontal="center" vertical="center" wrapText="1"/>
    </xf>
    <xf numFmtId="0" fontId="150" fillId="2" borderId="105" xfId="0" applyFont="1" applyFill="1" applyBorder="1" applyAlignment="1" applyProtection="1">
      <alignment horizontal="center" vertical="center" wrapText="1"/>
    </xf>
    <xf numFmtId="0" fontId="151" fillId="2" borderId="67" xfId="0" applyFont="1" applyFill="1" applyBorder="1" applyAlignment="1" applyProtection="1">
      <alignment horizontal="center" vertical="center" wrapText="1"/>
    </xf>
    <xf numFmtId="0" fontId="138" fillId="2" borderId="0" xfId="0" applyFont="1" applyFill="1" applyBorder="1" applyAlignment="1" applyProtection="1">
      <alignment horizontal="center" vertical="center"/>
    </xf>
    <xf numFmtId="0" fontId="84" fillId="2" borderId="69" xfId="0" applyFont="1" applyFill="1" applyBorder="1" applyAlignment="1" applyProtection="1">
      <alignment horizontal="justify" vertical="center" wrapText="1"/>
    </xf>
    <xf numFmtId="0" fontId="84" fillId="3" borderId="41" xfId="0" applyFont="1" applyFill="1" applyBorder="1" applyAlignment="1" applyProtection="1">
      <alignment horizontal="center" vertical="center" wrapText="1"/>
    </xf>
    <xf numFmtId="0" fontId="84" fillId="2" borderId="41" xfId="0" applyFont="1" applyFill="1" applyBorder="1" applyAlignment="1" applyProtection="1">
      <alignment horizontal="center" vertical="center" wrapText="1"/>
    </xf>
    <xf numFmtId="0" fontId="84" fillId="3" borderId="5" xfId="0" applyFont="1" applyFill="1" applyBorder="1" applyAlignment="1" applyProtection="1">
      <alignment horizontal="justify" vertical="center" wrapText="1"/>
    </xf>
    <xf numFmtId="0" fontId="84" fillId="3" borderId="13" xfId="0" applyFont="1" applyFill="1" applyBorder="1" applyAlignment="1" applyProtection="1">
      <alignment horizontal="justify" vertical="center" wrapText="1"/>
    </xf>
    <xf numFmtId="0" fontId="152" fillId="2" borderId="6" xfId="0" applyFont="1" applyFill="1" applyBorder="1" applyAlignment="1" applyProtection="1">
      <alignment horizontal="center" vertical="center" wrapText="1"/>
    </xf>
    <xf numFmtId="0" fontId="152" fillId="2" borderId="1" xfId="0" applyFont="1" applyFill="1" applyBorder="1" applyAlignment="1" applyProtection="1">
      <alignment horizontal="center" vertical="center" wrapText="1"/>
    </xf>
    <xf numFmtId="182" fontId="90" fillId="2" borderId="1" xfId="0" applyNumberFormat="1" applyFont="1" applyFill="1" applyBorder="1" applyAlignment="1" applyProtection="1">
      <alignment horizontal="center" vertical="center" wrapText="1"/>
    </xf>
    <xf numFmtId="0" fontId="152" fillId="2" borderId="9" xfId="0" applyFont="1" applyFill="1" applyBorder="1" applyAlignment="1" applyProtection="1">
      <alignment horizontal="center" vertical="center" wrapText="1"/>
    </xf>
    <xf numFmtId="0" fontId="152" fillId="2" borderId="57" xfId="0" applyFont="1" applyFill="1" applyBorder="1" applyAlignment="1" applyProtection="1">
      <alignment horizontal="center" vertical="center" wrapText="1"/>
    </xf>
    <xf numFmtId="0" fontId="152" fillId="2" borderId="7" xfId="0" applyFont="1" applyFill="1" applyBorder="1" applyAlignment="1" applyProtection="1">
      <alignment horizontal="center" vertical="center" wrapText="1"/>
    </xf>
    <xf numFmtId="0" fontId="152" fillId="2" borderId="8" xfId="0" applyFont="1" applyFill="1" applyBorder="1" applyAlignment="1" applyProtection="1">
      <alignment horizontal="center" vertical="center" wrapText="1"/>
    </xf>
    <xf numFmtId="182" fontId="90" fillId="2" borderId="8" xfId="0" applyNumberFormat="1" applyFont="1" applyFill="1" applyBorder="1" applyAlignment="1" applyProtection="1">
      <alignment horizontal="center" vertical="center" wrapText="1"/>
    </xf>
    <xf numFmtId="0" fontId="16" fillId="2" borderId="80" xfId="0" applyFont="1" applyFill="1" applyBorder="1" applyProtection="1">
      <alignment vertical="center"/>
    </xf>
    <xf numFmtId="0" fontId="90" fillId="2" borderId="86" xfId="0" applyFont="1" applyFill="1" applyBorder="1" applyAlignment="1" applyProtection="1">
      <alignment horizontal="center" vertical="center" wrapText="1"/>
    </xf>
    <xf numFmtId="0" fontId="16" fillId="0" borderId="58" xfId="0" applyFont="1" applyBorder="1" applyProtection="1">
      <alignment vertical="center"/>
      <protection locked="0"/>
    </xf>
    <xf numFmtId="0" fontId="16" fillId="0" borderId="74" xfId="0" applyFont="1" applyBorder="1" applyProtection="1">
      <alignment vertical="center"/>
      <protection locked="0"/>
    </xf>
    <xf numFmtId="0" fontId="94" fillId="2" borderId="0" xfId="0" applyFont="1" applyFill="1" applyProtection="1">
      <alignment vertical="center"/>
      <protection locked="0"/>
    </xf>
    <xf numFmtId="0" fontId="16" fillId="0" borderId="81" xfId="0" applyFont="1" applyBorder="1" applyProtection="1">
      <alignment vertical="center"/>
      <protection locked="0"/>
    </xf>
    <xf numFmtId="0" fontId="16" fillId="0" borderId="89" xfId="0" applyFont="1" applyBorder="1" applyAlignment="1" applyProtection="1">
      <alignment horizontal="right" vertical="center"/>
      <protection locked="0"/>
    </xf>
    <xf numFmtId="0" fontId="147" fillId="2" borderId="0" xfId="0" applyFont="1" applyFill="1" applyBorder="1" applyAlignment="1" applyProtection="1">
      <alignment horizontal="center" vertical="center"/>
      <protection locked="0"/>
    </xf>
    <xf numFmtId="0" fontId="26" fillId="2" borderId="0" xfId="0" applyFont="1" applyFill="1" applyAlignment="1" applyProtection="1">
      <alignment horizontal="left" vertical="center"/>
    </xf>
    <xf numFmtId="0" fontId="47" fillId="2" borderId="0" xfId="0" applyFont="1" applyFill="1" applyProtection="1">
      <alignment vertical="center"/>
    </xf>
    <xf numFmtId="0" fontId="21" fillId="2" borderId="21" xfId="0" applyFont="1" applyFill="1" applyBorder="1" applyAlignment="1" applyProtection="1">
      <alignment horizontal="left" vertical="center" wrapText="1"/>
    </xf>
    <xf numFmtId="0" fontId="21" fillId="2" borderId="89" xfId="0" applyFont="1" applyFill="1" applyBorder="1" applyAlignment="1" applyProtection="1">
      <alignment horizontal="left" vertical="center" wrapText="1"/>
    </xf>
    <xf numFmtId="0" fontId="21" fillId="2" borderId="81" xfId="0" applyFont="1" applyFill="1" applyBorder="1" applyAlignment="1" applyProtection="1">
      <alignment horizontal="left" vertical="center" wrapText="1"/>
    </xf>
    <xf numFmtId="0" fontId="16" fillId="2" borderId="34" xfId="0" applyFont="1" applyFill="1" applyBorder="1" applyAlignment="1" applyProtection="1">
      <alignment horizontal="center" vertical="center"/>
    </xf>
    <xf numFmtId="0" fontId="21" fillId="2" borderId="1" xfId="0" applyFont="1" applyFill="1" applyBorder="1" applyAlignment="1" applyProtection="1">
      <alignment horizontal="left" vertical="center" wrapText="1"/>
    </xf>
    <xf numFmtId="9" fontId="16" fillId="2" borderId="14" xfId="0" applyNumberFormat="1" applyFont="1" applyFill="1" applyBorder="1" applyAlignment="1" applyProtection="1">
      <alignment horizontal="center" vertical="center"/>
    </xf>
    <xf numFmtId="0" fontId="16" fillId="2" borderId="22" xfId="0" applyFont="1" applyFill="1" applyBorder="1" applyAlignment="1" applyProtection="1">
      <alignment horizontal="left" vertical="center" wrapText="1"/>
    </xf>
    <xf numFmtId="10" fontId="16" fillId="2" borderId="3" xfId="0" applyNumberFormat="1" applyFont="1" applyFill="1" applyBorder="1" applyAlignment="1" applyProtection="1">
      <alignment horizontal="center" vertical="center"/>
    </xf>
    <xf numFmtId="0" fontId="18" fillId="0" borderId="14" xfId="0" applyFont="1" applyFill="1" applyBorder="1" applyAlignment="1" applyProtection="1">
      <alignment vertical="center" wrapText="1"/>
      <protection locked="0"/>
    </xf>
    <xf numFmtId="0" fontId="16" fillId="3" borderId="11" xfId="0" applyFont="1" applyFill="1" applyBorder="1" applyAlignment="1" applyProtection="1">
      <alignment horizontal="center" vertical="center"/>
      <protection locked="0"/>
    </xf>
    <xf numFmtId="0" fontId="16" fillId="2" borderId="22" xfId="0" applyFont="1" applyFill="1" applyBorder="1" applyAlignment="1" applyProtection="1">
      <alignment horizontal="right" vertical="center" wrapText="1"/>
    </xf>
    <xf numFmtId="0" fontId="16" fillId="2" borderId="18" xfId="0" applyFont="1" applyFill="1" applyBorder="1" applyAlignment="1" applyProtection="1">
      <alignment vertical="center"/>
    </xf>
    <xf numFmtId="0" fontId="16" fillId="2" borderId="9" xfId="0" applyFont="1" applyFill="1" applyBorder="1" applyAlignment="1" applyProtection="1">
      <alignment horizontal="center" vertical="center" wrapText="1"/>
    </xf>
    <xf numFmtId="0" fontId="16" fillId="2" borderId="74" xfId="0" applyFont="1" applyFill="1" applyBorder="1" applyAlignment="1" applyProtection="1">
      <alignment horizontal="center" vertical="center"/>
    </xf>
    <xf numFmtId="0" fontId="16" fillId="2" borderId="57" xfId="0" applyFont="1" applyFill="1" applyBorder="1" applyAlignment="1" applyProtection="1">
      <alignment horizontal="center" vertical="center"/>
    </xf>
    <xf numFmtId="0" fontId="124" fillId="8" borderId="0" xfId="0" applyFont="1" applyFill="1" applyAlignment="1" applyProtection="1">
      <alignment horizontal="left" vertical="center"/>
    </xf>
    <xf numFmtId="0" fontId="16" fillId="2" borderId="68" xfId="0" applyFont="1" applyFill="1" applyBorder="1" applyAlignment="1" applyProtection="1">
      <alignment horizontal="right" vertical="center" wrapText="1"/>
    </xf>
    <xf numFmtId="0" fontId="16" fillId="2" borderId="20" xfId="0" applyFont="1" applyFill="1" applyBorder="1" applyAlignment="1" applyProtection="1">
      <alignment vertical="center"/>
    </xf>
    <xf numFmtId="0" fontId="16" fillId="2" borderId="35" xfId="0" applyFont="1" applyFill="1" applyBorder="1" applyAlignment="1" applyProtection="1">
      <alignment horizontal="center" vertical="center" wrapText="1"/>
    </xf>
    <xf numFmtId="0" fontId="16" fillId="2" borderId="74" xfId="0" applyFont="1" applyFill="1" applyBorder="1" applyProtection="1">
      <alignment vertical="center"/>
    </xf>
    <xf numFmtId="0" fontId="16" fillId="2" borderId="73" xfId="0" applyFont="1" applyFill="1" applyBorder="1" applyAlignment="1" applyProtection="1">
      <alignment horizontal="center" vertical="center"/>
    </xf>
    <xf numFmtId="0" fontId="16" fillId="8" borderId="0" xfId="0" applyFont="1" applyFill="1" applyAlignment="1" applyProtection="1">
      <alignment horizontal="left" vertical="center"/>
    </xf>
    <xf numFmtId="0" fontId="16" fillId="2" borderId="29" xfId="0" applyFont="1" applyFill="1" applyBorder="1" applyAlignment="1" applyProtection="1">
      <alignment horizontal="right" vertical="center" wrapText="1"/>
    </xf>
    <xf numFmtId="0" fontId="16" fillId="2" borderId="34" xfId="0" applyFont="1" applyFill="1" applyBorder="1" applyAlignment="1" applyProtection="1">
      <alignment vertical="center"/>
    </xf>
    <xf numFmtId="0" fontId="16" fillId="2" borderId="3" xfId="0" applyFont="1" applyFill="1" applyBorder="1" applyAlignment="1" applyProtection="1">
      <alignment horizontal="center" vertical="center" wrapText="1"/>
    </xf>
    <xf numFmtId="0" fontId="16" fillId="2" borderId="72" xfId="0" applyFont="1" applyFill="1" applyBorder="1" applyAlignment="1" applyProtection="1">
      <alignment horizontal="center" vertical="center"/>
    </xf>
    <xf numFmtId="0" fontId="16" fillId="2" borderId="6" xfId="0" applyFont="1" applyFill="1" applyBorder="1" applyAlignment="1" applyProtection="1">
      <alignment horizontal="right" vertical="center" wrapText="1"/>
    </xf>
    <xf numFmtId="10" fontId="16" fillId="2" borderId="1" xfId="0" applyNumberFormat="1" applyFont="1" applyFill="1" applyBorder="1" applyAlignment="1" applyProtection="1">
      <alignment horizontal="center" vertical="center"/>
    </xf>
    <xf numFmtId="0" fontId="16" fillId="2" borderId="14" xfId="0" applyFont="1" applyFill="1" applyBorder="1" applyProtection="1">
      <alignment vertical="center"/>
    </xf>
    <xf numFmtId="0" fontId="16" fillId="2" borderId="11" xfId="0" applyFont="1" applyFill="1" applyBorder="1" applyAlignment="1" applyProtection="1">
      <alignment horizontal="left" vertical="center" wrapText="1"/>
    </xf>
    <xf numFmtId="0" fontId="18" fillId="2" borderId="0" xfId="0" applyFont="1" applyFill="1" applyProtection="1">
      <alignment vertical="center"/>
    </xf>
    <xf numFmtId="0" fontId="16" fillId="2" borderId="6" xfId="0" applyFont="1" applyFill="1" applyBorder="1" applyAlignment="1" applyProtection="1">
      <alignment horizontal="left" vertical="center" wrapText="1"/>
    </xf>
    <xf numFmtId="0" fontId="16" fillId="2" borderId="10" xfId="0" applyFont="1" applyFill="1" applyBorder="1" applyAlignment="1" applyProtection="1">
      <alignment horizontal="right" vertical="center"/>
    </xf>
    <xf numFmtId="0" fontId="94" fillId="0" borderId="14" xfId="0" applyFont="1" applyFill="1" applyBorder="1" applyAlignment="1" applyProtection="1">
      <alignment vertical="center" wrapText="1"/>
      <protection locked="0"/>
    </xf>
    <xf numFmtId="0" fontId="16" fillId="5" borderId="11"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right" vertical="center"/>
    </xf>
    <xf numFmtId="0" fontId="16" fillId="2" borderId="0" xfId="0" applyFont="1" applyFill="1" applyBorder="1" applyAlignment="1" applyProtection="1">
      <alignment horizontal="center" vertical="center" wrapText="1"/>
    </xf>
    <xf numFmtId="0" fontId="16" fillId="2" borderId="7" xfId="0" applyFont="1" applyFill="1" applyBorder="1" applyAlignment="1" applyProtection="1">
      <alignment horizontal="left" vertical="center" wrapText="1"/>
    </xf>
    <xf numFmtId="0" fontId="16" fillId="2" borderId="8" xfId="0" applyFont="1" applyFill="1" applyBorder="1" applyAlignment="1" applyProtection="1">
      <alignment horizontal="left" vertical="center" wrapText="1"/>
    </xf>
    <xf numFmtId="0" fontId="16" fillId="8" borderId="42" xfId="0" applyFont="1" applyFill="1" applyBorder="1" applyAlignment="1" applyProtection="1">
      <alignment horizontal="right" vertical="center"/>
    </xf>
    <xf numFmtId="0" fontId="16" fillId="8" borderId="8" xfId="0" applyFont="1" applyFill="1" applyBorder="1" applyAlignment="1" applyProtection="1">
      <alignment horizontal="center" vertical="center" wrapText="1"/>
    </xf>
    <xf numFmtId="10" fontId="16" fillId="8" borderId="8" xfId="0" applyNumberFormat="1" applyFont="1" applyFill="1" applyBorder="1" applyAlignment="1" applyProtection="1">
      <alignment horizontal="center" vertical="center"/>
    </xf>
    <xf numFmtId="0" fontId="94" fillId="0" borderId="15" xfId="0" applyFont="1" applyFill="1" applyBorder="1" applyAlignment="1" applyProtection="1">
      <alignment vertical="center" wrapText="1"/>
      <protection locked="0"/>
    </xf>
    <xf numFmtId="0" fontId="124" fillId="8" borderId="11" xfId="0" applyFont="1" applyFill="1" applyBorder="1" applyAlignment="1" applyProtection="1">
      <alignment horizontal="left" vertical="center" wrapText="1"/>
      <protection locked="0"/>
    </xf>
    <xf numFmtId="0" fontId="16" fillId="2" borderId="0" xfId="0" applyFont="1" applyFill="1" applyBorder="1" applyAlignment="1" applyProtection="1">
      <alignment horizontal="left" vertical="center" wrapText="1"/>
    </xf>
    <xf numFmtId="0" fontId="16" fillId="2" borderId="0" xfId="0" applyFont="1" applyFill="1" applyBorder="1" applyAlignment="1" applyProtection="1">
      <alignment horizontal="center" vertical="center"/>
    </xf>
    <xf numFmtId="0" fontId="21" fillId="2" borderId="17" xfId="0" applyFont="1" applyFill="1" applyBorder="1" applyAlignment="1" applyProtection="1">
      <alignment horizontal="center" vertical="center"/>
    </xf>
    <xf numFmtId="0" fontId="20" fillId="2" borderId="4" xfId="0" applyFont="1" applyFill="1" applyBorder="1" applyAlignment="1" applyProtection="1">
      <alignment horizontal="center" vertical="center" wrapText="1"/>
    </xf>
    <xf numFmtId="0" fontId="20" fillId="2" borderId="5" xfId="0" applyFont="1" applyFill="1" applyBorder="1" applyAlignment="1" applyProtection="1">
      <alignment horizontal="center" vertical="center" wrapText="1"/>
    </xf>
    <xf numFmtId="0" fontId="16" fillId="2" borderId="13" xfId="0" applyFont="1" applyFill="1" applyBorder="1" applyAlignment="1" applyProtection="1">
      <alignment horizontal="left" vertical="center" wrapText="1"/>
    </xf>
    <xf numFmtId="49" fontId="21" fillId="2" borderId="6" xfId="0" applyNumberFormat="1"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178" fontId="20" fillId="2" borderId="3" xfId="0" applyNumberFormat="1" applyFont="1" applyFill="1" applyBorder="1" applyAlignment="1" applyProtection="1">
      <alignment horizontal="center" vertical="center" wrapText="1"/>
    </xf>
    <xf numFmtId="0" fontId="20" fillId="2" borderId="3" xfId="0" applyFont="1" applyFill="1" applyBorder="1" applyAlignment="1" applyProtection="1">
      <alignment horizontal="center" vertical="center" wrapText="1"/>
    </xf>
    <xf numFmtId="0" fontId="16" fillId="2" borderId="72"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178" fontId="17" fillId="2" borderId="1" xfId="0" applyNumberFormat="1" applyFont="1" applyFill="1" applyBorder="1" applyAlignment="1" applyProtection="1">
      <alignment horizontal="center" vertical="center" wrapText="1"/>
    </xf>
    <xf numFmtId="0" fontId="16" fillId="2" borderId="14" xfId="0" applyFont="1" applyFill="1" applyBorder="1" applyAlignment="1" applyProtection="1">
      <alignment horizontal="left" vertical="center" wrapText="1"/>
    </xf>
    <xf numFmtId="178" fontId="17" fillId="0" borderId="1" xfId="0" applyNumberFormat="1" applyFont="1" applyFill="1" applyBorder="1" applyAlignment="1" applyProtection="1">
      <alignment horizontal="center" vertical="center" wrapText="1"/>
      <protection locked="0"/>
    </xf>
    <xf numFmtId="0" fontId="20" fillId="2"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xf>
    <xf numFmtId="0" fontId="94" fillId="2" borderId="14" xfId="0" applyFont="1" applyFill="1" applyBorder="1" applyAlignment="1" applyProtection="1">
      <alignment horizontal="left" vertical="center"/>
    </xf>
    <xf numFmtId="178" fontId="20" fillId="2" borderId="1" xfId="0" applyNumberFormat="1" applyFont="1" applyFill="1" applyBorder="1" applyAlignment="1" applyProtection="1">
      <alignment horizontal="center" vertical="center" wrapText="1"/>
    </xf>
    <xf numFmtId="49" fontId="21" fillId="2" borderId="7" xfId="0" applyNumberFormat="1" applyFont="1" applyFill="1" applyBorder="1" applyAlignment="1" applyProtection="1">
      <alignment horizontal="left" vertical="center" wrapText="1"/>
    </xf>
    <xf numFmtId="0" fontId="20" fillId="2" borderId="8" xfId="0" applyFont="1" applyFill="1" applyBorder="1" applyAlignment="1" applyProtection="1">
      <alignment horizontal="left" vertical="center" wrapText="1"/>
    </xf>
    <xf numFmtId="178" fontId="20" fillId="2" borderId="8" xfId="0" applyNumberFormat="1" applyFont="1" applyFill="1" applyBorder="1" applyAlignment="1" applyProtection="1">
      <alignment horizontal="center" vertical="center" wrapText="1"/>
    </xf>
    <xf numFmtId="10" fontId="17" fillId="2" borderId="8" xfId="0" applyNumberFormat="1" applyFont="1" applyFill="1" applyBorder="1" applyAlignment="1" applyProtection="1">
      <alignment horizontal="center" vertical="center" wrapText="1"/>
    </xf>
    <xf numFmtId="0" fontId="16" fillId="2" borderId="15" xfId="0" applyFont="1" applyFill="1" applyBorder="1" applyAlignment="1" applyProtection="1">
      <alignment horizontal="left" vertical="center"/>
    </xf>
    <xf numFmtId="49" fontId="21" fillId="2" borderId="21" xfId="0" applyNumberFormat="1" applyFont="1" applyFill="1" applyBorder="1" applyAlignment="1" applyProtection="1">
      <alignment horizontal="left" vertical="center" wrapText="1"/>
    </xf>
    <xf numFmtId="0" fontId="20" fillId="2" borderId="0" xfId="0" applyFont="1" applyFill="1" applyBorder="1" applyAlignment="1" applyProtection="1">
      <alignment horizontal="left" vertical="center" wrapText="1"/>
    </xf>
    <xf numFmtId="178" fontId="20" fillId="2" borderId="0" xfId="0" applyNumberFormat="1" applyFont="1" applyFill="1" applyBorder="1" applyAlignment="1" applyProtection="1">
      <alignment horizontal="center" vertical="center" wrapText="1"/>
    </xf>
    <xf numFmtId="10" fontId="17" fillId="2" borderId="0" xfId="0" applyNumberFormat="1" applyFont="1" applyFill="1" applyBorder="1" applyAlignment="1" applyProtection="1">
      <alignment horizontal="center" vertical="center" wrapText="1"/>
    </xf>
    <xf numFmtId="0" fontId="16" fillId="2" borderId="0" xfId="0" applyFont="1" applyFill="1" applyBorder="1" applyAlignment="1" applyProtection="1">
      <alignment horizontal="left" vertical="center"/>
    </xf>
    <xf numFmtId="0" fontId="20" fillId="2" borderId="21" xfId="0" applyFont="1" applyFill="1" applyBorder="1" applyAlignment="1" applyProtection="1">
      <alignment horizontal="center" vertical="center" wrapText="1"/>
    </xf>
    <xf numFmtId="0" fontId="20" fillId="2" borderId="0" xfId="0" applyFont="1" applyFill="1" applyBorder="1" applyAlignment="1" applyProtection="1">
      <alignment horizontal="center" vertical="center" wrapText="1"/>
    </xf>
    <xf numFmtId="0" fontId="16" fillId="2" borderId="39" xfId="0" applyFont="1" applyFill="1" applyBorder="1" applyAlignment="1" applyProtection="1">
      <alignment horizontal="left" vertical="center" wrapText="1"/>
    </xf>
    <xf numFmtId="0" fontId="16" fillId="2" borderId="78" xfId="0" applyFont="1" applyFill="1" applyBorder="1" applyAlignment="1" applyProtection="1">
      <alignment horizontal="left" vertical="center" wrapText="1"/>
    </xf>
    <xf numFmtId="0" fontId="28" fillId="2" borderId="44" xfId="60" applyFont="1" applyFill="1" applyBorder="1" applyAlignment="1" applyProtection="1">
      <alignment horizontal="left" vertical="center" wrapText="1"/>
    </xf>
    <xf numFmtId="0" fontId="28" fillId="2" borderId="46" xfId="60" applyFont="1" applyFill="1" applyBorder="1" applyAlignment="1" applyProtection="1">
      <alignment horizontal="left" vertical="center" wrapText="1"/>
    </xf>
    <xf numFmtId="49" fontId="16" fillId="2" borderId="6" xfId="0" applyNumberFormat="1" applyFont="1" applyFill="1" applyBorder="1" applyAlignment="1" applyProtection="1">
      <alignment vertical="center" wrapText="1"/>
    </xf>
    <xf numFmtId="0" fontId="28" fillId="2" borderId="1" xfId="60" applyFont="1" applyFill="1" applyBorder="1" applyAlignment="1" applyProtection="1">
      <alignment horizontal="left" vertical="center" wrapText="1"/>
    </xf>
    <xf numFmtId="0" fontId="28" fillId="5" borderId="1" xfId="60" applyFont="1" applyFill="1" applyBorder="1" applyAlignment="1" applyProtection="1">
      <alignment horizontal="center" vertical="center" wrapText="1"/>
      <protection locked="0"/>
    </xf>
    <xf numFmtId="178" fontId="17" fillId="0" borderId="14" xfId="0" applyNumberFormat="1" applyFont="1" applyFill="1" applyBorder="1" applyAlignment="1" applyProtection="1">
      <alignment horizontal="center" vertical="center" wrapText="1"/>
      <protection locked="0"/>
    </xf>
    <xf numFmtId="0" fontId="17" fillId="2" borderId="3" xfId="0" applyFont="1" applyFill="1" applyBorder="1" applyAlignment="1" applyProtection="1">
      <alignment horizontal="left" vertical="center" wrapText="1"/>
    </xf>
    <xf numFmtId="9" fontId="28" fillId="2" borderId="0" xfId="0" applyNumberFormat="1" applyFont="1" applyFill="1" applyBorder="1" applyAlignment="1" applyProtection="1">
      <alignment horizontal="center" vertical="center"/>
    </xf>
    <xf numFmtId="0" fontId="16" fillId="2" borderId="46" xfId="0" applyFont="1" applyFill="1" applyBorder="1" applyAlignment="1" applyProtection="1">
      <alignment horizontal="left" vertical="center" wrapText="1"/>
    </xf>
    <xf numFmtId="10" fontId="17" fillId="2" borderId="1" xfId="0" applyNumberFormat="1" applyFont="1" applyFill="1" applyBorder="1" applyAlignment="1" applyProtection="1">
      <alignment horizontal="center" vertical="center" wrapText="1"/>
    </xf>
    <xf numFmtId="0" fontId="28" fillId="2" borderId="12" xfId="0" applyFont="1" applyFill="1" applyBorder="1" applyAlignment="1" applyProtection="1">
      <alignment horizontal="left" vertical="center"/>
    </xf>
    <xf numFmtId="0" fontId="16" fillId="5" borderId="12" xfId="0" applyFont="1" applyFill="1" applyBorder="1" applyAlignment="1" applyProtection="1">
      <alignment horizontal="left" vertical="center" wrapText="1"/>
      <protection locked="0"/>
    </xf>
    <xf numFmtId="193" fontId="17" fillId="2" borderId="1" xfId="0" applyNumberFormat="1" applyFont="1" applyFill="1" applyBorder="1" applyAlignment="1" applyProtection="1">
      <alignment horizontal="center" vertical="center" wrapText="1"/>
    </xf>
    <xf numFmtId="10" fontId="21" fillId="2" borderId="10" xfId="0" applyNumberFormat="1" applyFont="1" applyFill="1" applyBorder="1" applyAlignment="1" applyProtection="1">
      <alignment horizontal="center" vertical="center" wrapText="1"/>
    </xf>
    <xf numFmtId="10" fontId="71" fillId="2" borderId="10" xfId="0" applyNumberFormat="1" applyFont="1" applyFill="1" applyBorder="1" applyAlignment="1" applyProtection="1">
      <alignment horizontal="left" vertical="center" wrapText="1"/>
    </xf>
    <xf numFmtId="10" fontId="16" fillId="2" borderId="12" xfId="0" applyNumberFormat="1" applyFont="1" applyFill="1" applyBorder="1" applyAlignment="1" applyProtection="1">
      <alignment horizontal="left" vertical="center" wrapText="1"/>
    </xf>
    <xf numFmtId="10" fontId="16" fillId="2" borderId="46" xfId="0" applyNumberFormat="1" applyFont="1" applyFill="1" applyBorder="1" applyAlignment="1" applyProtection="1">
      <alignment horizontal="left" vertical="center" wrapText="1"/>
    </xf>
    <xf numFmtId="49" fontId="23" fillId="2" borderId="6" xfId="0" applyNumberFormat="1" applyFont="1" applyFill="1" applyBorder="1" applyAlignment="1" applyProtection="1">
      <alignment vertical="center" wrapText="1"/>
    </xf>
    <xf numFmtId="177" fontId="20" fillId="2" borderId="1"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vertical="center" wrapText="1"/>
    </xf>
    <xf numFmtId="0" fontId="21" fillId="2" borderId="8" xfId="0" applyFont="1" applyFill="1" applyBorder="1" applyAlignment="1" applyProtection="1">
      <alignment horizontal="center" vertical="center" wrapText="1"/>
    </xf>
    <xf numFmtId="0" fontId="17" fillId="2" borderId="8" xfId="0" applyFont="1" applyFill="1" applyBorder="1" applyAlignment="1" applyProtection="1">
      <alignment horizontal="center" vertical="center" wrapText="1"/>
    </xf>
    <xf numFmtId="0" fontId="16" fillId="2" borderId="42" xfId="0" applyFont="1" applyFill="1" applyBorder="1" applyAlignment="1" applyProtection="1">
      <alignment horizontal="left" vertical="center"/>
    </xf>
    <xf numFmtId="0" fontId="16" fillId="2" borderId="79" xfId="0" applyFont="1" applyFill="1" applyBorder="1" applyAlignment="1" applyProtection="1">
      <alignment horizontal="left" vertical="center" wrapText="1"/>
    </xf>
    <xf numFmtId="0" fontId="28" fillId="2" borderId="53" xfId="60" applyFont="1" applyFill="1" applyBorder="1" applyAlignment="1" applyProtection="1">
      <alignment horizontal="left" vertical="center" wrapText="1"/>
    </xf>
    <xf numFmtId="0" fontId="47" fillId="2" borderId="0" xfId="0" applyFont="1" applyFill="1" applyAlignment="1" applyProtection="1">
      <alignment vertical="center"/>
    </xf>
    <xf numFmtId="0" fontId="47" fillId="2" borderId="0" xfId="0" applyFont="1" applyFill="1" applyAlignment="1" applyProtection="1">
      <alignment horizontal="left" vertical="center"/>
    </xf>
    <xf numFmtId="0" fontId="47" fillId="2" borderId="0" xfId="60" applyFont="1" applyFill="1" applyAlignment="1" applyProtection="1">
      <alignment horizontal="left"/>
    </xf>
    <xf numFmtId="0" fontId="16" fillId="2" borderId="44" xfId="60" applyFont="1" applyFill="1" applyBorder="1" applyAlignment="1" applyProtection="1">
      <alignment horizontal="left" vertical="center" wrapText="1"/>
    </xf>
    <xf numFmtId="0" fontId="16" fillId="2" borderId="46" xfId="60" applyFont="1" applyFill="1" applyBorder="1" applyAlignment="1" applyProtection="1">
      <alignment horizontal="left" vertical="center" wrapText="1"/>
    </xf>
    <xf numFmtId="0" fontId="17" fillId="2" borderId="10" xfId="0" applyFont="1" applyFill="1" applyBorder="1" applyAlignment="1" applyProtection="1">
      <alignment horizontal="center" vertical="center" wrapText="1"/>
    </xf>
    <xf numFmtId="10" fontId="16" fillId="2" borderId="10" xfId="0" applyNumberFormat="1" applyFont="1" applyFill="1" applyBorder="1" applyAlignment="1" applyProtection="1">
      <alignment horizontal="left" vertical="center" wrapText="1"/>
    </xf>
    <xf numFmtId="193" fontId="17" fillId="0" borderId="1" xfId="0" applyNumberFormat="1" applyFont="1" applyFill="1" applyBorder="1" applyAlignment="1" applyProtection="1">
      <alignment horizontal="center" vertical="center" wrapText="1"/>
      <protection locked="0"/>
    </xf>
    <xf numFmtId="10" fontId="16" fillId="2" borderId="10" xfId="0" applyNumberFormat="1" applyFont="1" applyFill="1" applyBorder="1" applyAlignment="1" applyProtection="1">
      <alignment horizontal="left" vertical="center"/>
    </xf>
    <xf numFmtId="0" fontId="153" fillId="2" borderId="0" xfId="0" applyFont="1" applyFill="1" applyBorder="1" applyAlignment="1" applyProtection="1">
      <alignment horizontal="left" vertical="center"/>
    </xf>
    <xf numFmtId="10" fontId="16" fillId="5" borderId="46" xfId="0" applyNumberFormat="1" applyFont="1" applyFill="1" applyBorder="1" applyAlignment="1" applyProtection="1">
      <alignment horizontal="left" vertical="center" wrapText="1"/>
      <protection locked="0"/>
    </xf>
    <xf numFmtId="10" fontId="124" fillId="2" borderId="1" xfId="0" applyNumberFormat="1" applyFont="1" applyFill="1" applyBorder="1" applyAlignment="1" applyProtection="1">
      <alignment horizontal="left" vertical="center" wrapText="1"/>
    </xf>
    <xf numFmtId="10" fontId="16" fillId="2" borderId="1" xfId="0" applyNumberFormat="1" applyFont="1" applyFill="1" applyBorder="1" applyAlignment="1" applyProtection="1">
      <alignment horizontal="left" vertical="center" wrapText="1"/>
    </xf>
    <xf numFmtId="49" fontId="124" fillId="2" borderId="6" xfId="0" applyNumberFormat="1" applyFont="1" applyFill="1" applyBorder="1" applyAlignment="1" applyProtection="1">
      <alignment vertical="center" wrapText="1"/>
    </xf>
    <xf numFmtId="10" fontId="24" fillId="3" borderId="46" xfId="0" applyNumberFormat="1" applyFont="1" applyFill="1" applyBorder="1" applyAlignment="1" applyProtection="1">
      <alignment horizontal="left" vertical="center" wrapText="1"/>
      <protection locked="0"/>
    </xf>
    <xf numFmtId="10" fontId="21" fillId="8" borderId="10" xfId="0" applyNumberFormat="1" applyFont="1" applyFill="1" applyBorder="1" applyAlignment="1" applyProtection="1">
      <alignment horizontal="center" vertical="center" wrapText="1"/>
      <protection locked="0"/>
    </xf>
    <xf numFmtId="0" fontId="16" fillId="2" borderId="53" xfId="60" applyFont="1" applyFill="1" applyBorder="1" applyAlignment="1" applyProtection="1">
      <alignment horizontal="left" vertical="center" wrapText="1"/>
    </xf>
    <xf numFmtId="0" fontId="26" fillId="2" borderId="10" xfId="0" applyFont="1" applyFill="1" applyBorder="1" applyAlignment="1" applyProtection="1">
      <alignment horizontal="center" vertical="center" wrapText="1"/>
    </xf>
    <xf numFmtId="0" fontId="26" fillId="2" borderId="12" xfId="0" applyFont="1" applyFill="1" applyBorder="1" applyAlignment="1" applyProtection="1">
      <alignment horizontal="center" vertical="center" wrapText="1"/>
    </xf>
    <xf numFmtId="0" fontId="26" fillId="2" borderId="54" xfId="0" applyFont="1" applyFill="1" applyBorder="1" applyAlignment="1" applyProtection="1">
      <alignment horizontal="left" vertical="center" wrapText="1"/>
    </xf>
    <xf numFmtId="0" fontId="26" fillId="2" borderId="54"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9" fontId="16" fillId="2" borderId="0" xfId="0" applyNumberFormat="1" applyFont="1" applyFill="1" applyAlignment="1" applyProtection="1">
      <alignment horizontal="center" vertical="center"/>
      <protection locked="0"/>
    </xf>
    <xf numFmtId="0" fontId="72" fillId="2" borderId="3" xfId="0"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wrapText="1"/>
    </xf>
    <xf numFmtId="0" fontId="26" fillId="2" borderId="34" xfId="0" applyFont="1" applyFill="1" applyBorder="1" applyAlignment="1" applyProtection="1">
      <alignment horizontal="center" vertical="center" wrapText="1"/>
    </xf>
    <xf numFmtId="0" fontId="154" fillId="0" borderId="10" xfId="0" applyFont="1" applyFill="1" applyBorder="1" applyAlignment="1" applyProtection="1">
      <alignment horizontal="center" vertical="center" wrapText="1"/>
      <protection locked="0"/>
    </xf>
    <xf numFmtId="0" fontId="154" fillId="0" borderId="12" xfId="0" applyFont="1" applyFill="1" applyBorder="1" applyAlignment="1" applyProtection="1">
      <alignment horizontal="center" vertical="center" wrapText="1"/>
      <protection locked="0"/>
    </xf>
    <xf numFmtId="0" fontId="154" fillId="0" borderId="11" xfId="0" applyFont="1" applyFill="1" applyBorder="1" applyAlignment="1" applyProtection="1">
      <alignment horizontal="center" vertical="center" wrapText="1"/>
      <protection locked="0"/>
    </xf>
    <xf numFmtId="10" fontId="16" fillId="8" borderId="0" xfId="0" applyNumberFormat="1" applyFont="1" applyFill="1" applyAlignment="1" applyProtection="1">
      <alignment horizontal="center" vertical="center"/>
    </xf>
    <xf numFmtId="10" fontId="16" fillId="2" borderId="0" xfId="0" applyNumberFormat="1" applyFont="1" applyFill="1" applyAlignment="1" applyProtection="1">
      <alignment horizontal="center" vertical="center"/>
      <protection locked="0"/>
    </xf>
    <xf numFmtId="0" fontId="72" fillId="2" borderId="1"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194" fontId="154" fillId="2" borderId="3" xfId="0" applyNumberFormat="1" applyFont="1" applyFill="1" applyBorder="1" applyAlignment="1" applyProtection="1">
      <alignment horizontal="center" vertical="center" wrapText="1"/>
    </xf>
    <xf numFmtId="0" fontId="154" fillId="2" borderId="1" xfId="0" applyFont="1" applyFill="1" applyBorder="1" applyAlignment="1" applyProtection="1">
      <alignment horizontal="center" vertical="center" wrapText="1"/>
    </xf>
    <xf numFmtId="0" fontId="72" fillId="2" borderId="9" xfId="0" applyFont="1" applyFill="1" applyBorder="1" applyAlignment="1" applyProtection="1">
      <alignment horizontal="center" vertical="center" wrapText="1"/>
    </xf>
    <xf numFmtId="0" fontId="76" fillId="2" borderId="9" xfId="0"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wrapText="1"/>
    </xf>
    <xf numFmtId="0" fontId="154" fillId="2" borderId="9" xfId="0" applyFont="1" applyFill="1" applyBorder="1" applyAlignment="1" applyProtection="1">
      <alignment horizontal="center" vertical="center" wrapText="1"/>
    </xf>
    <xf numFmtId="10" fontId="16" fillId="2" borderId="0" xfId="0" applyNumberFormat="1" applyFont="1" applyFill="1" applyAlignment="1" applyProtection="1">
      <alignment horizontal="center" vertical="center"/>
    </xf>
    <xf numFmtId="0" fontId="99" fillId="2" borderId="10" xfId="0" applyFont="1" applyFill="1" applyBorder="1" applyAlignment="1" applyProtection="1">
      <alignment horizontal="center" vertical="center" wrapText="1"/>
    </xf>
    <xf numFmtId="0" fontId="99" fillId="2" borderId="12" xfId="0" applyFont="1" applyFill="1" applyBorder="1" applyAlignment="1" applyProtection="1">
      <alignment horizontal="center" vertical="center" wrapText="1"/>
    </xf>
    <xf numFmtId="0" fontId="99" fillId="2" borderId="12" xfId="0" applyFont="1" applyFill="1" applyBorder="1" applyAlignment="1" applyProtection="1">
      <alignment horizontal="center" vertical="center"/>
    </xf>
    <xf numFmtId="0" fontId="99" fillId="2" borderId="11" xfId="0" applyFont="1" applyFill="1" applyBorder="1" applyAlignment="1" applyProtection="1">
      <alignment horizontal="center" vertical="center" wrapText="1"/>
    </xf>
    <xf numFmtId="0" fontId="99" fillId="2" borderId="3" xfId="0" applyFont="1" applyFill="1" applyBorder="1" applyAlignment="1" applyProtection="1">
      <alignment horizontal="center" vertical="center" wrapText="1"/>
    </xf>
    <xf numFmtId="0" fontId="155" fillId="2" borderId="1" xfId="0" applyFont="1" applyFill="1" applyBorder="1" applyAlignment="1" applyProtection="1">
      <alignment horizontal="center" vertical="center" wrapText="1"/>
    </xf>
    <xf numFmtId="10" fontId="155" fillId="2" borderId="1" xfId="0" applyNumberFormat="1" applyFont="1" applyFill="1" applyBorder="1" applyAlignment="1" applyProtection="1">
      <alignment horizontal="center" vertical="center"/>
    </xf>
    <xf numFmtId="9" fontId="155" fillId="2" borderId="1" xfId="0" applyNumberFormat="1" applyFont="1" applyFill="1" applyBorder="1" applyAlignment="1" applyProtection="1">
      <alignment horizontal="center" vertical="center"/>
    </xf>
    <xf numFmtId="0" fontId="155" fillId="2" borderId="9" xfId="0" applyFont="1" applyFill="1" applyBorder="1" applyAlignment="1" applyProtection="1">
      <alignment horizontal="center" vertical="center" wrapText="1"/>
    </xf>
    <xf numFmtId="9" fontId="155" fillId="2" borderId="9" xfId="0" applyNumberFormat="1" applyFont="1" applyFill="1" applyBorder="1" applyAlignment="1" applyProtection="1">
      <alignment horizontal="center" vertical="center"/>
    </xf>
    <xf numFmtId="0" fontId="71" fillId="2" borderId="10" xfId="0" applyFont="1" applyFill="1" applyBorder="1" applyAlignment="1" applyProtection="1">
      <alignment horizontal="center" vertical="center"/>
    </xf>
    <xf numFmtId="0" fontId="71" fillId="2" borderId="12" xfId="0" applyFont="1" applyFill="1" applyBorder="1" applyAlignment="1" applyProtection="1">
      <alignment horizontal="center" vertical="center"/>
    </xf>
    <xf numFmtId="0" fontId="71" fillId="2" borderId="10" xfId="0" applyFont="1" applyFill="1" applyBorder="1" applyAlignment="1" applyProtection="1">
      <alignment horizontal="left" vertical="center"/>
    </xf>
    <xf numFmtId="0" fontId="71" fillId="2" borderId="11" xfId="0" applyFont="1" applyFill="1" applyBorder="1" applyAlignment="1" applyProtection="1">
      <alignment horizontal="left" vertical="center"/>
    </xf>
    <xf numFmtId="0" fontId="124" fillId="8" borderId="0" xfId="0" applyFont="1" applyFill="1" applyProtection="1">
      <alignment vertical="center"/>
    </xf>
    <xf numFmtId="0" fontId="100" fillId="2" borderId="10" xfId="0" applyFont="1" applyFill="1" applyBorder="1" applyAlignment="1" applyProtection="1">
      <alignment horizontal="center" vertical="center" wrapText="1"/>
    </xf>
    <xf numFmtId="0" fontId="155" fillId="2" borderId="10" xfId="0" applyFont="1" applyFill="1" applyBorder="1" applyAlignment="1" applyProtection="1">
      <alignment vertical="center" wrapText="1"/>
    </xf>
    <xf numFmtId="0" fontId="155" fillId="2" borderId="12" xfId="0" applyFont="1" applyFill="1" applyBorder="1" applyAlignment="1" applyProtection="1">
      <alignment horizontal="center" vertical="center" wrapText="1"/>
    </xf>
    <xf numFmtId="0" fontId="155" fillId="2" borderId="11" xfId="0" applyFont="1" applyFill="1" applyBorder="1" applyAlignment="1" applyProtection="1">
      <alignment vertical="center" wrapText="1"/>
    </xf>
    <xf numFmtId="0" fontId="100" fillId="2" borderId="83" xfId="0" applyFont="1" applyFill="1" applyBorder="1" applyAlignment="1" applyProtection="1">
      <alignment horizontal="center" vertical="center" wrapText="1"/>
    </xf>
    <xf numFmtId="0" fontId="100" fillId="2" borderId="141" xfId="0" applyFont="1" applyFill="1" applyBorder="1" applyAlignment="1" applyProtection="1">
      <alignment horizontal="center" vertical="center" wrapText="1"/>
    </xf>
    <xf numFmtId="0" fontId="155" fillId="2" borderId="141" xfId="0" applyFont="1" applyFill="1" applyBorder="1" applyAlignment="1" applyProtection="1">
      <alignment vertical="center" wrapText="1"/>
    </xf>
    <xf numFmtId="0" fontId="155" fillId="2" borderId="142" xfId="0" applyFont="1" applyFill="1" applyBorder="1" applyAlignment="1" applyProtection="1">
      <alignment horizontal="center" vertical="center" wrapText="1"/>
    </xf>
    <xf numFmtId="0" fontId="155" fillId="2" borderId="100" xfId="0" applyFont="1" applyFill="1" applyBorder="1" applyAlignment="1" applyProtection="1">
      <alignment vertical="center" wrapText="1"/>
    </xf>
    <xf numFmtId="0" fontId="102" fillId="2" borderId="1" xfId="0" applyFont="1" applyFill="1" applyBorder="1" applyAlignment="1">
      <alignment horizontal="center" vertical="center" wrapText="1"/>
    </xf>
    <xf numFmtId="0" fontId="156" fillId="2" borderId="1" xfId="0" applyFont="1" applyFill="1" applyBorder="1" applyAlignment="1">
      <alignment horizontal="left" vertical="center" wrapText="1"/>
    </xf>
    <xf numFmtId="0" fontId="24" fillId="2" borderId="0" xfId="0" applyFont="1" applyFill="1" applyProtection="1">
      <alignment vertical="center"/>
      <protection locked="0"/>
    </xf>
    <xf numFmtId="0" fontId="16" fillId="2" borderId="0" xfId="60" applyFont="1" applyFill="1" applyBorder="1" applyAlignment="1" applyProtection="1">
      <alignment horizontal="left" vertical="center" wrapText="1"/>
    </xf>
    <xf numFmtId="0" fontId="16" fillId="2" borderId="0" xfId="60" applyFont="1" applyFill="1" applyBorder="1" applyAlignment="1" applyProtection="1">
      <alignment horizontal="left" vertical="center" wrapText="1"/>
      <protection locked="0"/>
    </xf>
    <xf numFmtId="0" fontId="47" fillId="2" borderId="0" xfId="0" applyFont="1" applyFill="1" applyProtection="1">
      <alignment vertical="center"/>
      <protection locked="0"/>
    </xf>
    <xf numFmtId="0" fontId="47" fillId="2" borderId="0" xfId="60" applyFont="1" applyFill="1" applyAlignment="1" applyProtection="1">
      <alignment vertical="center" wrapText="1"/>
    </xf>
    <xf numFmtId="0" fontId="47" fillId="2" borderId="0" xfId="60" applyFont="1" applyFill="1" applyAlignment="1" applyProtection="1">
      <alignment vertical="center" wrapText="1"/>
      <protection locked="0"/>
    </xf>
    <xf numFmtId="0" fontId="157" fillId="2" borderId="1" xfId="0" applyFont="1" applyFill="1" applyBorder="1" applyAlignment="1">
      <alignment vertical="center" wrapText="1"/>
    </xf>
    <xf numFmtId="177" fontId="16" fillId="2" borderId="0" xfId="0" applyNumberFormat="1" applyFont="1" applyFill="1" applyAlignment="1" applyProtection="1">
      <alignment horizontal="left" vertical="center"/>
    </xf>
    <xf numFmtId="0" fontId="47" fillId="2" borderId="0" xfId="60" applyFont="1" applyFill="1" applyProtection="1"/>
    <xf numFmtId="0" fontId="47" fillId="2" borderId="0" xfId="60" applyFont="1" applyFill="1" applyProtection="1">
      <protection locked="0"/>
    </xf>
    <xf numFmtId="0" fontId="130" fillId="6" borderId="0" xfId="0" applyFont="1" applyFill="1" applyProtection="1">
      <alignment vertical="center"/>
    </xf>
    <xf numFmtId="0" fontId="104" fillId="2" borderId="0" xfId="0" applyFont="1" applyFill="1" applyProtection="1">
      <alignment vertical="center"/>
    </xf>
    <xf numFmtId="0" fontId="85" fillId="0" borderId="6" xfId="0" applyFont="1" applyFill="1" applyBorder="1" applyProtection="1">
      <alignment vertical="center"/>
      <protection locked="0"/>
    </xf>
    <xf numFmtId="0" fontId="138" fillId="6" borderId="0" xfId="0" applyFont="1" applyFill="1" applyProtection="1">
      <alignment vertical="center"/>
    </xf>
    <xf numFmtId="0" fontId="16" fillId="6" borderId="0" xfId="0" applyFont="1" applyFill="1" applyBorder="1" applyProtection="1">
      <alignment vertical="center"/>
      <protection locked="0"/>
    </xf>
    <xf numFmtId="0" fontId="16" fillId="6" borderId="0" xfId="0" applyFont="1" applyFill="1" applyBorder="1" applyAlignment="1" applyProtection="1">
      <alignment horizontal="right" vertical="center"/>
      <protection locked="0"/>
    </xf>
    <xf numFmtId="177" fontId="16" fillId="2" borderId="0" xfId="0" applyNumberFormat="1" applyFont="1" applyFill="1" applyProtection="1">
      <alignment vertical="center"/>
    </xf>
    <xf numFmtId="0" fontId="47" fillId="0" borderId="0" xfId="0" applyFont="1" applyFill="1" applyProtection="1">
      <alignment vertical="center"/>
      <protection locked="0"/>
    </xf>
    <xf numFmtId="0" fontId="21" fillId="6" borderId="0" xfId="0" applyFont="1" applyFill="1" applyAlignment="1" applyProtection="1">
      <alignment horizontal="left" vertical="center"/>
      <protection locked="0"/>
    </xf>
    <xf numFmtId="2" fontId="16" fillId="6" borderId="0" xfId="0" applyNumberFormat="1" applyFont="1" applyFill="1" applyAlignment="1" applyProtection="1">
      <alignment vertical="center" wrapText="1"/>
      <protection locked="0"/>
    </xf>
    <xf numFmtId="0" fontId="21" fillId="6" borderId="0" xfId="0" applyFont="1" applyFill="1" applyAlignment="1" applyProtection="1">
      <alignment vertical="center" wrapText="1"/>
      <protection locked="0"/>
    </xf>
    <xf numFmtId="0" fontId="16" fillId="6" borderId="0" xfId="0" applyFont="1" applyFill="1" applyAlignment="1" applyProtection="1">
      <alignment vertical="center" wrapText="1"/>
      <protection locked="0"/>
    </xf>
    <xf numFmtId="0" fontId="0" fillId="0" borderId="0" xfId="0" applyAlignment="1" applyProtection="1">
      <alignment horizontal="left" vertical="center"/>
      <protection locked="0"/>
    </xf>
    <xf numFmtId="0" fontId="158" fillId="2" borderId="1" xfId="24" applyFont="1" applyFill="1" applyBorder="1" applyAlignment="1" applyProtection="1">
      <alignment horizontal="left" vertical="center" wrapText="1"/>
    </xf>
    <xf numFmtId="0" fontId="158" fillId="9" borderId="0" xfId="24" applyFont="1" applyFill="1" applyBorder="1" applyAlignment="1" applyProtection="1">
      <alignment horizontal="left" vertical="center" wrapText="1"/>
      <protection locked="0"/>
    </xf>
    <xf numFmtId="0" fontId="0" fillId="9" borderId="0" xfId="0" applyFill="1" applyAlignment="1" applyProtection="1">
      <alignment horizontal="left" vertical="center"/>
      <protection locked="0"/>
    </xf>
    <xf numFmtId="14" fontId="158" fillId="2" borderId="1" xfId="24" applyNumberFormat="1" applyFont="1" applyFill="1" applyBorder="1" applyAlignment="1" applyProtection="1">
      <alignment horizontal="left" vertical="center" wrapText="1"/>
    </xf>
    <xf numFmtId="0" fontId="158"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58" fillId="2" borderId="9" xfId="24" applyFont="1" applyFill="1" applyBorder="1" applyAlignment="1" applyProtection="1">
      <alignment horizontal="left" vertical="center" wrapText="1"/>
    </xf>
    <xf numFmtId="0" fontId="0" fillId="0" borderId="1" xfId="24" applyFont="1" applyFill="1" applyBorder="1" applyAlignment="1" applyProtection="1">
      <alignment horizontal="left" vertical="center"/>
      <protection locked="0"/>
    </xf>
    <xf numFmtId="0" fontId="158" fillId="0" borderId="9" xfId="24" applyFont="1" applyFill="1" applyBorder="1" applyAlignment="1" applyProtection="1">
      <alignment horizontal="left" vertical="center" wrapText="1"/>
      <protection locked="0"/>
    </xf>
    <xf numFmtId="0" fontId="0" fillId="0" borderId="1" xfId="24" applyBorder="1" applyAlignment="1" applyProtection="1">
      <alignment horizontal="left" vertical="center"/>
      <protection locked="0"/>
    </xf>
    <xf numFmtId="0" fontId="158" fillId="0" borderId="1" xfId="24" applyFont="1" applyBorder="1" applyAlignment="1" applyProtection="1">
      <alignment horizontal="left" vertical="center" wrapText="1"/>
      <protection locked="0"/>
    </xf>
    <xf numFmtId="0" fontId="159" fillId="3" borderId="1" xfId="0" applyFont="1" applyFill="1" applyBorder="1" applyAlignment="1">
      <alignment horizontal="center" vertical="center" wrapText="1"/>
    </xf>
    <xf numFmtId="0" fontId="159" fillId="3" borderId="35" xfId="0" applyFont="1" applyFill="1" applyBorder="1" applyAlignment="1">
      <alignment horizontal="center" vertical="center" wrapText="1"/>
    </xf>
    <xf numFmtId="0" fontId="0" fillId="16" borderId="1" xfId="0" applyFont="1" applyFill="1" applyBorder="1" applyAlignment="1">
      <alignment horizontal="center" vertical="center" wrapText="1"/>
    </xf>
    <xf numFmtId="0" fontId="0" fillId="16" borderId="1" xfId="0" applyFill="1" applyBorder="1" applyAlignment="1">
      <alignment horizontal="center" vertical="center" wrapText="1"/>
    </xf>
    <xf numFmtId="0" fontId="0" fillId="16" borderId="9" xfId="0" applyFill="1" applyBorder="1" applyAlignment="1">
      <alignment horizontal="center" vertical="center" wrapText="1"/>
    </xf>
    <xf numFmtId="0" fontId="0" fillId="16" borderId="9" xfId="0" applyFill="1" applyBorder="1" applyAlignment="1">
      <alignment horizontal="center" vertical="center"/>
    </xf>
    <xf numFmtId="0" fontId="0" fillId="0" borderId="20" xfId="0" applyBorder="1" applyAlignment="1">
      <alignment horizontal="center" vertical="center"/>
    </xf>
    <xf numFmtId="2" fontId="0" fillId="15" borderId="0" xfId="0" applyNumberFormat="1" applyFill="1" applyAlignment="1">
      <alignment horizontal="center" vertical="center"/>
    </xf>
    <xf numFmtId="0" fontId="0" fillId="16" borderId="35" xfId="0" applyFill="1" applyBorder="1" applyAlignment="1">
      <alignment horizontal="center" vertical="center" wrapText="1"/>
    </xf>
    <xf numFmtId="0" fontId="0" fillId="16" borderId="35" xfId="0" applyFill="1" applyBorder="1" applyAlignment="1">
      <alignment horizontal="center" vertical="center"/>
    </xf>
    <xf numFmtId="0" fontId="0" fillId="16" borderId="3" xfId="0" applyFill="1" applyBorder="1" applyAlignment="1">
      <alignment horizontal="center" vertical="center" wrapText="1"/>
    </xf>
    <xf numFmtId="0" fontId="0" fillId="16" borderId="3" xfId="0" applyFill="1" applyBorder="1" applyAlignment="1">
      <alignment horizontal="center" vertical="center"/>
    </xf>
    <xf numFmtId="0" fontId="0"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60" fillId="3" borderId="1" xfId="0" applyFont="1" applyFill="1" applyBorder="1" applyAlignment="1">
      <alignment horizontal="center" vertical="center" wrapText="1"/>
    </xf>
    <xf numFmtId="0" fontId="160" fillId="3" borderId="9" xfId="0" applyFont="1" applyFill="1" applyBorder="1" applyAlignment="1">
      <alignment horizontal="center" vertical="center" wrapText="1"/>
    </xf>
    <xf numFmtId="0" fontId="160" fillId="3" borderId="9" xfId="0" applyFont="1" applyFill="1" applyBorder="1" applyAlignment="1">
      <alignment horizontal="center" vertical="center"/>
    </xf>
    <xf numFmtId="0" fontId="160" fillId="3" borderId="35" xfId="0" applyFont="1" applyFill="1" applyBorder="1" applyAlignment="1">
      <alignment horizontal="center" vertical="center" wrapText="1"/>
    </xf>
    <xf numFmtId="0" fontId="160" fillId="3" borderId="35" xfId="0" applyFont="1" applyFill="1" applyBorder="1" applyAlignment="1">
      <alignment horizontal="center" vertical="center"/>
    </xf>
    <xf numFmtId="0" fontId="160" fillId="3" borderId="3" xfId="0" applyFont="1" applyFill="1" applyBorder="1" applyAlignment="1">
      <alignment horizontal="center" vertical="center" wrapText="1"/>
    </xf>
    <xf numFmtId="0" fontId="160" fillId="3" borderId="3" xfId="0" applyFont="1" applyFill="1" applyBorder="1" applyAlignment="1">
      <alignment horizontal="center" vertical="center"/>
    </xf>
    <xf numFmtId="0" fontId="0" fillId="17" borderId="1" xfId="0" applyFont="1" applyFill="1" applyBorder="1" applyAlignment="1">
      <alignment horizontal="center" vertical="center" wrapText="1"/>
    </xf>
    <xf numFmtId="0" fontId="0" fillId="17" borderId="1" xfId="0" applyFill="1" applyBorder="1" applyAlignment="1">
      <alignment horizontal="center" vertical="center" wrapText="1"/>
    </xf>
    <xf numFmtId="0" fontId="160" fillId="17" borderId="1" xfId="0" applyFont="1" applyFill="1" applyBorder="1" applyAlignment="1">
      <alignment horizontal="center" vertical="center" wrapText="1"/>
    </xf>
    <xf numFmtId="0" fontId="160" fillId="17" borderId="9" xfId="0" applyFont="1" applyFill="1" applyBorder="1" applyAlignment="1">
      <alignment horizontal="center" vertical="center" wrapText="1"/>
    </xf>
    <xf numFmtId="0" fontId="160" fillId="17" borderId="9" xfId="0" applyFont="1" applyFill="1" applyBorder="1" applyAlignment="1">
      <alignment horizontal="center" vertical="center"/>
    </xf>
    <xf numFmtId="0" fontId="90" fillId="0" borderId="20" xfId="0" applyFont="1" applyBorder="1" applyAlignment="1">
      <alignment horizontal="center" vertical="center"/>
    </xf>
    <xf numFmtId="2" fontId="0" fillId="0" borderId="0" xfId="0" applyNumberFormat="1" applyAlignment="1">
      <alignment horizontal="center" vertical="center"/>
    </xf>
    <xf numFmtId="0" fontId="160" fillId="17" borderId="35" xfId="0" applyFont="1" applyFill="1" applyBorder="1" applyAlignment="1">
      <alignment horizontal="center" vertical="center" wrapText="1"/>
    </xf>
    <xf numFmtId="0" fontId="160" fillId="17" borderId="35" xfId="0" applyFont="1" applyFill="1" applyBorder="1" applyAlignment="1">
      <alignment horizontal="center" vertical="center"/>
    </xf>
    <xf numFmtId="0" fontId="160" fillId="17" borderId="3" xfId="0" applyFont="1" applyFill="1" applyBorder="1" applyAlignment="1">
      <alignment horizontal="center" vertical="center" wrapText="1"/>
    </xf>
    <xf numFmtId="0" fontId="160" fillId="17" borderId="3" xfId="0" applyFont="1" applyFill="1" applyBorder="1" applyAlignment="1">
      <alignment horizontal="center" vertical="center"/>
    </xf>
    <xf numFmtId="0" fontId="90" fillId="0" borderId="20" xfId="0" applyFont="1" applyBorder="1" applyAlignment="1">
      <alignment vertical="center"/>
    </xf>
    <xf numFmtId="0" fontId="0" fillId="0" borderId="0" xfId="0" applyAlignment="1">
      <alignment horizontal="center" vertical="center"/>
    </xf>
    <xf numFmtId="0" fontId="103" fillId="16" borderId="9" xfId="0" applyFont="1" applyFill="1" applyBorder="1" applyAlignment="1">
      <alignment horizontal="center" vertical="center" wrapText="1"/>
    </xf>
    <xf numFmtId="0" fontId="103" fillId="16" borderId="1" xfId="0" applyFont="1" applyFill="1" applyBorder="1" applyAlignment="1">
      <alignment horizontal="center" vertical="center" wrapText="1"/>
    </xf>
    <xf numFmtId="0" fontId="160" fillId="16" borderId="1" xfId="0" applyFont="1" applyFill="1" applyBorder="1" applyAlignment="1">
      <alignment horizontal="center" vertical="center" wrapText="1"/>
    </xf>
    <xf numFmtId="0" fontId="160" fillId="16" borderId="9" xfId="0" applyFont="1" applyFill="1" applyBorder="1" applyAlignment="1">
      <alignment horizontal="center" vertical="center" wrapText="1"/>
    </xf>
    <xf numFmtId="0" fontId="160" fillId="16" borderId="9" xfId="0" applyFont="1" applyFill="1" applyBorder="1" applyAlignment="1">
      <alignment horizontal="center" vertical="center"/>
    </xf>
    <xf numFmtId="0" fontId="90" fillId="0" borderId="0" xfId="0" applyFont="1">
      <alignment vertical="center"/>
    </xf>
    <xf numFmtId="0" fontId="103" fillId="16" borderId="35" xfId="0" applyFont="1" applyFill="1" applyBorder="1" applyAlignment="1">
      <alignment horizontal="center" vertical="center" wrapText="1"/>
    </xf>
    <xf numFmtId="0" fontId="160" fillId="16" borderId="35" xfId="0" applyFont="1" applyFill="1" applyBorder="1" applyAlignment="1">
      <alignment horizontal="center" vertical="center" wrapText="1"/>
    </xf>
    <xf numFmtId="0" fontId="160" fillId="16" borderId="35" xfId="0" applyFont="1" applyFill="1" applyBorder="1" applyAlignment="1">
      <alignment horizontal="center" vertical="center"/>
    </xf>
    <xf numFmtId="0" fontId="103" fillId="16" borderId="3" xfId="0" applyFont="1" applyFill="1" applyBorder="1" applyAlignment="1">
      <alignment horizontal="center" vertical="center" wrapText="1"/>
    </xf>
    <xf numFmtId="0" fontId="160" fillId="16" borderId="3" xfId="0" applyFont="1" applyFill="1" applyBorder="1" applyAlignment="1">
      <alignment horizontal="center" vertical="center" wrapText="1"/>
    </xf>
    <xf numFmtId="0" fontId="160" fillId="16" borderId="3" xfId="0" applyFont="1" applyFill="1" applyBorder="1" applyAlignment="1">
      <alignment horizontal="center" vertical="center"/>
    </xf>
    <xf numFmtId="0" fontId="103" fillId="16" borderId="9" xfId="0" applyFont="1" applyFill="1" applyBorder="1" applyAlignment="1">
      <alignment horizontal="center" vertical="center"/>
    </xf>
    <xf numFmtId="0" fontId="103" fillId="16" borderId="35" xfId="0" applyFont="1" applyFill="1" applyBorder="1" applyAlignment="1">
      <alignment horizontal="center" vertical="center"/>
    </xf>
    <xf numFmtId="0" fontId="103" fillId="16" borderId="3" xfId="0" applyFont="1" applyFill="1" applyBorder="1" applyAlignment="1">
      <alignment horizontal="center" vertical="center"/>
    </xf>
    <xf numFmtId="0" fontId="0" fillId="3" borderId="9"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3" xfId="0" applyFill="1" applyBorder="1" applyAlignment="1">
      <alignment horizontal="center" vertical="center" wrapText="1"/>
    </xf>
    <xf numFmtId="0" fontId="103" fillId="16" borderId="1" xfId="0" applyFont="1" applyFill="1" applyBorder="1" applyAlignment="1">
      <alignment horizontal="center" vertical="center"/>
    </xf>
    <xf numFmtId="0" fontId="103" fillId="3" borderId="1" xfId="0" applyFont="1" applyFill="1" applyBorder="1" applyAlignment="1">
      <alignment horizontal="center" vertical="center" wrapText="1"/>
    </xf>
    <xf numFmtId="0" fontId="103" fillId="3" borderId="9" xfId="0" applyFont="1" applyFill="1" applyBorder="1" applyAlignment="1">
      <alignment horizontal="center" vertical="center" wrapText="1"/>
    </xf>
    <xf numFmtId="0" fontId="103" fillId="3" borderId="35" xfId="0" applyFont="1" applyFill="1" applyBorder="1" applyAlignment="1">
      <alignment horizontal="center" vertical="center" wrapText="1"/>
    </xf>
    <xf numFmtId="0" fontId="103" fillId="3" borderId="3" xfId="0" applyFont="1" applyFill="1" applyBorder="1" applyAlignment="1">
      <alignment horizontal="center" vertical="center" wrapText="1"/>
    </xf>
    <xf numFmtId="0" fontId="161" fillId="0" borderId="106" xfId="0" applyFont="1" applyBorder="1" applyAlignment="1">
      <alignment horizontal="center" vertical="center" wrapText="1"/>
    </xf>
    <xf numFmtId="0" fontId="161" fillId="0" borderId="105" xfId="0" applyFont="1" applyBorder="1" applyAlignment="1">
      <alignment horizontal="center" vertical="center" wrapText="1"/>
    </xf>
    <xf numFmtId="0" fontId="161" fillId="0" borderId="67" xfId="0" applyFont="1" applyBorder="1" applyAlignment="1">
      <alignment horizontal="center" vertical="center" wrapText="1"/>
    </xf>
    <xf numFmtId="0" fontId="161" fillId="0" borderId="107" xfId="0" applyFont="1" applyBorder="1" applyAlignment="1">
      <alignment horizontal="center" vertical="center"/>
    </xf>
    <xf numFmtId="0" fontId="162" fillId="0" borderId="98" xfId="0" applyFont="1" applyBorder="1" applyAlignment="1">
      <alignment horizontal="center" vertical="center" wrapText="1"/>
    </xf>
    <xf numFmtId="0" fontId="163" fillId="0" borderId="105" xfId="0" applyFont="1" applyBorder="1" applyAlignment="1">
      <alignment horizontal="center" vertical="center"/>
    </xf>
    <xf numFmtId="0" fontId="163" fillId="0" borderId="45" xfId="0" applyFont="1" applyBorder="1" applyAlignment="1">
      <alignment horizontal="center" vertical="center"/>
    </xf>
    <xf numFmtId="0" fontId="162" fillId="0" borderId="107" xfId="0" applyFont="1" applyBorder="1" applyAlignment="1">
      <alignment horizontal="center" vertical="center" wrapText="1"/>
    </xf>
    <xf numFmtId="0" fontId="163" fillId="0" borderId="67" xfId="0" applyFont="1" applyBorder="1" applyAlignment="1">
      <alignment horizontal="center" vertical="center"/>
    </xf>
    <xf numFmtId="0" fontId="164" fillId="0" borderId="67" xfId="0" applyFont="1" applyBorder="1" applyAlignment="1">
      <alignment horizontal="center" vertical="center" wrapText="1"/>
    </xf>
    <xf numFmtId="0" fontId="163" fillId="0" borderId="67" xfId="0" applyFont="1" applyBorder="1" applyAlignment="1">
      <alignment horizontal="center" vertical="center" wrapText="1"/>
    </xf>
    <xf numFmtId="0" fontId="123" fillId="0" borderId="67" xfId="0" applyFont="1" applyBorder="1" applyAlignment="1">
      <alignment horizontal="center" vertical="center"/>
    </xf>
    <xf numFmtId="0" fontId="165" fillId="0" borderId="107" xfId="0" applyFont="1" applyBorder="1" applyAlignment="1">
      <alignment horizontal="center" vertical="center"/>
    </xf>
    <xf numFmtId="0" fontId="0" fillId="0" borderId="67" xfId="0" applyBorder="1" applyAlignment="1">
      <alignment horizontal="center" vertical="center"/>
    </xf>
    <xf numFmtId="0" fontId="0" fillId="0" borderId="0" xfId="0" applyFont="1" applyAlignment="1">
      <alignment horizontal="left" vertical="center"/>
    </xf>
    <xf numFmtId="0" fontId="161" fillId="0" borderId="144" xfId="0" applyFont="1" applyBorder="1" applyAlignment="1">
      <alignment horizontal="center" vertical="center" wrapText="1"/>
    </xf>
    <xf numFmtId="0" fontId="161" fillId="0" borderId="145" xfId="0" applyFont="1" applyBorder="1" applyAlignment="1">
      <alignment horizontal="center" vertical="center" wrapText="1"/>
    </xf>
    <xf numFmtId="0" fontId="161" fillId="0" borderId="146" xfId="0" applyFont="1" applyBorder="1" applyAlignment="1">
      <alignment horizontal="center" vertical="center" wrapText="1"/>
    </xf>
    <xf numFmtId="0" fontId="161" fillId="0" borderId="147" xfId="0" applyFont="1" applyBorder="1" applyAlignment="1">
      <alignment horizontal="center" vertical="center" wrapText="1"/>
    </xf>
    <xf numFmtId="0" fontId="161" fillId="0" borderId="148" xfId="0" applyFont="1" applyBorder="1" applyAlignment="1">
      <alignment horizontal="center" vertical="center" wrapText="1"/>
    </xf>
    <xf numFmtId="0" fontId="161" fillId="0" borderId="149" xfId="0" applyFont="1" applyBorder="1" applyAlignment="1">
      <alignment horizontal="center" vertical="center"/>
    </xf>
    <xf numFmtId="0" fontId="163" fillId="0" borderId="148" xfId="0" applyFont="1" applyBorder="1" applyAlignment="1">
      <alignment horizontal="center" vertical="center"/>
    </xf>
    <xf numFmtId="0" fontId="163" fillId="0" borderId="147" xfId="0" applyFont="1" applyBorder="1" applyAlignment="1">
      <alignment horizontal="center" vertical="center"/>
    </xf>
    <xf numFmtId="0" fontId="163" fillId="0" borderId="0" xfId="0" applyFont="1" applyBorder="1" applyAlignment="1">
      <alignment horizontal="center" vertical="center"/>
    </xf>
    <xf numFmtId="0" fontId="163" fillId="0" borderId="98" xfId="0" applyFont="1" applyBorder="1" applyAlignment="1">
      <alignment horizontal="center" vertical="center"/>
    </xf>
    <xf numFmtId="0" fontId="163" fillId="0" borderId="150" xfId="0" applyFont="1" applyBorder="1" applyAlignment="1">
      <alignment horizontal="center" vertical="center"/>
    </xf>
    <xf numFmtId="0" fontId="163" fillId="0" borderId="107" xfId="0" applyFont="1" applyBorder="1" applyAlignment="1">
      <alignment horizontal="center" vertical="center"/>
    </xf>
    <xf numFmtId="0" fontId="161" fillId="0" borderId="151" xfId="0" applyFont="1" applyBorder="1" applyAlignment="1">
      <alignment horizontal="center" vertical="center"/>
    </xf>
    <xf numFmtId="0" fontId="166" fillId="0" borderId="148" xfId="0" applyFont="1" applyBorder="1" applyAlignment="1">
      <alignment horizontal="center" vertical="center" wrapText="1"/>
    </xf>
    <xf numFmtId="0" fontId="167" fillId="0" borderId="150" xfId="0" applyFont="1" applyBorder="1" applyAlignment="1">
      <alignment horizontal="center" vertical="center"/>
    </xf>
    <xf numFmtId="0" fontId="167" fillId="0" borderId="151" xfId="0" applyFont="1" applyBorder="1" applyAlignment="1">
      <alignment horizontal="center" vertical="center"/>
    </xf>
    <xf numFmtId="0" fontId="166" fillId="0" borderId="151" xfId="0" applyFont="1" applyBorder="1" applyAlignment="1">
      <alignment horizontal="center" vertical="center"/>
    </xf>
    <xf numFmtId="0" fontId="166" fillId="0" borderId="150" xfId="0" applyFont="1" applyBorder="1" applyAlignment="1">
      <alignment horizontal="center" vertical="center"/>
    </xf>
    <xf numFmtId="0" fontId="168" fillId="3" borderId="0" xfId="0" applyFont="1" applyFill="1">
      <alignment vertical="center"/>
    </xf>
    <xf numFmtId="0" fontId="168" fillId="0" borderId="0" xfId="0" applyFont="1" applyBorder="1">
      <alignment vertical="center"/>
    </xf>
    <xf numFmtId="0" fontId="168" fillId="0" borderId="0" xfId="0" applyFont="1">
      <alignment vertical="center"/>
    </xf>
    <xf numFmtId="178" fontId="168" fillId="0" borderId="0" xfId="0" applyNumberFormat="1" applyFont="1">
      <alignment vertical="center"/>
    </xf>
    <xf numFmtId="1" fontId="168" fillId="3" borderId="0" xfId="0" applyNumberFormat="1" applyFont="1" applyFill="1">
      <alignment vertical="center"/>
    </xf>
    <xf numFmtId="1" fontId="168" fillId="0" borderId="0" xfId="0" applyNumberFormat="1" applyFont="1">
      <alignment vertical="center"/>
    </xf>
    <xf numFmtId="0" fontId="168" fillId="0" borderId="0" xfId="0" applyFont="1" applyAlignment="1">
      <alignment vertical="center"/>
    </xf>
    <xf numFmtId="0" fontId="168" fillId="0" borderId="0" xfId="0" applyFont="1" applyAlignment="1">
      <alignment horizontal="center" vertical="center"/>
    </xf>
    <xf numFmtId="0" fontId="169" fillId="0" borderId="0" xfId="0" applyFont="1">
      <alignment vertical="center"/>
    </xf>
    <xf numFmtId="0" fontId="168" fillId="3" borderId="0" xfId="0" applyFont="1" applyFill="1" applyAlignment="1">
      <alignment horizontal="center" vertical="center"/>
    </xf>
    <xf numFmtId="0" fontId="169" fillId="3" borderId="0" xfId="0" applyFont="1" applyFill="1">
      <alignment vertical="center"/>
    </xf>
    <xf numFmtId="0" fontId="170" fillId="18" borderId="152" xfId="0" applyFont="1" applyFill="1" applyBorder="1" applyAlignment="1">
      <alignment horizontal="center" vertical="center" wrapText="1"/>
    </xf>
    <xf numFmtId="0" fontId="170" fillId="18" borderId="153" xfId="0" applyFont="1" applyFill="1" applyBorder="1" applyAlignment="1">
      <alignment horizontal="center" vertical="center" wrapText="1"/>
    </xf>
    <xf numFmtId="0" fontId="170" fillId="18" borderId="154" xfId="0" applyFont="1" applyFill="1" applyBorder="1" applyAlignment="1">
      <alignment horizontal="center" vertical="center" wrapText="1"/>
    </xf>
    <xf numFmtId="0" fontId="170" fillId="18" borderId="155" xfId="0" applyFont="1" applyFill="1" applyBorder="1" applyAlignment="1">
      <alignment horizontal="center" vertical="center" wrapText="1"/>
    </xf>
    <xf numFmtId="0" fontId="170" fillId="18" borderId="156" xfId="0" applyFont="1" applyFill="1" applyBorder="1" applyAlignment="1">
      <alignment horizontal="center" vertical="center" wrapText="1"/>
    </xf>
    <xf numFmtId="0" fontId="170" fillId="18" borderId="157" xfId="0" applyFont="1" applyFill="1" applyBorder="1" applyAlignment="1">
      <alignment horizontal="center" vertical="center" wrapText="1"/>
    </xf>
    <xf numFmtId="0" fontId="170" fillId="18" borderId="158" xfId="0" applyFont="1" applyFill="1" applyBorder="1" applyAlignment="1">
      <alignment horizontal="center" vertical="center" wrapText="1"/>
    </xf>
    <xf numFmtId="0" fontId="0" fillId="0" borderId="159" xfId="0" applyBorder="1" applyAlignment="1"/>
    <xf numFmtId="0" fontId="170" fillId="19" borderId="160" xfId="0" applyFont="1" applyFill="1" applyBorder="1" applyAlignment="1">
      <alignment horizontal="center" vertical="center" wrapText="1"/>
    </xf>
    <xf numFmtId="0" fontId="171" fillId="19" borderId="161" xfId="0" applyFont="1" applyFill="1" applyBorder="1" applyAlignment="1">
      <alignment horizontal="center" vertical="center" wrapText="1"/>
    </xf>
    <xf numFmtId="0" fontId="170" fillId="19" borderId="161" xfId="0" applyFont="1" applyFill="1" applyBorder="1" applyAlignment="1">
      <alignment horizontal="center" vertical="center" wrapText="1"/>
    </xf>
    <xf numFmtId="14" fontId="170" fillId="19" borderId="161" xfId="0" applyNumberFormat="1" applyFont="1" applyFill="1" applyBorder="1" applyAlignment="1">
      <alignment horizontal="center" vertical="center" wrapText="1"/>
    </xf>
    <xf numFmtId="0" fontId="170" fillId="9" borderId="160" xfId="0" applyFont="1" applyFill="1" applyBorder="1" applyAlignment="1">
      <alignment horizontal="center" vertical="center" wrapText="1"/>
    </xf>
    <xf numFmtId="0" fontId="171" fillId="9" borderId="161" xfId="0" applyFont="1" applyFill="1" applyBorder="1" applyAlignment="1">
      <alignment horizontal="center" vertical="center" wrapText="1"/>
    </xf>
    <xf numFmtId="0" fontId="170" fillId="9" borderId="161" xfId="0" applyFont="1" applyFill="1" applyBorder="1" applyAlignment="1">
      <alignment horizontal="center" vertical="center" wrapText="1"/>
    </xf>
    <xf numFmtId="14" fontId="170" fillId="9" borderId="161" xfId="0" applyNumberFormat="1" applyFont="1" applyFill="1" applyBorder="1" applyAlignment="1">
      <alignment horizontal="center" vertical="center" wrapText="1"/>
    </xf>
    <xf numFmtId="0" fontId="170" fillId="18" borderId="162" xfId="0" applyFont="1" applyFill="1" applyBorder="1" applyAlignment="1">
      <alignment horizontal="center" vertical="center" wrapText="1"/>
    </xf>
    <xf numFmtId="0" fontId="170" fillId="18" borderId="163" xfId="0" applyFont="1" applyFill="1" applyBorder="1" applyAlignment="1">
      <alignment horizontal="center" vertical="center" wrapText="1"/>
    </xf>
    <xf numFmtId="0" fontId="170" fillId="18" borderId="164" xfId="0" applyFont="1" applyFill="1" applyBorder="1" applyAlignment="1">
      <alignment horizontal="center" vertical="center" wrapText="1"/>
    </xf>
    <xf numFmtId="0" fontId="170" fillId="18" borderId="165" xfId="0" applyFont="1" applyFill="1" applyBorder="1" applyAlignment="1">
      <alignment horizontal="center" vertical="center" wrapText="1"/>
    </xf>
    <xf numFmtId="0" fontId="170" fillId="19" borderId="166" xfId="0" applyFont="1" applyFill="1" applyBorder="1" applyAlignment="1">
      <alignment horizontal="center" vertical="center" wrapText="1"/>
    </xf>
    <xf numFmtId="0" fontId="170" fillId="9" borderId="166" xfId="0" applyFont="1" applyFill="1" applyBorder="1" applyAlignment="1">
      <alignment horizontal="center" vertical="center" wrapText="1"/>
    </xf>
    <xf numFmtId="0" fontId="172" fillId="0" borderId="0" xfId="0" applyFont="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0" borderId="0" xfId="0" applyNumberFormat="1" applyFont="1" applyAlignment="1" applyProtection="1">
      <alignment horizontal="left" vertical="center"/>
      <protection locked="0"/>
    </xf>
    <xf numFmtId="0" fontId="173" fillId="2" borderId="167" xfId="0" applyFont="1" applyFill="1" applyBorder="1" applyAlignment="1" applyProtection="1">
      <alignment horizontal="left" vertical="center"/>
    </xf>
    <xf numFmtId="0" fontId="173" fillId="2" borderId="168" xfId="0" applyFont="1" applyFill="1" applyBorder="1" applyAlignment="1" applyProtection="1">
      <alignment horizontal="left" vertical="center"/>
    </xf>
    <xf numFmtId="0" fontId="174" fillId="0" borderId="168" xfId="0" applyFont="1" applyBorder="1" applyAlignment="1" applyProtection="1">
      <alignment horizontal="left" vertical="center" wrapText="1"/>
      <protection locked="0"/>
    </xf>
    <xf numFmtId="0" fontId="131" fillId="2" borderId="103" xfId="0" applyFont="1" applyFill="1" applyBorder="1" applyAlignment="1" applyProtection="1">
      <alignment horizontal="left" vertical="center" wrapText="1"/>
    </xf>
    <xf numFmtId="0" fontId="131" fillId="2" borderId="63" xfId="0" applyFont="1" applyFill="1" applyBorder="1" applyAlignment="1" applyProtection="1">
      <alignment horizontal="left" vertical="center" wrapText="1"/>
    </xf>
    <xf numFmtId="0" fontId="131" fillId="2" borderId="105" xfId="0" applyFont="1" applyFill="1" applyBorder="1" applyAlignment="1" applyProtection="1">
      <alignment horizontal="left" vertical="center"/>
    </xf>
    <xf numFmtId="0" fontId="131" fillId="2" borderId="0" xfId="0" applyFont="1" applyFill="1" applyBorder="1" applyAlignment="1" applyProtection="1">
      <alignment horizontal="left" vertical="center" wrapText="1"/>
    </xf>
    <xf numFmtId="0" fontId="42" fillId="2" borderId="104" xfId="0" applyFont="1" applyFill="1" applyBorder="1" applyAlignment="1" applyProtection="1">
      <alignment horizontal="left" vertical="center"/>
    </xf>
    <xf numFmtId="0" fontId="131" fillId="2" borderId="69"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49" fontId="38" fillId="0" borderId="13" xfId="0" applyNumberFormat="1"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31" fillId="2" borderId="68" xfId="0" applyFont="1" applyFill="1" applyBorder="1" applyAlignment="1" applyProtection="1">
      <alignment horizontal="left" vertical="center" wrapText="1"/>
    </xf>
    <xf numFmtId="0" fontId="42" fillId="2" borderId="81" xfId="0" applyFont="1" applyFill="1" applyBorder="1" applyAlignment="1" applyProtection="1">
      <alignment horizontal="left" vertical="center" wrapText="1"/>
    </xf>
    <xf numFmtId="0" fontId="38" fillId="0" borderId="72" xfId="0" applyNumberFormat="1" applyFont="1" applyFill="1" applyBorder="1" applyAlignment="1" applyProtection="1">
      <alignment horizontal="left" vertical="center" wrapText="1"/>
      <protection locked="0"/>
    </xf>
    <xf numFmtId="0" fontId="42" fillId="2" borderId="1" xfId="0" applyFont="1" applyFill="1" applyBorder="1" applyAlignment="1" applyProtection="1">
      <alignment horizontal="left" vertical="center" wrapText="1"/>
    </xf>
    <xf numFmtId="49" fontId="38" fillId="0" borderId="14" xfId="0" applyNumberFormat="1" applyFont="1" applyFill="1" applyBorder="1" applyAlignment="1" applyProtection="1">
      <alignment horizontal="left" vertical="center" wrapText="1"/>
      <protection locked="0"/>
    </xf>
    <xf numFmtId="49" fontId="42" fillId="2" borderId="68" xfId="0" applyNumberFormat="1"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38" fillId="0" borderId="14" xfId="0" applyFont="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76" xfId="0" applyNumberFormat="1" applyFont="1" applyFill="1" applyBorder="1" applyAlignment="1" applyProtection="1">
      <alignment horizontal="left" vertical="center" wrapText="1"/>
    </xf>
    <xf numFmtId="0" fontId="42" fillId="2" borderId="97" xfId="0" applyFont="1" applyFill="1" applyBorder="1" applyAlignment="1" applyProtection="1">
      <alignment horizontal="left" vertical="center" wrapText="1"/>
    </xf>
    <xf numFmtId="0" fontId="38" fillId="0" borderId="15" xfId="0" applyNumberFormat="1"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protection locked="0"/>
    </xf>
    <xf numFmtId="0" fontId="131" fillId="2" borderId="76" xfId="0"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38" fillId="0" borderId="15" xfId="0" applyFont="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0" fontId="131" fillId="2" borderId="0"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173" fillId="2" borderId="0" xfId="0" applyFont="1" applyFill="1" applyBorder="1" applyAlignment="1" applyProtection="1">
      <alignment horizontal="left" vertical="center"/>
    </xf>
    <xf numFmtId="0" fontId="174" fillId="0" borderId="0" xfId="0" applyFont="1" applyBorder="1" applyAlignment="1" applyProtection="1">
      <alignment horizontal="left" vertical="center" wrapText="1"/>
      <protection locked="0"/>
    </xf>
    <xf numFmtId="0" fontId="173" fillId="2" borderId="169" xfId="0" applyFont="1" applyFill="1" applyBorder="1" applyAlignment="1" applyProtection="1">
      <alignment horizontal="left" vertical="center"/>
    </xf>
    <xf numFmtId="0" fontId="131" fillId="2" borderId="19" xfId="0" applyFont="1" applyFill="1" applyBorder="1" applyAlignment="1" applyProtection="1">
      <alignment horizontal="left" vertical="center" wrapText="1"/>
    </xf>
    <xf numFmtId="0" fontId="131" fillId="2" borderId="45" xfId="0" applyFont="1" applyFill="1" applyBorder="1" applyAlignment="1" applyProtection="1">
      <alignment horizontal="left" vertical="center" wrapText="1"/>
    </xf>
    <xf numFmtId="0" fontId="131" fillId="2" borderId="106" xfId="0" applyFont="1" applyFill="1" applyBorder="1" applyAlignment="1" applyProtection="1">
      <alignment horizontal="left" vertical="center" wrapText="1"/>
    </xf>
    <xf numFmtId="0" fontId="131" fillId="2" borderId="98" xfId="0" applyFont="1" applyFill="1" applyBorder="1" applyAlignment="1" applyProtection="1">
      <alignment horizontal="left" vertical="center" wrapText="1"/>
    </xf>
    <xf numFmtId="0" fontId="42" fillId="2" borderId="4" xfId="0" applyFont="1" applyFill="1" applyBorder="1" applyAlignment="1" applyProtection="1">
      <alignment horizontal="left" vertical="center" wrapText="1"/>
    </xf>
    <xf numFmtId="49" fontId="42" fillId="2" borderId="70" xfId="0" applyNumberFormat="1" applyFont="1" applyFill="1" applyBorder="1" applyAlignment="1" applyProtection="1">
      <alignment horizontal="left" vertical="center" wrapText="1"/>
    </xf>
    <xf numFmtId="49" fontId="131" fillId="2" borderId="98" xfId="0" applyNumberFormat="1"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wrapText="1"/>
    </xf>
    <xf numFmtId="0" fontId="131" fillId="2" borderId="93" xfId="0" applyFont="1" applyFill="1" applyBorder="1" applyAlignment="1" applyProtection="1">
      <alignment horizontal="left" vertical="center" wrapText="1"/>
    </xf>
    <xf numFmtId="0" fontId="42" fillId="2" borderId="29" xfId="0" applyFont="1" applyFill="1" applyBorder="1" applyAlignment="1" applyProtection="1">
      <alignment horizontal="left" vertical="center" wrapText="1"/>
    </xf>
    <xf numFmtId="49" fontId="42" fillId="2" borderId="14" xfId="0" applyNumberFormat="1" applyFont="1" applyFill="1" applyBorder="1" applyAlignment="1" applyProtection="1">
      <alignment horizontal="left" vertical="center" wrapText="1"/>
    </xf>
    <xf numFmtId="49" fontId="131" fillId="2" borderId="93"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28" fillId="0" borderId="14" xfId="0" applyNumberFormat="1" applyFont="1" applyFill="1" applyBorder="1" applyAlignment="1" applyProtection="1">
      <alignment horizontal="left" vertical="center" wrapText="1"/>
      <protection locked="0"/>
    </xf>
    <xf numFmtId="0" fontId="28" fillId="3" borderId="14" xfId="0" applyNumberFormat="1" applyFont="1" applyFill="1" applyBorder="1" applyAlignment="1" applyProtection="1">
      <alignment horizontal="left" vertical="center" wrapText="1"/>
      <protection locked="0"/>
    </xf>
    <xf numFmtId="49" fontId="131" fillId="2" borderId="107" xfId="0" applyNumberFormat="1"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28" fillId="0" borderId="15" xfId="0" applyNumberFormat="1" applyFont="1" applyFill="1" applyBorder="1" applyAlignment="1" applyProtection="1">
      <alignment horizontal="left" vertical="center" wrapText="1"/>
      <protection locked="0"/>
    </xf>
    <xf numFmtId="0" fontId="131" fillId="2" borderId="107"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0" fontId="42" fillId="2" borderId="0" xfId="0" applyFont="1" applyFill="1" applyAlignment="1" applyProtection="1">
      <alignment horizontal="left" vertical="center" wrapText="1"/>
      <protection locked="0"/>
    </xf>
    <xf numFmtId="0" fontId="42" fillId="2" borderId="0" xfId="0" applyNumberFormat="1" applyFont="1" applyFill="1" applyAlignment="1" applyProtection="1">
      <alignment horizontal="left" vertical="center" wrapText="1"/>
      <protection locked="0"/>
    </xf>
    <xf numFmtId="0" fontId="174" fillId="0" borderId="168" xfId="0" applyNumberFormat="1" applyFont="1" applyFill="1" applyBorder="1" applyAlignment="1" applyProtection="1">
      <alignment horizontal="left" vertical="center" wrapText="1"/>
      <protection locked="0"/>
    </xf>
    <xf numFmtId="0" fontId="174" fillId="0" borderId="168" xfId="0"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49" fontId="42" fillId="0" borderId="0" xfId="0" applyNumberFormat="1" applyFont="1" applyFill="1" applyBorder="1" applyAlignment="1" applyProtection="1">
      <alignment horizontal="left" vertical="center" wrapText="1"/>
      <protection locked="0"/>
    </xf>
    <xf numFmtId="0" fontId="174" fillId="0" borderId="0" xfId="0" applyNumberFormat="1" applyFont="1" applyBorder="1" applyAlignment="1" applyProtection="1">
      <alignment horizontal="left" vertical="center" wrapText="1"/>
      <protection locked="0"/>
    </xf>
    <xf numFmtId="0" fontId="174" fillId="0" borderId="74" xfId="0" applyNumberFormat="1" applyFont="1" applyBorder="1" applyAlignment="1" applyProtection="1">
      <alignment horizontal="left" vertical="center" wrapText="1"/>
      <protection locked="0"/>
    </xf>
    <xf numFmtId="0" fontId="172" fillId="0" borderId="0" xfId="0" applyFont="1" applyAlignment="1" applyProtection="1">
      <alignment horizontal="left" vertical="center" wrapText="1"/>
      <protection locked="0"/>
    </xf>
    <xf numFmtId="0" fontId="172" fillId="0" borderId="0" xfId="0" applyNumberFormat="1" applyFont="1" applyFill="1" applyAlignment="1" applyProtection="1">
      <alignment horizontal="left" vertical="center" wrapText="1"/>
      <protection locked="0"/>
    </xf>
    <xf numFmtId="0" fontId="172" fillId="0" borderId="0" xfId="0" applyFont="1" applyFill="1" applyAlignment="1" applyProtection="1">
      <alignment horizontal="left" vertical="center" wrapText="1"/>
      <protection locked="0"/>
    </xf>
    <xf numFmtId="0" fontId="174" fillId="0" borderId="170" xfId="0" applyFont="1" applyBorder="1" applyAlignment="1" applyProtection="1">
      <alignment horizontal="left" vertical="center" wrapText="1"/>
      <protection locked="0"/>
    </xf>
    <xf numFmtId="0" fontId="172" fillId="0" borderId="0" xfId="0" applyNumberFormat="1" applyFont="1" applyAlignment="1" applyProtection="1">
      <alignment horizontal="left" vertical="center"/>
      <protection locked="0"/>
    </xf>
    <xf numFmtId="0" fontId="28" fillId="0" borderId="0" xfId="0" applyFont="1" applyAlignment="1" applyProtection="1">
      <alignment vertical="center"/>
    </xf>
    <xf numFmtId="0" fontId="28" fillId="0" borderId="0" xfId="0" applyFont="1" applyAlignment="1" applyProtection="1">
      <alignment vertical="center" wrapText="1"/>
    </xf>
    <xf numFmtId="0" fontId="16" fillId="0" borderId="0" xfId="0" applyFont="1" applyFill="1" applyAlignment="1" applyProtection="1">
      <alignment vertical="center"/>
    </xf>
    <xf numFmtId="0" fontId="16" fillId="0" borderId="0" xfId="0" applyFont="1" applyAlignment="1" applyProtection="1">
      <alignment vertical="center"/>
      <protection locked="0"/>
    </xf>
    <xf numFmtId="0" fontId="16" fillId="0" borderId="0" xfId="0" applyFont="1" applyAlignment="1" applyProtection="1">
      <alignment vertical="center" wrapText="1"/>
    </xf>
    <xf numFmtId="0" fontId="16" fillId="0" borderId="0" xfId="0" applyFont="1" applyAlignment="1" applyProtection="1">
      <alignment vertical="center"/>
    </xf>
    <xf numFmtId="182" fontId="16" fillId="0" borderId="0" xfId="0" applyNumberFormat="1" applyFont="1" applyAlignment="1" applyProtection="1">
      <alignment vertical="center"/>
    </xf>
    <xf numFmtId="0" fontId="142" fillId="2" borderId="0" xfId="0" applyFont="1" applyFill="1" applyAlignment="1" applyProtection="1">
      <alignment vertical="center" wrapText="1"/>
    </xf>
    <xf numFmtId="0" fontId="16" fillId="2" borderId="0" xfId="0" applyFont="1" applyFill="1" applyAlignment="1" applyProtection="1">
      <alignment vertical="center"/>
    </xf>
    <xf numFmtId="182" fontId="16" fillId="2" borderId="0" xfId="0" applyNumberFormat="1" applyFont="1" applyFill="1" applyAlignment="1" applyProtection="1">
      <alignment vertical="center"/>
      <protection locked="0"/>
    </xf>
    <xf numFmtId="0" fontId="39" fillId="2" borderId="60" xfId="0" applyFont="1" applyFill="1" applyBorder="1" applyAlignment="1" applyProtection="1">
      <alignment vertical="center" wrapText="1"/>
    </xf>
    <xf numFmtId="14" fontId="39" fillId="2" borderId="61" xfId="0" applyNumberFormat="1" applyFont="1" applyFill="1" applyBorder="1" applyAlignment="1" applyProtection="1">
      <alignment horizontal="center" vertical="center"/>
    </xf>
    <xf numFmtId="0" fontId="28" fillId="2" borderId="0" xfId="0" applyFont="1" applyFill="1" applyAlignment="1" applyProtection="1">
      <alignment vertical="center"/>
      <protection locked="0"/>
    </xf>
    <xf numFmtId="182" fontId="28" fillId="2" borderId="0" xfId="0" applyNumberFormat="1" applyFont="1" applyFill="1" applyAlignment="1" applyProtection="1">
      <alignment vertical="center"/>
      <protection locked="0"/>
    </xf>
    <xf numFmtId="0" fontId="28" fillId="2" borderId="0" xfId="0" applyFont="1" applyFill="1" applyAlignment="1" applyProtection="1">
      <alignment vertical="center" wrapText="1"/>
    </xf>
    <xf numFmtId="0" fontId="28" fillId="2" borderId="0" xfId="0" applyFont="1" applyFill="1" applyAlignment="1" applyProtection="1">
      <alignment vertical="center"/>
    </xf>
    <xf numFmtId="0" fontId="39" fillId="2" borderId="98" xfId="0" applyFont="1" applyFill="1" applyBorder="1" applyAlignment="1" applyProtection="1">
      <alignment vertical="center" wrapText="1"/>
    </xf>
    <xf numFmtId="0" fontId="28" fillId="2" borderId="103" xfId="0" applyFont="1" applyFill="1" applyBorder="1" applyAlignment="1" applyProtection="1">
      <alignment vertical="center"/>
    </xf>
    <xf numFmtId="0" fontId="28" fillId="2" borderId="104" xfId="0" applyFont="1" applyFill="1" applyBorder="1" applyAlignment="1" applyProtection="1">
      <alignment vertical="center"/>
    </xf>
    <xf numFmtId="182" fontId="28" fillId="2" borderId="104" xfId="0" applyNumberFormat="1" applyFont="1" applyFill="1" applyBorder="1" applyAlignment="1" applyProtection="1">
      <alignment vertical="center"/>
    </xf>
    <xf numFmtId="0" fontId="132" fillId="2" borderId="104" xfId="0" applyFont="1" applyFill="1" applyBorder="1" applyAlignment="1" applyProtection="1">
      <alignment vertical="center"/>
    </xf>
    <xf numFmtId="0" fontId="96" fillId="2" borderId="4" xfId="59" applyFont="1" applyFill="1" applyBorder="1" applyAlignment="1" applyProtection="1">
      <alignment vertical="center" wrapText="1"/>
    </xf>
    <xf numFmtId="0" fontId="28" fillId="2" borderId="5" xfId="59" applyFont="1" applyFill="1" applyBorder="1" applyAlignment="1" applyProtection="1">
      <alignment vertical="center" wrapText="1"/>
    </xf>
    <xf numFmtId="0" fontId="28" fillId="2" borderId="39" xfId="59" applyFont="1" applyFill="1" applyBorder="1" applyAlignment="1" applyProtection="1">
      <alignment vertical="center" wrapText="1"/>
    </xf>
    <xf numFmtId="192" fontId="32" fillId="2" borderId="4" xfId="59" applyNumberFormat="1" applyFont="1" applyFill="1" applyBorder="1" applyAlignment="1" applyProtection="1">
      <alignment horizontal="center" vertical="center" wrapText="1"/>
    </xf>
    <xf numFmtId="0" fontId="28" fillId="2" borderId="5" xfId="0" applyFont="1" applyFill="1" applyBorder="1" applyAlignment="1" applyProtection="1">
      <alignment horizontal="center" vertical="center" wrapText="1"/>
    </xf>
    <xf numFmtId="182" fontId="28" fillId="2" borderId="5" xfId="0" applyNumberFormat="1" applyFont="1" applyFill="1" applyBorder="1" applyAlignment="1" applyProtection="1">
      <alignment horizontal="center" vertical="center" wrapText="1"/>
    </xf>
    <xf numFmtId="178" fontId="132" fillId="2" borderId="6" xfId="59" applyNumberFormat="1" applyFont="1" applyFill="1" applyBorder="1" applyAlignment="1" applyProtection="1">
      <alignment horizontal="left" vertical="center"/>
    </xf>
    <xf numFmtId="178" fontId="42" fillId="2" borderId="1" xfId="59" applyNumberFormat="1" applyFont="1" applyFill="1" applyBorder="1" applyAlignment="1" applyProtection="1">
      <alignment vertical="center"/>
    </xf>
    <xf numFmtId="178" fontId="28" fillId="5" borderId="10" xfId="59" applyNumberFormat="1" applyFont="1" applyFill="1" applyBorder="1" applyAlignment="1" applyProtection="1">
      <alignment vertical="center"/>
      <protection locked="0"/>
    </xf>
    <xf numFmtId="178" fontId="28" fillId="2" borderId="6" xfId="59" applyNumberFormat="1" applyFont="1" applyFill="1" applyBorder="1" applyAlignment="1" applyProtection="1">
      <alignment horizontal="center" vertical="center"/>
    </xf>
    <xf numFmtId="185" fontId="28" fillId="2" borderId="1" xfId="0" applyNumberFormat="1" applyFont="1" applyFill="1" applyBorder="1" applyAlignment="1" applyProtection="1">
      <alignment horizontal="center" vertical="center"/>
    </xf>
    <xf numFmtId="182" fontId="32" fillId="2" borderId="1" xfId="59" applyNumberFormat="1" applyFont="1" applyFill="1" applyBorder="1" applyAlignment="1" applyProtection="1">
      <alignment horizontal="center" vertical="center"/>
    </xf>
    <xf numFmtId="192" fontId="32" fillId="2" borderId="1" xfId="59" applyNumberFormat="1" applyFont="1" applyFill="1" applyBorder="1" applyAlignment="1" applyProtection="1">
      <alignment horizontal="center" vertical="center"/>
    </xf>
    <xf numFmtId="177" fontId="72" fillId="0" borderId="1" xfId="0" applyNumberFormat="1" applyFont="1" applyFill="1" applyBorder="1" applyAlignment="1" applyProtection="1">
      <alignment horizontal="center" vertical="center"/>
      <protection locked="0"/>
    </xf>
    <xf numFmtId="177" fontId="28" fillId="0" borderId="1" xfId="0" applyNumberFormat="1" applyFont="1" applyFill="1" applyBorder="1" applyAlignment="1" applyProtection="1">
      <alignment horizontal="center" vertical="center"/>
      <protection locked="0"/>
    </xf>
    <xf numFmtId="178" fontId="28" fillId="2" borderId="6" xfId="59" applyNumberFormat="1" applyFont="1" applyFill="1" applyBorder="1" applyAlignment="1" applyProtection="1">
      <alignment horizontal="left" vertical="center" wrapText="1"/>
    </xf>
    <xf numFmtId="178" fontId="28" fillId="2" borderId="1" xfId="59" applyNumberFormat="1" applyFont="1" applyFill="1" applyBorder="1" applyAlignment="1" applyProtection="1">
      <alignment vertical="center"/>
    </xf>
    <xf numFmtId="178" fontId="28" fillId="2" borderId="10" xfId="59" applyNumberFormat="1" applyFont="1" applyFill="1" applyBorder="1" applyAlignment="1" applyProtection="1">
      <alignment vertical="center"/>
    </xf>
    <xf numFmtId="177" fontId="30" fillId="2" borderId="1" xfId="0" applyNumberFormat="1" applyFont="1" applyFill="1" applyBorder="1" applyAlignment="1" applyProtection="1">
      <alignment horizontal="center" vertical="center"/>
    </xf>
    <xf numFmtId="178" fontId="132" fillId="2" borderId="6" xfId="59" applyNumberFormat="1" applyFont="1" applyFill="1" applyBorder="1" applyAlignment="1" applyProtection="1">
      <alignment horizontal="left" vertical="center" wrapText="1"/>
    </xf>
    <xf numFmtId="0" fontId="39" fillId="2" borderId="7" xfId="59" applyFont="1" applyFill="1" applyBorder="1" applyAlignment="1" applyProtection="1">
      <alignment vertical="center" wrapText="1"/>
    </xf>
    <xf numFmtId="0" fontId="39" fillId="2" borderId="8" xfId="59" applyFont="1" applyFill="1" applyBorder="1" applyAlignment="1" applyProtection="1">
      <alignment vertical="center"/>
    </xf>
    <xf numFmtId="0" fontId="39" fillId="2" borderId="42" xfId="59" applyFont="1" applyFill="1" applyBorder="1" applyAlignment="1" applyProtection="1">
      <alignment vertical="center"/>
    </xf>
    <xf numFmtId="0" fontId="39" fillId="2" borderId="7" xfId="59" applyFont="1" applyFill="1" applyBorder="1" applyAlignment="1" applyProtection="1">
      <alignment vertical="center"/>
    </xf>
    <xf numFmtId="0" fontId="39" fillId="2" borderId="8" xfId="59" applyFont="1" applyFill="1" applyBorder="1" applyAlignment="1" applyProtection="1">
      <alignment horizontal="center" vertical="center"/>
    </xf>
    <xf numFmtId="177" fontId="39" fillId="2" borderId="8" xfId="59" applyNumberFormat="1" applyFont="1" applyFill="1" applyBorder="1" applyAlignment="1" applyProtection="1">
      <alignment vertical="center"/>
    </xf>
    <xf numFmtId="0" fontId="21" fillId="2" borderId="0" xfId="0" applyFont="1" applyFill="1" applyAlignment="1" applyProtection="1">
      <alignment vertical="center" wrapText="1"/>
    </xf>
    <xf numFmtId="0" fontId="16" fillId="9" borderId="0" xfId="0" applyFont="1" applyFill="1" applyAlignment="1" applyProtection="1">
      <alignment vertical="center"/>
      <protection locked="0"/>
    </xf>
    <xf numFmtId="182" fontId="16" fillId="9" borderId="0" xfId="0" applyNumberFormat="1" applyFont="1" applyFill="1" applyAlignment="1" applyProtection="1">
      <alignment vertical="center"/>
      <protection locked="0"/>
    </xf>
    <xf numFmtId="0" fontId="28" fillId="9" borderId="0" xfId="0" applyFont="1" applyFill="1" applyAlignment="1" applyProtection="1">
      <alignment vertical="center"/>
      <protection locked="0"/>
    </xf>
    <xf numFmtId="182" fontId="28" fillId="9" borderId="0" xfId="0" applyNumberFormat="1" applyFont="1" applyFill="1" applyAlignment="1" applyProtection="1">
      <alignment vertical="center"/>
      <protection locked="0"/>
    </xf>
    <xf numFmtId="186" fontId="32" fillId="2" borderId="4" xfId="59" applyNumberFormat="1" applyFont="1" applyFill="1" applyBorder="1" applyAlignment="1" applyProtection="1">
      <alignment vertical="center" wrapText="1"/>
    </xf>
    <xf numFmtId="186" fontId="32" fillId="0" borderId="13" xfId="59" applyNumberFormat="1" applyFont="1" applyFill="1" applyBorder="1" applyAlignment="1" applyProtection="1">
      <alignment horizontal="center" vertical="center"/>
      <protection locked="0"/>
    </xf>
    <xf numFmtId="0" fontId="130" fillId="9" borderId="0" xfId="0" applyFont="1" applyFill="1" applyAlignment="1" applyProtection="1">
      <alignment vertical="center"/>
    </xf>
    <xf numFmtId="186" fontId="32" fillId="2" borderId="6" xfId="59" applyNumberFormat="1" applyFont="1" applyFill="1" applyBorder="1" applyAlignment="1" applyProtection="1">
      <alignment vertical="center" wrapText="1"/>
    </xf>
    <xf numFmtId="186" fontId="28" fillId="0" borderId="14" xfId="59" applyNumberFormat="1" applyFont="1" applyFill="1" applyBorder="1" applyAlignment="1" applyProtection="1">
      <alignment horizontal="center" vertical="center"/>
      <protection locked="0"/>
    </xf>
    <xf numFmtId="186" fontId="28" fillId="2" borderId="6" xfId="59" applyNumberFormat="1" applyFont="1" applyFill="1" applyBorder="1" applyAlignment="1" applyProtection="1">
      <alignment vertical="center" wrapText="1"/>
    </xf>
    <xf numFmtId="186" fontId="32" fillId="2" borderId="14" xfId="59" applyNumberFormat="1" applyFont="1" applyFill="1" applyBorder="1" applyAlignment="1" applyProtection="1">
      <alignment horizontal="center" vertical="center"/>
    </xf>
    <xf numFmtId="186" fontId="32" fillId="2" borderId="7" xfId="59" applyNumberFormat="1" applyFont="1" applyFill="1" applyBorder="1" applyAlignment="1" applyProtection="1">
      <alignment vertical="center" wrapText="1"/>
    </xf>
    <xf numFmtId="186" fontId="32" fillId="2" borderId="15" xfId="59" applyNumberFormat="1" applyFont="1" applyFill="1" applyBorder="1" applyAlignment="1" applyProtection="1">
      <alignment horizontal="center" vertical="center"/>
    </xf>
    <xf numFmtId="0" fontId="28" fillId="2" borderId="63" xfId="0" applyFont="1" applyFill="1" applyBorder="1" applyAlignment="1" applyProtection="1">
      <alignment horizontal="center" vertical="center"/>
    </xf>
    <xf numFmtId="0" fontId="28" fillId="9" borderId="61" xfId="0" applyFont="1" applyFill="1" applyBorder="1" applyAlignment="1" applyProtection="1">
      <alignment horizontal="center" vertical="center"/>
      <protection locked="0"/>
    </xf>
    <xf numFmtId="0" fontId="28" fillId="2" borderId="4" xfId="0" applyFont="1" applyFill="1" applyBorder="1" applyAlignment="1" applyProtection="1">
      <alignment vertical="center" wrapText="1"/>
    </xf>
    <xf numFmtId="0" fontId="17" fillId="0" borderId="13" xfId="59" applyNumberFormat="1" applyFont="1" applyFill="1" applyBorder="1" applyAlignment="1" applyProtection="1">
      <alignment horizontal="center" vertical="center"/>
      <protection locked="0"/>
    </xf>
    <xf numFmtId="0" fontId="56" fillId="9" borderId="0" xfId="0" applyFont="1" applyFill="1" applyAlignment="1" applyProtection="1">
      <alignment horizontal="left" vertical="center"/>
    </xf>
    <xf numFmtId="182" fontId="28" fillId="9" borderId="0" xfId="0" applyNumberFormat="1" applyFont="1" applyFill="1" applyAlignment="1" applyProtection="1">
      <alignment horizontal="center" vertical="center"/>
      <protection locked="0"/>
    </xf>
    <xf numFmtId="0" fontId="28" fillId="9" borderId="0" xfId="0" applyFont="1" applyFill="1" applyAlignment="1" applyProtection="1">
      <alignment horizontal="center" vertical="center"/>
      <protection locked="0"/>
    </xf>
    <xf numFmtId="0" fontId="28" fillId="2" borderId="6" xfId="0" applyFont="1" applyFill="1" applyBorder="1" applyAlignment="1" applyProtection="1">
      <alignment vertical="center" wrapText="1"/>
    </xf>
    <xf numFmtId="0" fontId="17" fillId="0" borderId="14" xfId="59" applyNumberFormat="1" applyFont="1" applyFill="1" applyBorder="1" applyAlignment="1" applyProtection="1">
      <alignment horizontal="center" vertical="center"/>
      <protection locked="0"/>
    </xf>
    <xf numFmtId="0" fontId="47" fillId="9" borderId="0" xfId="0" applyFont="1" applyFill="1" applyAlignment="1" applyProtection="1">
      <alignment horizontal="center" vertical="center"/>
      <protection locked="0"/>
    </xf>
    <xf numFmtId="0" fontId="28" fillId="2" borderId="7" xfId="0" applyFont="1" applyFill="1" applyBorder="1" applyAlignment="1" applyProtection="1">
      <alignment vertical="center" wrapText="1"/>
    </xf>
    <xf numFmtId="0" fontId="17" fillId="0" borderId="15" xfId="59" applyNumberFormat="1" applyFont="1" applyFill="1" applyBorder="1" applyAlignment="1" applyProtection="1">
      <alignment horizontal="center" vertical="center"/>
      <protection locked="0"/>
    </xf>
    <xf numFmtId="0" fontId="130" fillId="9" borderId="0" xfId="0" applyFont="1" applyFill="1" applyAlignment="1" applyProtection="1">
      <alignment horizontal="left" vertical="center"/>
    </xf>
    <xf numFmtId="0" fontId="28" fillId="2" borderId="29" xfId="0" applyFont="1" applyFill="1" applyBorder="1" applyAlignment="1" applyProtection="1">
      <alignment vertical="center" wrapText="1"/>
    </xf>
    <xf numFmtId="0" fontId="17" fillId="0" borderId="72" xfId="59" applyNumberFormat="1" applyFont="1" applyFill="1" applyBorder="1" applyAlignment="1" applyProtection="1">
      <alignment horizontal="center" vertical="center"/>
      <protection locked="0"/>
    </xf>
    <xf numFmtId="0" fontId="32" fillId="2" borderId="14" xfId="59" applyNumberFormat="1" applyFont="1" applyFill="1" applyBorder="1" applyAlignment="1" applyProtection="1">
      <alignment horizontal="center" vertical="center"/>
    </xf>
    <xf numFmtId="0" fontId="47" fillId="9" borderId="0" xfId="0" applyFont="1" applyFill="1" applyAlignment="1" applyProtection="1">
      <alignment horizontal="left" vertical="center"/>
      <protection locked="0"/>
    </xf>
    <xf numFmtId="0" fontId="28" fillId="2" borderId="22" xfId="0" applyFont="1" applyFill="1" applyBorder="1" applyAlignment="1" applyProtection="1">
      <alignment vertical="center" wrapText="1"/>
    </xf>
    <xf numFmtId="0" fontId="17" fillId="0" borderId="57" xfId="59" applyNumberFormat="1" applyFont="1" applyFill="1" applyBorder="1" applyAlignment="1" applyProtection="1">
      <alignment horizontal="center" vertical="center"/>
      <protection locked="0"/>
    </xf>
    <xf numFmtId="177" fontId="16" fillId="0" borderId="13" xfId="0" applyNumberFormat="1" applyFont="1" applyFill="1" applyBorder="1" applyAlignment="1" applyProtection="1">
      <alignment horizontal="center" vertical="center"/>
      <protection locked="0"/>
    </xf>
    <xf numFmtId="0" fontId="94" fillId="9" borderId="0" xfId="0" applyFont="1" applyFill="1" applyAlignment="1" applyProtection="1">
      <alignment vertical="center"/>
    </xf>
    <xf numFmtId="177" fontId="16" fillId="0" borderId="14" xfId="0" applyNumberFormat="1" applyFont="1" applyFill="1" applyBorder="1" applyAlignment="1" applyProtection="1">
      <alignment horizontal="center" vertical="center"/>
      <protection locked="0"/>
    </xf>
    <xf numFmtId="182" fontId="138" fillId="9" borderId="0" xfId="0" applyNumberFormat="1" applyFont="1" applyFill="1" applyAlignment="1" applyProtection="1">
      <alignment vertical="center"/>
    </xf>
    <xf numFmtId="177" fontId="16" fillId="0" borderId="15" xfId="0" applyNumberFormat="1" applyFont="1" applyFill="1" applyBorder="1" applyAlignment="1" applyProtection="1">
      <alignment horizontal="center" vertical="center"/>
      <protection locked="0"/>
    </xf>
    <xf numFmtId="177" fontId="16" fillId="0" borderId="72" xfId="0" applyNumberFormat="1" applyFont="1" applyFill="1" applyBorder="1" applyAlignment="1" applyProtection="1">
      <alignment horizontal="center" vertical="center"/>
      <protection locked="0"/>
    </xf>
    <xf numFmtId="0" fontId="96" fillId="2" borderId="22" xfId="0" applyFont="1" applyFill="1" applyBorder="1" applyAlignment="1" applyProtection="1">
      <alignment vertical="center" wrapText="1"/>
    </xf>
    <xf numFmtId="0" fontId="72" fillId="9" borderId="0" xfId="0" applyFont="1" applyFill="1" applyAlignment="1" applyProtection="1">
      <alignment vertical="center"/>
      <protection locked="0"/>
    </xf>
    <xf numFmtId="10" fontId="16" fillId="2" borderId="57" xfId="0" applyNumberFormat="1" applyFont="1" applyFill="1" applyBorder="1" applyAlignment="1" applyProtection="1">
      <alignment horizontal="center" vertical="center"/>
    </xf>
    <xf numFmtId="10" fontId="28" fillId="2" borderId="13" xfId="0" applyNumberFormat="1" applyFont="1" applyFill="1" applyBorder="1" applyAlignment="1" applyProtection="1">
      <alignment horizontal="center" vertical="center"/>
    </xf>
    <xf numFmtId="0" fontId="28" fillId="2" borderId="22" xfId="0" applyFont="1" applyFill="1" applyBorder="1" applyAlignment="1" applyProtection="1">
      <alignment horizontal="left" vertical="center" wrapText="1"/>
    </xf>
    <xf numFmtId="10" fontId="28" fillId="0" borderId="57" xfId="0" applyNumberFormat="1" applyFont="1" applyFill="1" applyBorder="1" applyAlignment="1" applyProtection="1">
      <alignment horizontal="center" vertical="center"/>
      <protection locked="0"/>
    </xf>
    <xf numFmtId="177" fontId="47" fillId="9" borderId="0" xfId="0" applyNumberFormat="1" applyFont="1" applyFill="1" applyAlignment="1" applyProtection="1">
      <alignment horizontal="center" vertical="center"/>
    </xf>
    <xf numFmtId="189" fontId="28" fillId="2" borderId="57" xfId="0" applyNumberFormat="1" applyFont="1" applyFill="1" applyBorder="1" applyAlignment="1" applyProtection="1">
      <alignment horizontal="center" vertical="center"/>
    </xf>
    <xf numFmtId="0" fontId="28" fillId="2" borderId="22" xfId="0" applyFont="1" applyFill="1" applyBorder="1" applyAlignment="1" applyProtection="1">
      <alignment horizontal="right" vertical="center" wrapText="1"/>
    </xf>
    <xf numFmtId="10" fontId="28" fillId="5" borderId="57" xfId="0" applyNumberFormat="1" applyFont="1" applyFill="1" applyBorder="1" applyAlignment="1" applyProtection="1">
      <alignment horizontal="center" vertical="center"/>
      <protection locked="0"/>
    </xf>
    <xf numFmtId="0" fontId="138" fillId="9" borderId="0" xfId="0" applyFont="1" applyFill="1" applyAlignment="1" applyProtection="1">
      <alignment horizontal="left" vertical="center"/>
    </xf>
    <xf numFmtId="0" fontId="28" fillId="2" borderId="7" xfId="0" applyFont="1" applyFill="1" applyBorder="1" applyAlignment="1" applyProtection="1">
      <alignment horizontal="right" vertical="center" wrapText="1"/>
    </xf>
    <xf numFmtId="10" fontId="28" fillId="0" borderId="15" xfId="0" applyNumberFormat="1" applyFont="1" applyFill="1" applyBorder="1" applyAlignment="1" applyProtection="1">
      <alignment horizontal="center" vertical="center"/>
      <protection locked="0"/>
    </xf>
    <xf numFmtId="0" fontId="28" fillId="2" borderId="68" xfId="0" applyFont="1" applyFill="1" applyBorder="1" applyAlignment="1" applyProtection="1">
      <alignment vertical="center" wrapText="1"/>
    </xf>
    <xf numFmtId="10" fontId="28" fillId="0" borderId="73" xfId="0" applyNumberFormat="1" applyFont="1" applyFill="1" applyBorder="1" applyAlignment="1" applyProtection="1">
      <alignment horizontal="center" vertical="center"/>
      <protection locked="0"/>
    </xf>
    <xf numFmtId="0" fontId="28" fillId="2" borderId="69" xfId="0" applyFont="1" applyFill="1" applyBorder="1" applyAlignment="1" applyProtection="1">
      <alignment vertical="center" wrapText="1"/>
    </xf>
    <xf numFmtId="10" fontId="28" fillId="2" borderId="70" xfId="0" applyNumberFormat="1" applyFont="1" applyFill="1" applyBorder="1" applyAlignment="1" applyProtection="1">
      <alignment horizontal="center" vertical="center"/>
    </xf>
    <xf numFmtId="10" fontId="28" fillId="2" borderId="15" xfId="0" applyNumberFormat="1" applyFont="1" applyFill="1" applyBorder="1" applyAlignment="1" applyProtection="1">
      <alignment horizontal="center" vertical="center"/>
    </xf>
    <xf numFmtId="188" fontId="28" fillId="2" borderId="70" xfId="0" applyNumberFormat="1" applyFont="1" applyFill="1" applyBorder="1" applyAlignment="1" applyProtection="1">
      <alignment horizontal="center" vertical="center"/>
    </xf>
    <xf numFmtId="0" fontId="28" fillId="5" borderId="14" xfId="0" applyFont="1" applyFill="1" applyBorder="1" applyAlignment="1" applyProtection="1">
      <alignment horizontal="center" vertical="center"/>
      <protection locked="0"/>
    </xf>
    <xf numFmtId="0" fontId="96" fillId="9" borderId="0" xfId="0" applyFont="1" applyFill="1" applyAlignment="1" applyProtection="1">
      <alignment horizontal="center" vertical="center"/>
      <protection locked="0"/>
    </xf>
    <xf numFmtId="0" fontId="175" fillId="9" borderId="0" xfId="0" applyFont="1" applyFill="1" applyAlignment="1" applyProtection="1">
      <alignment vertical="center"/>
    </xf>
    <xf numFmtId="0" fontId="96" fillId="0" borderId="6" xfId="0" applyFont="1" applyBorder="1" applyAlignment="1" applyProtection="1">
      <alignment horizontal="right" vertical="center" wrapText="1"/>
      <protection locked="0"/>
    </xf>
    <xf numFmtId="0" fontId="28" fillId="0" borderId="14" xfId="0" applyFont="1" applyBorder="1" applyAlignment="1" applyProtection="1">
      <alignment horizontal="center" vertical="center"/>
      <protection locked="0"/>
    </xf>
    <xf numFmtId="182" fontId="96" fillId="9" borderId="0" xfId="0" applyNumberFormat="1" applyFont="1" applyFill="1" applyAlignment="1" applyProtection="1">
      <alignment vertical="center"/>
      <protection locked="0"/>
    </xf>
    <xf numFmtId="0" fontId="96" fillId="0" borderId="7" xfId="0" applyFont="1" applyBorder="1" applyAlignment="1" applyProtection="1">
      <alignment horizontal="right" vertical="center" wrapText="1"/>
      <protection locked="0"/>
    </xf>
    <xf numFmtId="0" fontId="28" fillId="0" borderId="15" xfId="0" applyFont="1" applyBorder="1" applyAlignment="1" applyProtection="1">
      <alignment vertical="center"/>
      <protection locked="0"/>
    </xf>
    <xf numFmtId="182" fontId="16" fillId="0" borderId="0" xfId="0" applyNumberFormat="1" applyFont="1" applyAlignment="1" applyProtection="1">
      <alignment vertical="center"/>
      <protection locked="0"/>
    </xf>
    <xf numFmtId="0" fontId="28" fillId="2" borderId="105" xfId="0" applyFont="1" applyFill="1" applyBorder="1" applyAlignment="1" applyProtection="1">
      <alignment vertical="center"/>
    </xf>
    <xf numFmtId="0" fontId="28" fillId="2" borderId="103" xfId="0" applyFont="1" applyFill="1" applyBorder="1" applyAlignment="1" applyProtection="1">
      <alignment horizontal="center" vertical="center"/>
    </xf>
    <xf numFmtId="0" fontId="28" fillId="2" borderId="104" xfId="0" applyFont="1" applyFill="1" applyBorder="1" applyAlignment="1" applyProtection="1">
      <alignment horizontal="center" vertical="center"/>
    </xf>
    <xf numFmtId="0" fontId="47" fillId="2" borderId="13" xfId="0" applyFont="1" applyFill="1" applyBorder="1" applyAlignment="1" applyProtection="1">
      <alignment horizontal="center" vertical="center" wrapText="1"/>
    </xf>
    <xf numFmtId="178" fontId="28" fillId="2" borderId="4" xfId="59" applyNumberFormat="1" applyFont="1" applyFill="1" applyBorder="1" applyAlignment="1" applyProtection="1">
      <alignment horizontal="center" vertical="center" wrapText="1"/>
    </xf>
    <xf numFmtId="0" fontId="28" fillId="2" borderId="5" xfId="59" applyFont="1" applyFill="1" applyBorder="1" applyAlignment="1" applyProtection="1">
      <alignment horizontal="center" vertical="center" wrapText="1"/>
    </xf>
    <xf numFmtId="182" fontId="28" fillId="2" borderId="5" xfId="59" applyNumberFormat="1" applyFont="1" applyFill="1" applyBorder="1" applyAlignment="1" applyProtection="1">
      <alignment horizontal="center" vertical="center" wrapText="1"/>
    </xf>
    <xf numFmtId="0" fontId="28" fillId="3" borderId="5" xfId="59" applyFont="1" applyFill="1" applyBorder="1" applyAlignment="1" applyProtection="1">
      <alignment horizontal="center" vertical="center" wrapText="1"/>
      <protection locked="0"/>
    </xf>
    <xf numFmtId="0" fontId="28" fillId="2" borderId="39" xfId="59" applyFont="1" applyFill="1" applyBorder="1" applyAlignment="1" applyProtection="1">
      <alignment horizontal="center" vertical="center" wrapText="1"/>
    </xf>
    <xf numFmtId="182" fontId="28" fillId="2" borderId="6" xfId="59" applyNumberFormat="1" applyFont="1" applyFill="1" applyBorder="1" applyAlignment="1" applyProtection="1">
      <alignment horizontal="center" vertical="center"/>
    </xf>
    <xf numFmtId="178" fontId="16" fillId="3" borderId="1" xfId="59" applyNumberFormat="1" applyFont="1" applyFill="1" applyBorder="1" applyAlignment="1" applyProtection="1">
      <alignment horizontal="center" vertical="center"/>
      <protection locked="0"/>
    </xf>
    <xf numFmtId="0" fontId="28" fillId="2" borderId="1" xfId="59" applyNumberFormat="1" applyFont="1" applyFill="1" applyBorder="1" applyAlignment="1" applyProtection="1">
      <alignment horizontal="center" vertical="center"/>
    </xf>
    <xf numFmtId="10" fontId="16" fillId="0" borderId="1" xfId="59" applyNumberFormat="1" applyFont="1" applyFill="1" applyBorder="1" applyAlignment="1" applyProtection="1">
      <alignment horizontal="center" vertical="center"/>
      <protection locked="0"/>
    </xf>
    <xf numFmtId="0" fontId="28" fillId="2" borderId="10" xfId="0" applyNumberFormat="1" applyFont="1" applyFill="1" applyBorder="1" applyAlignment="1" applyProtection="1">
      <alignment horizontal="center" vertical="center"/>
    </xf>
    <xf numFmtId="178" fontId="16" fillId="0" borderId="1" xfId="59" applyNumberFormat="1" applyFont="1" applyFill="1" applyBorder="1" applyAlignment="1" applyProtection="1">
      <alignment horizontal="center" vertical="center"/>
      <protection locked="0"/>
    </xf>
    <xf numFmtId="178" fontId="28" fillId="0" borderId="1" xfId="59" applyNumberFormat="1" applyFont="1" applyFill="1" applyBorder="1" applyAlignment="1" applyProtection="1">
      <alignment horizontal="center" vertical="center"/>
      <protection locked="0"/>
    </xf>
    <xf numFmtId="10" fontId="28" fillId="0" borderId="1" xfId="59" applyNumberFormat="1" applyFont="1" applyFill="1" applyBorder="1" applyAlignment="1" applyProtection="1">
      <alignment horizontal="center" vertical="center"/>
      <protection locked="0"/>
    </xf>
    <xf numFmtId="178" fontId="28" fillId="2" borderId="1" xfId="59" applyNumberFormat="1" applyFont="1" applyFill="1" applyBorder="1" applyAlignment="1" applyProtection="1">
      <alignment horizontal="center" vertical="center"/>
    </xf>
    <xf numFmtId="10" fontId="28" fillId="2" borderId="1" xfId="59" applyNumberFormat="1" applyFont="1" applyFill="1" applyBorder="1" applyAlignment="1" applyProtection="1">
      <alignment horizontal="center" vertical="center"/>
    </xf>
    <xf numFmtId="0" fontId="39" fillId="2" borderId="15" xfId="59" applyFont="1" applyFill="1" applyBorder="1" applyAlignment="1" applyProtection="1">
      <alignment vertical="center"/>
    </xf>
    <xf numFmtId="186" fontId="28" fillId="2" borderId="7" xfId="0" applyNumberFormat="1" applyFont="1" applyFill="1" applyBorder="1" applyAlignment="1" applyProtection="1">
      <alignment horizontal="center" vertical="center"/>
    </xf>
    <xf numFmtId="0" fontId="28" fillId="2" borderId="8" xfId="59" applyNumberFormat="1" applyFont="1" applyFill="1" applyBorder="1" applyAlignment="1" applyProtection="1">
      <alignment horizontal="center" vertical="center"/>
    </xf>
    <xf numFmtId="10" fontId="28" fillId="2" borderId="8" xfId="59" applyNumberFormat="1" applyFont="1" applyFill="1" applyBorder="1" applyAlignment="1" applyProtection="1">
      <alignment horizontal="center" vertical="center"/>
    </xf>
    <xf numFmtId="0" fontId="16" fillId="9" borderId="0" xfId="0" applyFont="1" applyFill="1" applyAlignment="1" applyProtection="1">
      <alignment horizontal="center" vertical="center"/>
      <protection locked="0"/>
    </xf>
    <xf numFmtId="0" fontId="157" fillId="9" borderId="0" xfId="0" applyFont="1" applyFill="1" applyAlignment="1" applyProtection="1">
      <alignment horizontal="center" vertical="center"/>
      <protection locked="0"/>
    </xf>
    <xf numFmtId="0" fontId="157" fillId="9" borderId="0" xfId="0" applyFont="1" applyFill="1" applyAlignment="1" applyProtection="1">
      <alignment vertical="center"/>
      <protection locked="0"/>
    </xf>
    <xf numFmtId="0" fontId="28" fillId="9" borderId="0" xfId="0" applyFont="1" applyFill="1" applyBorder="1" applyAlignment="1" applyProtection="1">
      <alignment vertical="center"/>
      <protection locked="0"/>
    </xf>
    <xf numFmtId="0" fontId="28" fillId="2" borderId="106" xfId="0" applyFont="1" applyFill="1" applyBorder="1" applyAlignment="1" applyProtection="1">
      <alignment horizontal="center" vertical="center"/>
    </xf>
    <xf numFmtId="0" fontId="28" fillId="2" borderId="4" xfId="59" applyFont="1" applyFill="1" applyBorder="1" applyAlignment="1" applyProtection="1">
      <alignment horizontal="center" vertical="center" wrapText="1"/>
    </xf>
    <xf numFmtId="0" fontId="96" fillId="2" borderId="55" xfId="59" applyFont="1" applyFill="1" applyBorder="1" applyAlignment="1" applyProtection="1">
      <alignment horizontal="center" vertical="center" wrapText="1"/>
    </xf>
    <xf numFmtId="0" fontId="28" fillId="2" borderId="70" xfId="59" applyFont="1" applyFill="1" applyBorder="1" applyAlignment="1" applyProtection="1">
      <alignment horizontal="center" vertical="center" wrapText="1"/>
    </xf>
    <xf numFmtId="0" fontId="28" fillId="2" borderId="4" xfId="0" applyFont="1" applyFill="1" applyBorder="1" applyAlignment="1" applyProtection="1">
      <alignment horizontal="center" vertical="center" wrapText="1"/>
    </xf>
    <xf numFmtId="0" fontId="96" fillId="2" borderId="39" xfId="0" applyFont="1" applyFill="1" applyBorder="1" applyAlignment="1" applyProtection="1">
      <alignment horizontal="center" vertical="center" wrapText="1"/>
    </xf>
    <xf numFmtId="9" fontId="16" fillId="3" borderId="10" xfId="0" applyNumberFormat="1" applyFont="1" applyFill="1" applyBorder="1" applyAlignment="1" applyProtection="1">
      <alignment horizontal="center" vertical="center"/>
      <protection locked="0"/>
    </xf>
    <xf numFmtId="182" fontId="28" fillId="2" borderId="1" xfId="0" applyNumberFormat="1" applyFont="1" applyFill="1" applyBorder="1" applyAlignment="1" applyProtection="1">
      <alignment horizontal="center" vertical="center"/>
    </xf>
    <xf numFmtId="0" fontId="28" fillId="0" borderId="14" xfId="59" applyNumberFormat="1" applyFont="1" applyFill="1" applyBorder="1" applyAlignment="1" applyProtection="1">
      <alignment horizontal="center" vertical="center"/>
      <protection locked="0"/>
    </xf>
    <xf numFmtId="0" fontId="28" fillId="0" borderId="6" xfId="0" applyFont="1" applyBorder="1" applyAlignment="1" applyProtection="1">
      <alignment vertical="center"/>
      <protection locked="0"/>
    </xf>
    <xf numFmtId="177" fontId="28" fillId="0" borderId="1" xfId="0" applyNumberFormat="1" applyFont="1" applyBorder="1" applyAlignment="1" applyProtection="1">
      <alignment vertical="center"/>
      <protection locked="0"/>
    </xf>
    <xf numFmtId="177" fontId="28" fillId="3" borderId="1" xfId="0" applyNumberFormat="1" applyFont="1" applyFill="1" applyBorder="1" applyAlignment="1" applyProtection="1">
      <alignment vertical="center"/>
      <protection locked="0"/>
    </xf>
    <xf numFmtId="177" fontId="28" fillId="2" borderId="10" xfId="0" applyNumberFormat="1" applyFont="1" applyFill="1" applyBorder="1" applyAlignment="1" applyProtection="1">
      <alignment vertical="center"/>
    </xf>
    <xf numFmtId="9" fontId="16" fillId="0" borderId="10" xfId="0" applyNumberFormat="1" applyFont="1" applyFill="1" applyBorder="1" applyAlignment="1" applyProtection="1">
      <alignment horizontal="center" vertical="center"/>
      <protection locked="0"/>
    </xf>
    <xf numFmtId="9" fontId="28" fillId="0" borderId="10" xfId="0" applyNumberFormat="1" applyFont="1" applyFill="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177" fontId="28" fillId="2" borderId="10" xfId="0" applyNumberFormat="1" applyFont="1" applyFill="1" applyBorder="1" applyAlignment="1" applyProtection="1">
      <alignment horizontal="center" vertical="center"/>
    </xf>
    <xf numFmtId="9" fontId="28" fillId="2" borderId="10" xfId="0" applyNumberFormat="1" applyFont="1" applyFill="1" applyBorder="1" applyAlignment="1" applyProtection="1">
      <alignment horizontal="center" vertical="center"/>
    </xf>
    <xf numFmtId="0" fontId="28" fillId="0" borderId="14" xfId="59" applyNumberFormat="1" applyFont="1" applyFill="1" applyBorder="1" applyAlignment="1" applyProtection="1">
      <alignment horizontal="center" vertical="center"/>
    </xf>
    <xf numFmtId="0" fontId="28" fillId="2" borderId="6" xfId="0" applyFont="1" applyFill="1" applyBorder="1" applyAlignment="1" applyProtection="1">
      <alignment vertical="center"/>
    </xf>
    <xf numFmtId="177" fontId="28" fillId="2" borderId="1" xfId="0" applyNumberFormat="1" applyFont="1" applyFill="1" applyBorder="1" applyAlignment="1" applyProtection="1">
      <alignment vertical="center"/>
    </xf>
    <xf numFmtId="9" fontId="28" fillId="2" borderId="42" xfId="0" applyNumberFormat="1" applyFont="1" applyFill="1" applyBorder="1" applyAlignment="1" applyProtection="1">
      <alignment horizontal="center" vertical="center"/>
    </xf>
    <xf numFmtId="182" fontId="28" fillId="2" borderId="7" xfId="59" applyNumberFormat="1" applyFont="1" applyFill="1" applyBorder="1" applyAlignment="1" applyProtection="1">
      <alignment horizontal="center" vertical="center"/>
    </xf>
    <xf numFmtId="182" fontId="28" fillId="2" borderId="97" xfId="59" applyNumberFormat="1" applyFont="1" applyFill="1" applyBorder="1" applyAlignment="1" applyProtection="1">
      <alignment horizontal="center" vertical="center"/>
    </xf>
    <xf numFmtId="0" fontId="28" fillId="2" borderId="53" xfId="59" applyNumberFormat="1" applyFont="1" applyFill="1" applyBorder="1" applyAlignment="1" applyProtection="1">
      <alignment horizontal="center" vertical="center"/>
    </xf>
    <xf numFmtId="0" fontId="28" fillId="2" borderId="7" xfId="0" applyFont="1" applyFill="1" applyBorder="1" applyAlignment="1" applyProtection="1">
      <alignment vertical="center"/>
    </xf>
    <xf numFmtId="0" fontId="28" fillId="2" borderId="8" xfId="0" applyFont="1" applyFill="1" applyBorder="1" applyAlignment="1" applyProtection="1">
      <alignment vertical="center"/>
    </xf>
    <xf numFmtId="0" fontId="28" fillId="2" borderId="42" xfId="0" applyFont="1" applyFill="1" applyBorder="1" applyAlignment="1" applyProtection="1">
      <alignment vertical="center"/>
    </xf>
    <xf numFmtId="0" fontId="28" fillId="2" borderId="55" xfId="0" applyFont="1" applyFill="1" applyBorder="1" applyAlignment="1" applyProtection="1">
      <alignment vertical="center"/>
    </xf>
    <xf numFmtId="0" fontId="28" fillId="2" borderId="19" xfId="0" applyFont="1" applyFill="1" applyBorder="1" applyAlignment="1" applyProtection="1">
      <alignment vertical="center"/>
    </xf>
    <xf numFmtId="0" fontId="28" fillId="2" borderId="56" xfId="0" applyFont="1" applyFill="1" applyBorder="1" applyAlignment="1" applyProtection="1">
      <alignment horizontal="center" vertical="center" wrapText="1"/>
    </xf>
    <xf numFmtId="0" fontId="96" fillId="2" borderId="5" xfId="0" applyFont="1" applyFill="1" applyBorder="1" applyAlignment="1" applyProtection="1">
      <alignment horizontal="center" vertical="center" wrapText="1"/>
    </xf>
    <xf numFmtId="0" fontId="96" fillId="2" borderId="4" xfId="0" applyFont="1" applyFill="1" applyBorder="1" applyAlignment="1" applyProtection="1">
      <alignment horizontal="center" vertical="center" wrapText="1"/>
    </xf>
    <xf numFmtId="177" fontId="28" fillId="0" borderId="14" xfId="0" applyNumberFormat="1" applyFont="1" applyBorder="1" applyAlignment="1" applyProtection="1">
      <alignment vertical="center"/>
      <protection locked="0"/>
    </xf>
    <xf numFmtId="0" fontId="28" fillId="0" borderId="11" xfId="0" applyFont="1" applyBorder="1" applyAlignment="1" applyProtection="1">
      <alignment vertical="center"/>
      <protection locked="0"/>
    </xf>
    <xf numFmtId="177" fontId="28" fillId="0" borderId="10" xfId="0" applyNumberFormat="1" applyFont="1" applyBorder="1" applyAlignment="1" applyProtection="1">
      <alignment vertical="center"/>
      <protection locked="0"/>
    </xf>
    <xf numFmtId="0" fontId="28" fillId="2" borderId="6" xfId="0" applyFont="1" applyFill="1" applyBorder="1" applyAlignment="1" applyProtection="1">
      <alignment horizontal="center" vertical="center"/>
    </xf>
    <xf numFmtId="0" fontId="28" fillId="0" borderId="11" xfId="0" applyFont="1" applyBorder="1" applyAlignment="1" applyProtection="1">
      <alignment horizontal="center" vertical="center"/>
      <protection locked="0"/>
    </xf>
    <xf numFmtId="177" fontId="28" fillId="2" borderId="14" xfId="0" applyNumberFormat="1" applyFont="1" applyFill="1" applyBorder="1" applyAlignment="1" applyProtection="1">
      <alignment vertical="center"/>
    </xf>
    <xf numFmtId="0" fontId="28" fillId="2" borderId="11" xfId="0" applyFont="1" applyFill="1" applyBorder="1" applyAlignment="1" applyProtection="1">
      <alignment vertical="center"/>
    </xf>
    <xf numFmtId="177" fontId="28" fillId="2" borderId="1" xfId="0" applyNumberFormat="1" applyFont="1" applyFill="1" applyBorder="1" applyAlignment="1" applyProtection="1">
      <alignment horizontal="center" vertical="center"/>
    </xf>
    <xf numFmtId="0" fontId="28" fillId="2" borderId="15" xfId="0" applyFont="1" applyFill="1" applyBorder="1" applyAlignment="1" applyProtection="1">
      <alignment vertical="center"/>
    </xf>
    <xf numFmtId="0" fontId="28" fillId="2" borderId="97" xfId="0" applyFont="1" applyFill="1" applyBorder="1" applyAlignment="1" applyProtection="1">
      <alignment vertical="center"/>
    </xf>
    <xf numFmtId="0" fontId="28" fillId="2" borderId="45" xfId="0" applyFont="1" applyFill="1" applyBorder="1" applyAlignment="1" applyProtection="1">
      <alignment vertical="center"/>
    </xf>
    <xf numFmtId="0" fontId="96" fillId="2" borderId="1" xfId="0" applyFont="1" applyFill="1" applyBorder="1" applyAlignment="1" applyProtection="1">
      <alignment horizontal="center" vertical="center" wrapText="1"/>
      <protection locked="0"/>
    </xf>
    <xf numFmtId="0" fontId="47" fillId="2" borderId="14" xfId="0" applyFont="1" applyFill="1" applyBorder="1" applyAlignment="1" applyProtection="1">
      <alignment horizontal="center" vertical="center"/>
    </xf>
    <xf numFmtId="0" fontId="28" fillId="3" borderId="11" xfId="0" applyFont="1" applyFill="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10" fontId="28" fillId="0" borderId="1" xfId="0" applyNumberFormat="1" applyFont="1" applyBorder="1" applyAlignment="1" applyProtection="1">
      <alignment horizontal="center" vertical="center"/>
      <protection locked="0"/>
    </xf>
    <xf numFmtId="189" fontId="28" fillId="0" borderId="1" xfId="0" applyNumberFormat="1" applyFont="1" applyBorder="1" applyAlignment="1" applyProtection="1">
      <alignment horizontal="center" vertical="center"/>
      <protection locked="0"/>
    </xf>
    <xf numFmtId="177" fontId="28" fillId="0" borderId="14" xfId="0" applyNumberFormat="1" applyFont="1" applyBorder="1" applyAlignment="1" applyProtection="1">
      <alignment horizontal="center" vertical="center"/>
      <protection locked="0"/>
    </xf>
    <xf numFmtId="0" fontId="28" fillId="3" borderId="1" xfId="0" applyFont="1" applyFill="1" applyBorder="1" applyAlignment="1" applyProtection="1">
      <alignment vertical="center"/>
      <protection locked="0"/>
    </xf>
    <xf numFmtId="177" fontId="28" fillId="0" borderId="10" xfId="0" applyNumberFormat="1" applyFont="1" applyBorder="1" applyAlignment="1" applyProtection="1">
      <alignment horizontal="center" vertical="center"/>
      <protection locked="0"/>
    </xf>
    <xf numFmtId="10" fontId="28" fillId="0" borderId="1" xfId="0" applyNumberFormat="1" applyFont="1" applyFill="1" applyBorder="1" applyAlignment="1" applyProtection="1">
      <alignment horizontal="center" vertical="center"/>
      <protection locked="0"/>
    </xf>
    <xf numFmtId="189" fontId="28" fillId="0" borderId="1" xfId="0" applyNumberFormat="1" applyFont="1" applyFill="1" applyBorder="1" applyAlignment="1" applyProtection="1">
      <alignment horizontal="center" vertical="center"/>
      <protection locked="0"/>
    </xf>
    <xf numFmtId="177" fontId="28" fillId="0" borderId="10" xfId="0" applyNumberFormat="1" applyFont="1" applyFill="1" applyBorder="1" applyAlignment="1" applyProtection="1">
      <alignment horizontal="center" vertical="center"/>
      <protection locked="0"/>
    </xf>
    <xf numFmtId="10" fontId="28" fillId="2" borderId="1" xfId="0" applyNumberFormat="1" applyFont="1" applyFill="1" applyBorder="1" applyAlignment="1" applyProtection="1">
      <alignment horizontal="center" vertical="center"/>
    </xf>
    <xf numFmtId="189" fontId="28" fillId="2" borderId="1" xfId="0" applyNumberFormat="1" applyFont="1" applyFill="1" applyBorder="1" applyAlignment="1" applyProtection="1">
      <alignment horizontal="center" vertical="center"/>
    </xf>
    <xf numFmtId="177" fontId="28" fillId="2" borderId="14" xfId="0" applyNumberFormat="1" applyFont="1" applyFill="1" applyBorder="1" applyAlignment="1" applyProtection="1">
      <alignment horizontal="center" vertical="center"/>
    </xf>
    <xf numFmtId="0" fontId="28" fillId="9" borderId="0" xfId="0" applyFont="1" applyFill="1" applyAlignment="1" applyProtection="1">
      <alignment vertical="center" wrapText="1"/>
      <protection locked="0"/>
    </xf>
    <xf numFmtId="0" fontId="132" fillId="2" borderId="0" xfId="0" applyFont="1" applyFill="1" applyAlignment="1" applyProtection="1">
      <alignment vertical="center" wrapText="1"/>
    </xf>
    <xf numFmtId="0" fontId="28" fillId="0" borderId="0" xfId="0" applyFont="1" applyAlignment="1" applyProtection="1">
      <alignment vertical="center"/>
      <protection locked="0"/>
    </xf>
    <xf numFmtId="0" fontId="28" fillId="0" borderId="0" xfId="0" applyFont="1" applyAlignment="1" applyProtection="1">
      <alignment vertical="center" wrapText="1"/>
      <protection locked="0"/>
    </xf>
    <xf numFmtId="0" fontId="16" fillId="0" borderId="0" xfId="0" applyFont="1" applyFill="1" applyAlignment="1" applyProtection="1">
      <alignment vertical="center"/>
      <protection locked="0"/>
    </xf>
    <xf numFmtId="0" fontId="28" fillId="0" borderId="0" xfId="0" applyFont="1" applyProtection="1">
      <alignment vertical="center"/>
      <protection locked="0"/>
    </xf>
    <xf numFmtId="0" fontId="28" fillId="2" borderId="0" xfId="0" applyFont="1" applyFill="1" applyProtection="1">
      <alignment vertical="center"/>
      <protection locked="0"/>
    </xf>
    <xf numFmtId="186" fontId="37" fillId="2" borderId="1" xfId="59" applyNumberFormat="1" applyFont="1" applyFill="1" applyBorder="1" applyAlignment="1" applyProtection="1">
      <alignment horizontal="center" vertical="center"/>
    </xf>
    <xf numFmtId="0" fontId="28" fillId="9" borderId="0" xfId="0" applyFont="1" applyFill="1" applyProtection="1">
      <alignment vertical="center"/>
      <protection locked="0"/>
    </xf>
    <xf numFmtId="0" fontId="28" fillId="2" borderId="10" xfId="0" applyFont="1" applyFill="1" applyBorder="1" applyProtection="1">
      <alignment vertical="center"/>
    </xf>
    <xf numFmtId="0" fontId="28" fillId="2" borderId="12" xfId="0" applyFont="1" applyFill="1" applyBorder="1" applyProtection="1">
      <alignment vertical="center"/>
    </xf>
    <xf numFmtId="0" fontId="39" fillId="2" borderId="9" xfId="0" applyFont="1" applyFill="1" applyBorder="1" applyAlignment="1" applyProtection="1">
      <alignment horizontal="center" vertical="center"/>
    </xf>
    <xf numFmtId="0" fontId="39" fillId="2" borderId="9" xfId="0" applyFont="1" applyFill="1" applyBorder="1" applyAlignment="1" applyProtection="1">
      <alignment vertical="center"/>
    </xf>
    <xf numFmtId="0" fontId="39" fillId="2" borderId="59" xfId="0" applyFont="1" applyFill="1" applyBorder="1" applyAlignment="1" applyProtection="1">
      <alignment horizontal="center" vertical="center"/>
    </xf>
    <xf numFmtId="0" fontId="39" fillId="2" borderId="78" xfId="0" applyFont="1" applyFill="1" applyBorder="1" applyAlignment="1" applyProtection="1">
      <alignment horizontal="center" vertical="center"/>
    </xf>
    <xf numFmtId="0" fontId="39" fillId="2" borderId="56" xfId="0" applyFont="1" applyFill="1" applyBorder="1" applyAlignment="1" applyProtection="1">
      <alignment horizontal="center" vertical="center"/>
    </xf>
    <xf numFmtId="0" fontId="39" fillId="2" borderId="5" xfId="0" applyFont="1" applyFill="1" applyBorder="1" applyAlignment="1" applyProtection="1">
      <alignment horizontal="center" vertical="center"/>
    </xf>
    <xf numFmtId="186" fontId="37" fillId="2" borderId="13" xfId="59" applyNumberFormat="1" applyFont="1" applyFill="1" applyBorder="1" applyAlignment="1" applyProtection="1">
      <alignment horizontal="center" vertical="center"/>
    </xf>
    <xf numFmtId="0" fontId="28" fillId="2" borderId="3" xfId="0" applyFont="1" applyFill="1" applyBorder="1" applyProtection="1">
      <alignment vertical="center"/>
    </xf>
    <xf numFmtId="0" fontId="28" fillId="2" borderId="22" xfId="0" applyFont="1" applyFill="1" applyBorder="1" applyAlignment="1" applyProtection="1">
      <alignment vertical="center"/>
    </xf>
    <xf numFmtId="0" fontId="28" fillId="2" borderId="1" xfId="0" applyFont="1" applyFill="1" applyBorder="1" applyAlignment="1" applyProtection="1">
      <alignment vertical="center"/>
    </xf>
    <xf numFmtId="186" fontId="28" fillId="2" borderId="14" xfId="0" applyNumberFormat="1" applyFont="1" applyFill="1" applyBorder="1" applyAlignment="1" applyProtection="1">
      <alignment vertical="center"/>
    </xf>
    <xf numFmtId="0" fontId="28" fillId="2" borderId="76" xfId="0" applyFont="1" applyFill="1" applyBorder="1" applyAlignment="1" applyProtection="1">
      <alignment vertical="center"/>
    </xf>
    <xf numFmtId="0" fontId="28" fillId="2" borderId="59" xfId="0" applyFont="1" applyFill="1" applyBorder="1" applyAlignment="1" applyProtection="1">
      <alignment horizontal="center" vertical="center"/>
    </xf>
    <xf numFmtId="0" fontId="28" fillId="2" borderId="78" xfId="0" applyFont="1" applyFill="1" applyBorder="1" applyAlignment="1" applyProtection="1">
      <alignment horizontal="center" vertical="center"/>
    </xf>
    <xf numFmtId="0" fontId="28" fillId="2" borderId="56" xfId="0" applyFont="1" applyFill="1" applyBorder="1" applyAlignment="1" applyProtection="1">
      <alignment horizontal="center" vertical="center"/>
    </xf>
    <xf numFmtId="186" fontId="39" fillId="2" borderId="13" xfId="59" applyNumberFormat="1" applyFont="1" applyFill="1" applyBorder="1" applyAlignment="1" applyProtection="1">
      <alignment horizontal="center" vertical="center"/>
    </xf>
    <xf numFmtId="0" fontId="96" fillId="2" borderId="10" xfId="0" applyFont="1" applyFill="1" applyBorder="1" applyProtection="1">
      <alignment vertical="center"/>
    </xf>
    <xf numFmtId="0" fontId="96" fillId="2" borderId="11" xfId="0" applyFont="1" applyFill="1" applyBorder="1" applyProtection="1">
      <alignment vertical="center"/>
    </xf>
    <xf numFmtId="0" fontId="28" fillId="2" borderId="9" xfId="0" applyFont="1" applyFill="1" applyBorder="1" applyAlignment="1" applyProtection="1">
      <alignment vertical="center"/>
    </xf>
    <xf numFmtId="0" fontId="28" fillId="2" borderId="14" xfId="0" applyFont="1" applyFill="1" applyBorder="1" applyAlignment="1" applyProtection="1">
      <alignment vertical="center"/>
    </xf>
    <xf numFmtId="0" fontId="28" fillId="9" borderId="0" xfId="0" applyFont="1" applyFill="1" applyBorder="1" applyProtection="1">
      <alignment vertical="center"/>
      <protection locked="0"/>
    </xf>
    <xf numFmtId="0" fontId="28" fillId="2" borderId="68" xfId="0" applyFont="1" applyFill="1" applyBorder="1" applyAlignment="1" applyProtection="1">
      <alignment vertical="center"/>
    </xf>
    <xf numFmtId="0" fontId="28" fillId="2" borderId="35" xfId="0" applyFont="1" applyFill="1" applyBorder="1" applyAlignment="1" applyProtection="1">
      <alignment vertical="center"/>
    </xf>
    <xf numFmtId="0" fontId="28" fillId="0" borderId="14" xfId="0" applyFont="1" applyFill="1" applyBorder="1" applyAlignment="1" applyProtection="1">
      <alignment vertical="center"/>
      <protection locked="0"/>
    </xf>
    <xf numFmtId="0" fontId="42" fillId="2" borderId="1" xfId="0" applyFont="1" applyFill="1" applyBorder="1" applyAlignment="1" applyProtection="1">
      <alignment vertical="center"/>
    </xf>
    <xf numFmtId="0" fontId="28" fillId="2" borderId="57" xfId="0" applyFont="1" applyFill="1" applyBorder="1" applyAlignment="1" applyProtection="1">
      <alignment vertical="center"/>
    </xf>
    <xf numFmtId="0" fontId="39" fillId="2" borderId="59" xfId="0" applyFont="1" applyFill="1" applyBorder="1" applyAlignment="1" applyProtection="1">
      <alignment horizontal="left" vertical="center"/>
    </xf>
    <xf numFmtId="0" fontId="28" fillId="2" borderId="41" xfId="0" applyFont="1" applyFill="1" applyBorder="1" applyProtection="1">
      <alignment vertical="center"/>
    </xf>
    <xf numFmtId="0" fontId="42" fillId="2" borderId="55" xfId="0" applyFont="1" applyFill="1" applyBorder="1" applyAlignment="1" applyProtection="1">
      <alignment vertical="center"/>
    </xf>
    <xf numFmtId="186" fontId="37" fillId="2" borderId="39" xfId="59" applyNumberFormat="1" applyFont="1" applyFill="1" applyBorder="1" applyAlignment="1" applyProtection="1">
      <alignment horizontal="center" vertical="center"/>
    </xf>
    <xf numFmtId="186" fontId="37" fillId="2" borderId="78" xfId="59" applyNumberFormat="1" applyFont="1" applyFill="1" applyBorder="1" applyAlignment="1" applyProtection="1">
      <alignment horizontal="center" vertical="center"/>
    </xf>
    <xf numFmtId="186" fontId="37" fillId="2" borderId="44" xfId="59" applyNumberFormat="1" applyFont="1" applyFill="1" applyBorder="1" applyAlignment="1" applyProtection="1">
      <alignment horizontal="center" vertical="center"/>
    </xf>
    <xf numFmtId="0" fontId="39" fillId="2" borderId="75" xfId="0" applyFont="1" applyFill="1" applyBorder="1" applyAlignment="1" applyProtection="1">
      <alignment horizontal="right" vertical="center"/>
    </xf>
    <xf numFmtId="0" fontId="28" fillId="2" borderId="3" xfId="0" applyFont="1" applyFill="1" applyBorder="1" applyAlignment="1" applyProtection="1">
      <alignment vertical="center"/>
    </xf>
    <xf numFmtId="0" fontId="28" fillId="2" borderId="0" xfId="0" applyFont="1" applyFill="1" applyBorder="1" applyAlignment="1" applyProtection="1">
      <alignment vertical="center"/>
    </xf>
    <xf numFmtId="186" fontId="32" fillId="2" borderId="1" xfId="59" applyNumberFormat="1" applyFont="1" applyFill="1" applyBorder="1" applyAlignment="1" applyProtection="1">
      <alignment horizontal="center" vertical="center"/>
    </xf>
    <xf numFmtId="0" fontId="28" fillId="2" borderId="81" xfId="0" applyFont="1" applyFill="1" applyBorder="1" applyAlignment="1" applyProtection="1">
      <alignment horizontal="center" vertical="center"/>
    </xf>
    <xf numFmtId="0" fontId="28" fillId="2" borderId="72" xfId="0" applyFont="1" applyFill="1" applyBorder="1" applyAlignment="1" applyProtection="1">
      <alignment horizontal="center" vertical="center"/>
    </xf>
    <xf numFmtId="0" fontId="28" fillId="2" borderId="21" xfId="0" applyFont="1" applyFill="1" applyBorder="1" applyProtection="1">
      <alignment vertical="center"/>
    </xf>
    <xf numFmtId="178" fontId="24" fillId="0" borderId="1" xfId="59" applyNumberFormat="1" applyFont="1" applyFill="1" applyBorder="1" applyAlignment="1" applyProtection="1">
      <alignment vertical="center"/>
      <protection locked="0" hidden="1"/>
    </xf>
    <xf numFmtId="186" fontId="28" fillId="2" borderId="1" xfId="0" applyNumberFormat="1" applyFont="1" applyFill="1" applyBorder="1" applyAlignment="1" applyProtection="1">
      <alignment vertical="center"/>
    </xf>
    <xf numFmtId="0" fontId="16" fillId="0" borderId="11" xfId="0" applyFont="1" applyFill="1" applyBorder="1" applyProtection="1">
      <alignment vertical="center"/>
      <protection locked="0"/>
    </xf>
    <xf numFmtId="0" fontId="16" fillId="0" borderId="14" xfId="0" applyFont="1" applyFill="1" applyBorder="1" applyProtection="1">
      <alignment vertical="center"/>
      <protection locked="0"/>
    </xf>
    <xf numFmtId="0" fontId="28" fillId="2" borderId="21" xfId="0" applyFont="1" applyFill="1" applyBorder="1" applyAlignment="1" applyProtection="1">
      <alignment vertical="center"/>
    </xf>
    <xf numFmtId="178" fontId="132" fillId="0" borderId="1" xfId="59" applyNumberFormat="1" applyFont="1" applyFill="1" applyBorder="1" applyAlignment="1" applyProtection="1">
      <alignment vertical="center"/>
      <protection locked="0"/>
    </xf>
    <xf numFmtId="0" fontId="28" fillId="0" borderId="58" xfId="0" applyFont="1" applyFill="1" applyBorder="1" applyProtection="1">
      <alignment vertical="center"/>
      <protection locked="0"/>
    </xf>
    <xf numFmtId="0" fontId="28" fillId="0" borderId="57" xfId="0" applyFont="1" applyFill="1" applyBorder="1" applyProtection="1">
      <alignment vertical="center"/>
      <protection locked="0"/>
    </xf>
    <xf numFmtId="178" fontId="28" fillId="0" borderId="1" xfId="59" applyNumberFormat="1" applyFont="1" applyFill="1" applyBorder="1" applyAlignment="1" applyProtection="1">
      <alignment vertical="center"/>
      <protection locked="0"/>
    </xf>
    <xf numFmtId="178" fontId="28" fillId="0" borderId="11" xfId="59" applyNumberFormat="1" applyFont="1" applyFill="1" applyBorder="1" applyAlignment="1" applyProtection="1">
      <alignment vertical="center"/>
      <protection locked="0"/>
    </xf>
    <xf numFmtId="186" fontId="28" fillId="2" borderId="1" xfId="0" applyNumberFormat="1" applyFont="1" applyFill="1" applyBorder="1" applyAlignment="1" applyProtection="1">
      <alignment horizontal="center" vertical="center"/>
    </xf>
    <xf numFmtId="186" fontId="28" fillId="2" borderId="7" xfId="0" applyNumberFormat="1" applyFont="1" applyFill="1" applyBorder="1" applyAlignment="1" applyProtection="1">
      <alignment vertical="center"/>
    </xf>
    <xf numFmtId="0" fontId="28" fillId="2" borderId="46" xfId="0" applyFont="1" applyFill="1" applyBorder="1" applyProtection="1">
      <alignment vertical="center"/>
    </xf>
    <xf numFmtId="0" fontId="42" fillId="2" borderId="11" xfId="0" applyFont="1" applyFill="1" applyBorder="1" applyAlignment="1" applyProtection="1">
      <alignment horizontal="left" vertical="center"/>
    </xf>
    <xf numFmtId="0" fontId="28" fillId="2" borderId="57" xfId="0" applyFont="1" applyFill="1" applyBorder="1" applyProtection="1">
      <alignment vertical="center"/>
    </xf>
    <xf numFmtId="0" fontId="28" fillId="2" borderId="58" xfId="0" applyFont="1" applyFill="1" applyBorder="1" applyAlignment="1" applyProtection="1">
      <alignment horizontal="left" vertical="center"/>
    </xf>
    <xf numFmtId="0" fontId="28" fillId="2" borderId="32" xfId="0" applyFont="1" applyFill="1" applyBorder="1" applyAlignment="1" applyProtection="1">
      <alignment vertical="center"/>
    </xf>
    <xf numFmtId="0" fontId="39" fillId="2" borderId="42" xfId="0" applyFont="1" applyFill="1" applyBorder="1" applyAlignment="1" applyProtection="1">
      <alignment vertical="center"/>
    </xf>
    <xf numFmtId="0" fontId="135" fillId="2" borderId="97" xfId="0" applyFont="1" applyFill="1" applyBorder="1" applyAlignment="1" applyProtection="1">
      <alignment vertical="center"/>
    </xf>
    <xf numFmtId="182" fontId="39" fillId="2" borderId="97" xfId="0" applyNumberFormat="1" applyFont="1" applyFill="1" applyBorder="1" applyAlignment="1" applyProtection="1">
      <alignment vertical="center"/>
    </xf>
    <xf numFmtId="182" fontId="39" fillId="2" borderId="8" xfId="0" applyNumberFormat="1" applyFont="1" applyFill="1" applyBorder="1" applyAlignment="1" applyProtection="1">
      <alignment vertical="center"/>
    </xf>
    <xf numFmtId="182" fontId="39" fillId="2" borderId="15" xfId="0" applyNumberFormat="1" applyFont="1" applyFill="1" applyBorder="1" applyAlignment="1" applyProtection="1">
      <alignment vertical="center"/>
    </xf>
    <xf numFmtId="0" fontId="132" fillId="2" borderId="3" xfId="0" applyFont="1" applyFill="1" applyBorder="1" applyProtection="1">
      <alignment vertical="center"/>
    </xf>
    <xf numFmtId="0" fontId="28" fillId="2" borderId="81" xfId="0" applyFont="1" applyFill="1" applyBorder="1" applyProtection="1">
      <alignment vertical="center"/>
      <protection locked="0"/>
    </xf>
    <xf numFmtId="186" fontId="28" fillId="0" borderId="0" xfId="0" applyNumberFormat="1" applyFont="1" applyProtection="1">
      <alignment vertical="center"/>
      <protection locked="0"/>
    </xf>
    <xf numFmtId="0" fontId="39" fillId="2" borderId="11" xfId="0" applyFont="1" applyFill="1" applyBorder="1" applyAlignment="1" applyProtection="1">
      <alignment horizontal="center" vertical="center"/>
    </xf>
    <xf numFmtId="0" fontId="28" fillId="0" borderId="1" xfId="0" applyFont="1" applyFill="1" applyBorder="1" applyAlignment="1" applyProtection="1">
      <alignment horizontal="center" vertical="center"/>
      <protection locked="0"/>
    </xf>
    <xf numFmtId="0" fontId="28" fillId="2" borderId="44" xfId="0" applyFont="1" applyFill="1" applyBorder="1" applyAlignment="1" applyProtection="1">
      <alignment horizontal="left" vertical="center"/>
    </xf>
    <xf numFmtId="0" fontId="134" fillId="2" borderId="69" xfId="0" applyFont="1" applyFill="1" applyBorder="1" applyAlignment="1" applyProtection="1">
      <alignment horizontal="center" vertical="center"/>
    </xf>
    <xf numFmtId="0" fontId="134" fillId="2" borderId="41" xfId="0" applyFont="1" applyFill="1" applyBorder="1" applyAlignment="1" applyProtection="1">
      <alignment horizontal="center" vertical="center"/>
    </xf>
    <xf numFmtId="0" fontId="134" fillId="2" borderId="70" xfId="0" applyFont="1" applyFill="1" applyBorder="1" applyAlignment="1" applyProtection="1">
      <alignment horizontal="center" vertical="center"/>
    </xf>
    <xf numFmtId="182" fontId="39" fillId="5" borderId="14" xfId="0" applyNumberFormat="1" applyFont="1" applyFill="1" applyBorder="1" applyAlignment="1" applyProtection="1">
      <alignment horizontal="center" vertical="center"/>
      <protection locked="0"/>
    </xf>
    <xf numFmtId="0" fontId="96" fillId="2" borderId="4" xfId="0" applyFont="1" applyFill="1" applyBorder="1" applyAlignment="1" applyProtection="1">
      <alignment horizontal="center" vertical="center"/>
    </xf>
    <xf numFmtId="0" fontId="96" fillId="2" borderId="5" xfId="0" applyFont="1" applyFill="1" applyBorder="1" applyAlignment="1" applyProtection="1">
      <alignment horizontal="center" vertical="center"/>
    </xf>
    <xf numFmtId="0" fontId="96" fillId="2" borderId="13" xfId="0" applyFont="1" applyFill="1" applyBorder="1" applyAlignment="1" applyProtection="1">
      <alignment horizontal="center" vertical="center"/>
    </xf>
    <xf numFmtId="182" fontId="28" fillId="2" borderId="14" xfId="0" applyNumberFormat="1" applyFont="1" applyFill="1" applyBorder="1" applyAlignment="1" applyProtection="1">
      <alignment horizontal="center" vertical="center"/>
    </xf>
    <xf numFmtId="0" fontId="96" fillId="2" borderId="6" xfId="0" applyFont="1" applyFill="1" applyBorder="1" applyAlignment="1" applyProtection="1">
      <alignment horizontal="center" vertical="center"/>
    </xf>
    <xf numFmtId="0" fontId="96" fillId="2" borderId="1" xfId="0" applyFont="1" applyFill="1" applyBorder="1" applyAlignment="1" applyProtection="1">
      <alignment horizontal="left" vertical="center"/>
    </xf>
    <xf numFmtId="0" fontId="96" fillId="2" borderId="14" xfId="0" applyFont="1" applyFill="1" applyBorder="1" applyAlignment="1" applyProtection="1">
      <alignment horizontal="center" vertical="center"/>
    </xf>
    <xf numFmtId="0" fontId="28" fillId="2" borderId="6" xfId="0" applyFont="1" applyFill="1" applyBorder="1" applyProtection="1">
      <alignment vertical="center"/>
    </xf>
    <xf numFmtId="0" fontId="28" fillId="2" borderId="14" xfId="0" applyFont="1" applyFill="1" applyBorder="1" applyProtection="1">
      <alignment vertical="center"/>
    </xf>
    <xf numFmtId="0" fontId="96" fillId="0" borderId="6" xfId="0" applyFont="1" applyBorder="1" applyProtection="1">
      <alignment vertical="center"/>
      <protection locked="0"/>
    </xf>
    <xf numFmtId="0" fontId="96" fillId="0" borderId="1" xfId="0" applyFont="1" applyBorder="1" applyProtection="1">
      <alignment vertical="center"/>
      <protection locked="0"/>
    </xf>
    <xf numFmtId="0" fontId="96" fillId="2" borderId="14" xfId="0" applyFont="1" applyFill="1" applyBorder="1" applyProtection="1">
      <alignment vertical="center"/>
    </xf>
    <xf numFmtId="0" fontId="28" fillId="2" borderId="22" xfId="0" applyFont="1" applyFill="1" applyBorder="1" applyProtection="1">
      <alignment vertical="center"/>
    </xf>
    <xf numFmtId="0" fontId="96" fillId="0" borderId="22" xfId="0" applyFont="1" applyBorder="1" applyProtection="1">
      <alignment vertical="center"/>
      <protection locked="0"/>
    </xf>
    <xf numFmtId="0" fontId="96" fillId="0" borderId="9" xfId="0" applyFont="1" applyBorder="1" applyProtection="1">
      <alignment vertical="center"/>
      <protection locked="0"/>
    </xf>
    <xf numFmtId="0" fontId="96" fillId="2" borderId="57" xfId="0" applyFont="1" applyFill="1" applyBorder="1" applyProtection="1">
      <alignment vertical="center"/>
    </xf>
    <xf numFmtId="186" fontId="28" fillId="2" borderId="86" xfId="0" applyNumberFormat="1" applyFont="1" applyFill="1" applyBorder="1" applyAlignment="1" applyProtection="1">
      <alignment vertical="center"/>
    </xf>
    <xf numFmtId="0" fontId="39" fillId="2" borderId="7" xfId="0" applyFont="1" applyFill="1" applyBorder="1" applyProtection="1">
      <alignment vertical="center"/>
    </xf>
    <xf numFmtId="0" fontId="39" fillId="2" borderId="8" xfId="0" applyFont="1" applyFill="1" applyBorder="1" applyProtection="1">
      <alignment vertical="center"/>
    </xf>
    <xf numFmtId="0" fontId="39" fillId="2" borderId="15" xfId="0" applyFont="1" applyFill="1" applyBorder="1" applyProtection="1">
      <alignment vertical="center"/>
    </xf>
    <xf numFmtId="0" fontId="28" fillId="2" borderId="15" xfId="0" applyFont="1" applyFill="1" applyBorder="1" applyProtection="1">
      <alignment vertical="center"/>
    </xf>
    <xf numFmtId="0" fontId="132" fillId="2" borderId="10" xfId="0" applyFont="1" applyFill="1" applyBorder="1" applyProtection="1">
      <alignment vertical="center"/>
    </xf>
    <xf numFmtId="0" fontId="132" fillId="2" borderId="1" xfId="0" applyFont="1" applyFill="1" applyBorder="1" applyProtection="1">
      <alignment vertical="center"/>
    </xf>
    <xf numFmtId="186" fontId="28" fillId="2" borderId="1" xfId="0" applyNumberFormat="1" applyFont="1" applyFill="1" applyBorder="1" applyProtection="1">
      <alignment vertical="center"/>
    </xf>
    <xf numFmtId="0" fontId="28" fillId="2" borderId="1" xfId="0" applyFont="1" applyFill="1" applyBorder="1" applyAlignment="1" applyProtection="1">
      <alignment horizontal="right" vertical="center" wrapText="1"/>
    </xf>
    <xf numFmtId="0" fontId="0" fillId="0" borderId="0" xfId="0" applyAlignment="1">
      <alignment vertical="center" wrapText="1"/>
    </xf>
    <xf numFmtId="0" fontId="137" fillId="0" borderId="1" xfId="0" applyFont="1" applyFill="1" applyBorder="1" applyAlignment="1" applyProtection="1">
      <alignment horizontal="center" vertical="center" wrapText="1"/>
    </xf>
    <xf numFmtId="0" fontId="83" fillId="0" borderId="1" xfId="0" applyFont="1" applyBorder="1" applyAlignment="1">
      <alignment horizontal="center" vertical="center" wrapText="1"/>
    </xf>
    <xf numFmtId="0" fontId="83" fillId="0" borderId="1" xfId="0" applyFont="1" applyBorder="1" applyAlignment="1">
      <alignment vertical="center" wrapText="1"/>
    </xf>
    <xf numFmtId="0" fontId="16" fillId="0" borderId="0" xfId="0" applyFont="1" applyFill="1" applyAlignment="1" applyProtection="1">
      <alignment horizontal="center" vertical="center" wrapText="1"/>
      <protection locked="0"/>
    </xf>
    <xf numFmtId="186" fontId="16" fillId="0" borderId="0" xfId="0" applyNumberFormat="1" applyFont="1" applyAlignment="1" applyProtection="1">
      <alignment horizontal="center" vertical="center" wrapText="1"/>
      <protection locked="0"/>
    </xf>
    <xf numFmtId="0" fontId="28" fillId="0" borderId="0" xfId="0" applyFont="1" applyFill="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142" fillId="2" borderId="0" xfId="0" applyFont="1" applyFill="1" applyAlignment="1" applyProtection="1">
      <alignment horizontal="left" vertical="center"/>
    </xf>
    <xf numFmtId="0" fontId="28" fillId="2" borderId="0" xfId="0" applyFont="1" applyFill="1" applyAlignment="1" applyProtection="1">
      <alignment horizontal="center" vertical="center" wrapText="1"/>
    </xf>
    <xf numFmtId="0" fontId="16" fillId="2" borderId="0" xfId="0" applyFont="1" applyFill="1" applyAlignment="1" applyProtection="1">
      <alignment horizontal="center" vertical="center" wrapText="1"/>
    </xf>
    <xf numFmtId="182" fontId="16" fillId="0" borderId="1" xfId="0" applyNumberFormat="1" applyFont="1" applyBorder="1" applyAlignment="1" applyProtection="1">
      <alignment horizontal="center" vertical="center" wrapText="1"/>
      <protection locked="0"/>
    </xf>
    <xf numFmtId="182" fontId="72" fillId="2" borderId="1" xfId="0" applyNumberFormat="1"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left" vertical="center"/>
    </xf>
    <xf numFmtId="182" fontId="16" fillId="2" borderId="0" xfId="0" applyNumberFormat="1" applyFont="1" applyFill="1" applyBorder="1" applyAlignment="1" applyProtection="1">
      <alignment horizontal="center" vertical="center" wrapText="1"/>
    </xf>
    <xf numFmtId="182" fontId="18" fillId="2" borderId="0" xfId="0" applyNumberFormat="1" applyFont="1" applyFill="1" applyBorder="1" applyAlignment="1" applyProtection="1">
      <alignment horizontal="center" vertical="center" wrapText="1"/>
    </xf>
    <xf numFmtId="186" fontId="16" fillId="2" borderId="1" xfId="0" applyNumberFormat="1" applyFont="1" applyFill="1" applyBorder="1" applyAlignment="1" applyProtection="1">
      <alignment horizontal="center" vertical="center" wrapText="1"/>
    </xf>
    <xf numFmtId="186" fontId="16" fillId="2" borderId="12" xfId="0" applyNumberFormat="1" applyFont="1" applyFill="1" applyBorder="1" applyAlignment="1" applyProtection="1">
      <alignment horizontal="center" vertical="center" wrapText="1"/>
    </xf>
    <xf numFmtId="186" fontId="16" fillId="2" borderId="11" xfId="0" applyNumberFormat="1" applyFont="1" applyFill="1" applyBorder="1" applyAlignment="1" applyProtection="1">
      <alignment horizontal="center" vertical="center" wrapText="1"/>
    </xf>
    <xf numFmtId="186" fontId="16" fillId="2" borderId="9" xfId="0" applyNumberFormat="1"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wrapText="1"/>
    </xf>
    <xf numFmtId="0" fontId="16" fillId="2" borderId="18" xfId="0" applyFont="1" applyFill="1" applyBorder="1" applyAlignment="1" applyProtection="1">
      <alignment horizontal="left" vertical="center"/>
    </xf>
    <xf numFmtId="0" fontId="16" fillId="2" borderId="54" xfId="0" applyFont="1" applyFill="1" applyBorder="1" applyAlignment="1" applyProtection="1">
      <alignment horizontal="center" vertical="center" wrapText="1"/>
    </xf>
    <xf numFmtId="0" fontId="16" fillId="2" borderId="20" xfId="0" applyFont="1" applyFill="1" applyBorder="1" applyAlignment="1" applyProtection="1">
      <alignment horizontal="center" vertical="center"/>
    </xf>
    <xf numFmtId="0" fontId="16" fillId="2" borderId="18" xfId="0" applyFont="1" applyFill="1" applyBorder="1" applyAlignment="1" applyProtection="1">
      <alignment horizontal="center" vertical="center"/>
    </xf>
    <xf numFmtId="182" fontId="16" fillId="2" borderId="10" xfId="0" applyNumberFormat="1" applyFont="1" applyFill="1" applyBorder="1" applyAlignment="1" applyProtection="1">
      <alignment horizontal="left" vertical="center"/>
    </xf>
    <xf numFmtId="182" fontId="16" fillId="2" borderId="0" xfId="0" applyNumberFormat="1" applyFont="1" applyFill="1" applyBorder="1" applyAlignment="1" applyProtection="1">
      <alignment horizontal="center" vertical="center"/>
    </xf>
    <xf numFmtId="182" fontId="16" fillId="2" borderId="74" xfId="0" applyNumberFormat="1" applyFont="1" applyFill="1" applyBorder="1" applyAlignment="1" applyProtection="1">
      <alignment horizontal="center" vertical="center"/>
    </xf>
    <xf numFmtId="0" fontId="16" fillId="2" borderId="34" xfId="0" applyFont="1" applyFill="1" applyBorder="1" applyAlignment="1" applyProtection="1">
      <alignment horizontal="center" vertical="center" wrapText="1"/>
    </xf>
    <xf numFmtId="182" fontId="16" fillId="2" borderId="81" xfId="0" applyNumberFormat="1" applyFont="1" applyFill="1" applyBorder="1" applyAlignment="1" applyProtection="1">
      <alignment horizontal="center" vertical="center" wrapText="1"/>
    </xf>
    <xf numFmtId="0" fontId="24" fillId="0" borderId="1" xfId="0" applyFont="1" applyBorder="1" applyAlignment="1" applyProtection="1">
      <alignment horizontal="center" vertical="center" wrapText="1"/>
      <protection locked="0"/>
    </xf>
    <xf numFmtId="0" fontId="24" fillId="5" borderId="3" xfId="0" applyFont="1" applyFill="1" applyBorder="1" applyAlignment="1" applyProtection="1">
      <alignment horizontal="center" vertical="center" wrapText="1"/>
      <protection locked="0"/>
    </xf>
    <xf numFmtId="186" fontId="16" fillId="0" borderId="3" xfId="0" applyNumberFormat="1" applyFont="1" applyFill="1" applyBorder="1" applyAlignment="1" applyProtection="1">
      <alignment horizontal="center" vertical="center" wrapText="1"/>
      <protection locked="0"/>
    </xf>
    <xf numFmtId="186" fontId="16" fillId="2" borderId="3" xfId="0" applyNumberFormat="1" applyFont="1" applyFill="1" applyBorder="1" applyAlignment="1" applyProtection="1">
      <alignment horizontal="center" vertical="center" wrapText="1"/>
    </xf>
    <xf numFmtId="0" fontId="24" fillId="0" borderId="1" xfId="0" applyFont="1" applyBorder="1" applyAlignment="1" applyProtection="1">
      <alignmen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96" fillId="3" borderId="3" xfId="0" applyFont="1" applyFill="1" applyBorder="1" applyAlignment="1" applyProtection="1">
      <alignment horizontal="center" vertical="center" wrapText="1"/>
      <protection locked="0"/>
    </xf>
    <xf numFmtId="186" fontId="28" fillId="2" borderId="1" xfId="0" applyNumberFormat="1" applyFont="1" applyFill="1" applyBorder="1" applyAlignment="1" applyProtection="1">
      <alignment horizontal="center" vertical="center" wrapText="1"/>
    </xf>
    <xf numFmtId="186" fontId="28" fillId="0" borderId="3" xfId="0" applyNumberFormat="1" applyFont="1" applyFill="1" applyBorder="1" applyAlignment="1" applyProtection="1">
      <alignment horizontal="center" vertical="center" wrapText="1"/>
      <protection locked="0"/>
    </xf>
    <xf numFmtId="186" fontId="28" fillId="2" borderId="3" xfId="0" applyNumberFormat="1" applyFont="1" applyFill="1" applyBorder="1" applyAlignment="1" applyProtection="1">
      <alignment horizontal="center" vertical="center" wrapText="1"/>
    </xf>
    <xf numFmtId="186" fontId="28" fillId="2" borderId="9" xfId="0" applyNumberFormat="1" applyFont="1" applyFill="1" applyBorder="1" applyAlignment="1" applyProtection="1">
      <alignment horizontal="center" vertical="center" wrapText="1"/>
    </xf>
    <xf numFmtId="0" fontId="117" fillId="0" borderId="1" xfId="37" applyFont="1" applyFill="1" applyBorder="1" applyAlignment="1" applyProtection="1">
      <alignment horizontal="center" vertical="center" wrapText="1"/>
      <protection locked="0"/>
    </xf>
    <xf numFmtId="0" fontId="83" fillId="0" borderId="1" xfId="37" applyFont="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0" fontId="85" fillId="0" borderId="1" xfId="37" applyFont="1" applyBorder="1" applyAlignment="1" applyProtection="1">
      <alignment horizontal="center" vertical="center" wrapText="1"/>
      <protection locked="0"/>
    </xf>
    <xf numFmtId="0" fontId="85" fillId="0" borderId="1" xfId="37" applyFont="1" applyFill="1" applyBorder="1" applyAlignment="1" applyProtection="1">
      <alignment horizontal="center" vertical="center" wrapText="1"/>
      <protection locked="0"/>
    </xf>
    <xf numFmtId="0" fontId="83" fillId="0" borderId="1" xfId="37" applyFont="1" applyFill="1" applyBorder="1" applyAlignment="1" applyProtection="1">
      <alignment horizontal="center" vertical="center" wrapText="1"/>
      <protection locked="0"/>
    </xf>
    <xf numFmtId="0" fontId="28" fillId="3" borderId="3"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xf>
    <xf numFmtId="0" fontId="24" fillId="5" borderId="34" xfId="0" applyFont="1" applyFill="1" applyBorder="1" applyAlignment="1" applyProtection="1">
      <alignment horizontal="left" vertical="center"/>
      <protection locked="0"/>
    </xf>
    <xf numFmtId="0" fontId="16" fillId="5" borderId="34" xfId="0" applyFont="1" applyFill="1" applyBorder="1" applyAlignment="1" applyProtection="1">
      <alignment horizontal="left" vertical="center"/>
      <protection locked="0"/>
    </xf>
    <xf numFmtId="0" fontId="24" fillId="5" borderId="10" xfId="0" applyFont="1" applyFill="1" applyBorder="1" applyAlignment="1" applyProtection="1">
      <alignment horizontal="left" vertical="center"/>
      <protection locked="0"/>
    </xf>
    <xf numFmtId="0" fontId="16" fillId="5" borderId="10" xfId="0" applyFont="1" applyFill="1" applyBorder="1" applyAlignment="1" applyProtection="1">
      <alignment horizontal="left" vertical="center"/>
      <protection locked="0"/>
    </xf>
    <xf numFmtId="0" fontId="24" fillId="5" borderId="12" xfId="0" applyFont="1" applyFill="1" applyBorder="1" applyAlignment="1" applyProtection="1">
      <alignment horizontal="left" vertical="center"/>
      <protection locked="0"/>
    </xf>
    <xf numFmtId="0" fontId="18" fillId="2" borderId="11" xfId="0" applyFont="1" applyFill="1" applyBorder="1" applyAlignment="1" applyProtection="1">
      <alignment horizontal="left" vertical="center"/>
    </xf>
    <xf numFmtId="0" fontId="16" fillId="5" borderId="12" xfId="0" applyFont="1" applyFill="1" applyBorder="1" applyAlignment="1" applyProtection="1">
      <alignment horizontal="left" vertical="center"/>
      <protection locked="0"/>
    </xf>
    <xf numFmtId="186" fontId="24" fillId="0" borderId="1" xfId="0" applyNumberFormat="1" applyFont="1" applyBorder="1" applyAlignment="1" applyProtection="1">
      <alignment vertical="center" wrapText="1"/>
      <protection locked="0"/>
    </xf>
    <xf numFmtId="186" fontId="16" fillId="0" borderId="1" xfId="0" applyNumberFormat="1" applyFont="1" applyBorder="1" applyAlignment="1" applyProtection="1">
      <alignment vertical="center" wrapText="1"/>
      <protection locked="0"/>
    </xf>
    <xf numFmtId="186" fontId="28" fillId="0" borderId="1" xfId="0" applyNumberFormat="1" applyFont="1" applyBorder="1" applyAlignment="1" applyProtection="1">
      <alignment vertical="center" wrapText="1"/>
      <protection locked="0"/>
    </xf>
    <xf numFmtId="0" fontId="168" fillId="0" borderId="1" xfId="0" applyFont="1" applyBorder="1" applyAlignment="1" applyProtection="1">
      <alignment horizontal="center" vertical="center"/>
      <protection locked="0"/>
    </xf>
    <xf numFmtId="182" fontId="16" fillId="2" borderId="12" xfId="0" applyNumberFormat="1" applyFont="1" applyFill="1" applyBorder="1" applyAlignment="1" applyProtection="1">
      <alignment horizontal="center" vertical="center"/>
    </xf>
    <xf numFmtId="0" fontId="18" fillId="2" borderId="12" xfId="0" applyFont="1" applyFill="1" applyBorder="1" applyAlignment="1" applyProtection="1">
      <alignment horizontal="left" vertical="center"/>
    </xf>
    <xf numFmtId="182" fontId="16" fillId="2" borderId="11" xfId="0" applyNumberFormat="1" applyFont="1" applyFill="1" applyBorder="1" applyAlignment="1" applyProtection="1">
      <alignment horizontal="center" vertical="center"/>
    </xf>
    <xf numFmtId="0" fontId="18" fillId="2" borderId="54" xfId="0" applyFont="1" applyFill="1" applyBorder="1" applyAlignment="1" applyProtection="1">
      <alignment horizontal="center" vertical="center"/>
    </xf>
    <xf numFmtId="0" fontId="16" fillId="2" borderId="54" xfId="0" applyFont="1" applyFill="1" applyBorder="1" applyAlignment="1" applyProtection="1">
      <alignment horizontal="center" vertical="center"/>
    </xf>
    <xf numFmtId="0" fontId="124" fillId="2" borderId="11" xfId="0" applyFont="1" applyFill="1" applyBorder="1" applyAlignment="1" applyProtection="1">
      <alignment horizontal="right" vertical="center"/>
    </xf>
    <xf numFmtId="0" fontId="13" fillId="2" borderId="10" xfId="0" applyFont="1" applyFill="1" applyBorder="1" applyAlignment="1" applyProtection="1">
      <alignment horizontal="left" vertical="center"/>
    </xf>
    <xf numFmtId="182" fontId="16" fillId="2" borderId="3" xfId="0" applyNumberFormat="1" applyFont="1" applyFill="1" applyBorder="1" applyAlignment="1" applyProtection="1">
      <alignment horizontal="center" vertical="center" wrapText="1"/>
    </xf>
    <xf numFmtId="186" fontId="24" fillId="0" borderId="1" xfId="0" applyNumberFormat="1" applyFont="1" applyBorder="1" applyAlignment="1" applyProtection="1">
      <alignment horizontal="center" vertical="center" wrapText="1"/>
      <protection locked="0"/>
    </xf>
    <xf numFmtId="186" fontId="28" fillId="0" borderId="1" xfId="0" applyNumberFormat="1" applyFont="1" applyBorder="1" applyAlignment="1" applyProtection="1">
      <alignment horizontal="center" vertical="center" wrapText="1"/>
      <protection locked="0"/>
    </xf>
    <xf numFmtId="0" fontId="82" fillId="0" borderId="1" xfId="37" applyFont="1" applyFill="1" applyBorder="1" applyAlignment="1" applyProtection="1">
      <alignment horizontal="center" vertical="center" wrapText="1"/>
      <protection locked="0"/>
    </xf>
    <xf numFmtId="0" fontId="176" fillId="2" borderId="11" xfId="0" applyFont="1" applyFill="1" applyBorder="1" applyAlignment="1" applyProtection="1">
      <alignment horizontal="right" vertical="center"/>
    </xf>
    <xf numFmtId="0" fontId="124" fillId="2" borderId="11" xfId="0" applyFont="1" applyFill="1" applyBorder="1" applyAlignment="1" applyProtection="1">
      <alignment horizontal="center" vertical="center"/>
    </xf>
    <xf numFmtId="0" fontId="177" fillId="2" borderId="11" xfId="0" applyFont="1" applyFill="1" applyBorder="1" applyAlignment="1" applyProtection="1">
      <alignment horizontal="right" vertical="center"/>
    </xf>
    <xf numFmtId="0" fontId="33" fillId="2" borderId="0" xfId="0" applyFont="1" applyFill="1" applyAlignment="1" applyProtection="1">
      <alignment horizontal="left" vertical="center"/>
    </xf>
    <xf numFmtId="186" fontId="16" fillId="2" borderId="10" xfId="0" applyNumberFormat="1" applyFont="1" applyFill="1" applyBorder="1" applyAlignment="1" applyProtection="1">
      <alignment horizontal="center" vertical="center" wrapText="1"/>
    </xf>
    <xf numFmtId="0" fontId="124" fillId="2" borderId="11" xfId="0" applyFont="1" applyFill="1" applyBorder="1" applyAlignment="1" applyProtection="1">
      <alignment horizontal="center" vertical="center" wrapText="1"/>
    </xf>
    <xf numFmtId="0" fontId="124" fillId="2" borderId="74" xfId="0" applyFont="1" applyFill="1" applyBorder="1" applyAlignment="1" applyProtection="1">
      <alignment horizontal="center" vertical="center"/>
    </xf>
    <xf numFmtId="0" fontId="16" fillId="2" borderId="10" xfId="0" applyFont="1" applyFill="1" applyBorder="1" applyAlignment="1" applyProtection="1">
      <alignment horizontal="left" vertical="center"/>
      <protection locked="0"/>
    </xf>
    <xf numFmtId="0" fontId="16" fillId="2" borderId="11" xfId="0" applyFont="1" applyFill="1" applyBorder="1" applyAlignment="1" applyProtection="1">
      <alignment horizontal="left" vertical="center"/>
      <protection locked="0"/>
    </xf>
    <xf numFmtId="0" fontId="16" fillId="2" borderId="81" xfId="0" applyFont="1" applyFill="1" applyBorder="1" applyAlignment="1" applyProtection="1">
      <alignment horizontal="left" vertical="center"/>
      <protection locked="0"/>
    </xf>
    <xf numFmtId="0" fontId="16" fillId="2" borderId="10"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34" xfId="0" applyFont="1" applyFill="1" applyBorder="1" applyAlignment="1" applyProtection="1">
      <alignment horizontal="center" vertical="center" wrapText="1"/>
      <protection locked="0"/>
    </xf>
    <xf numFmtId="182" fontId="16" fillId="2" borderId="34" xfId="0" applyNumberFormat="1" applyFont="1" applyFill="1" applyBorder="1" applyAlignment="1" applyProtection="1">
      <alignment horizontal="center" vertical="center" wrapText="1"/>
    </xf>
    <xf numFmtId="186" fontId="24" fillId="0" borderId="3" xfId="0" applyNumberFormat="1" applyFont="1" applyBorder="1" applyAlignment="1" applyProtection="1">
      <alignment horizontal="center" vertical="center" wrapText="1"/>
      <protection locked="0"/>
    </xf>
    <xf numFmtId="0" fontId="24" fillId="0" borderId="34" xfId="0" applyFont="1" applyBorder="1" applyAlignment="1" applyProtection="1">
      <alignment horizontal="center" vertical="center" wrapText="1"/>
      <protection locked="0"/>
    </xf>
    <xf numFmtId="186" fontId="28" fillId="0" borderId="3" xfId="0" applyNumberFormat="1" applyFont="1" applyBorder="1" applyAlignment="1" applyProtection="1">
      <alignment horizontal="center" vertical="center" wrapText="1"/>
      <protection locked="0"/>
    </xf>
    <xf numFmtId="0" fontId="28" fillId="0" borderId="34" xfId="0" applyFont="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xf>
    <xf numFmtId="0" fontId="72" fillId="2" borderId="1" xfId="0" applyFont="1" applyFill="1" applyBorder="1" applyAlignment="1" applyProtection="1">
      <alignment horizontal="left" vertical="center" wrapText="1"/>
      <protection locked="0"/>
    </xf>
    <xf numFmtId="0" fontId="124" fillId="2" borderId="1" xfId="0" applyFont="1" applyFill="1" applyBorder="1" applyAlignment="1" applyProtection="1">
      <alignment horizontal="center" vertical="center" wrapText="1"/>
    </xf>
    <xf numFmtId="0" fontId="16" fillId="7" borderId="10"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86" fontId="16" fillId="0" borderId="1" xfId="0" applyNumberFormat="1" applyFont="1" applyFill="1" applyBorder="1" applyAlignment="1" applyProtection="1">
      <alignment horizontal="center" vertical="center" wrapText="1"/>
      <protection locked="0"/>
    </xf>
    <xf numFmtId="186" fontId="16" fillId="2" borderId="0" xfId="0" applyNumberFormat="1" applyFont="1" applyFill="1" applyAlignment="1" applyProtection="1">
      <alignment horizontal="center" vertical="center" wrapText="1"/>
    </xf>
    <xf numFmtId="0" fontId="16" fillId="2" borderId="4" xfId="0" applyFont="1" applyFill="1" applyBorder="1" applyAlignment="1" applyProtection="1">
      <alignment horizontal="center" vertical="center" wrapText="1"/>
    </xf>
    <xf numFmtId="186" fontId="16" fillId="2" borderId="5" xfId="0" applyNumberFormat="1" applyFont="1" applyFill="1" applyBorder="1" applyAlignment="1" applyProtection="1">
      <alignment horizontal="center" vertical="center" wrapText="1"/>
    </xf>
    <xf numFmtId="186" fontId="16" fillId="2" borderId="6" xfId="0" applyNumberFormat="1" applyFont="1" applyFill="1" applyBorder="1" applyAlignment="1" applyProtection="1">
      <alignment horizontal="center" vertical="center" wrapText="1"/>
    </xf>
    <xf numFmtId="182" fontId="16" fillId="2" borderId="34" xfId="0" applyNumberFormat="1" applyFont="1" applyFill="1" applyBorder="1" applyAlignment="1" applyProtection="1">
      <alignment horizontal="center" vertical="center"/>
    </xf>
    <xf numFmtId="0" fontId="18" fillId="2" borderId="89" xfId="0" applyFont="1" applyFill="1" applyBorder="1" applyAlignment="1" applyProtection="1">
      <alignment horizontal="center" vertical="center"/>
    </xf>
    <xf numFmtId="0" fontId="16" fillId="2" borderId="81" xfId="0" applyFont="1" applyFill="1" applyBorder="1" applyAlignment="1" applyProtection="1">
      <alignment horizontal="center" vertical="center"/>
    </xf>
    <xf numFmtId="0" fontId="16" fillId="2" borderId="74" xfId="0" applyFont="1" applyFill="1" applyBorder="1" applyAlignment="1" applyProtection="1">
      <alignment horizontal="center" vertical="center" wrapText="1"/>
    </xf>
    <xf numFmtId="182" fontId="16" fillId="2" borderId="1" xfId="0" applyNumberFormat="1" applyFont="1" applyFill="1" applyBorder="1" applyAlignment="1" applyProtection="1">
      <alignment horizontal="center" vertical="center"/>
    </xf>
    <xf numFmtId="0" fontId="28" fillId="2" borderId="11" xfId="0" applyFont="1" applyFill="1" applyBorder="1" applyAlignment="1" applyProtection="1">
      <alignment horizontal="center" vertical="center" wrapText="1"/>
    </xf>
    <xf numFmtId="182" fontId="16" fillId="2" borderId="81" xfId="0" applyNumberFormat="1" applyFont="1" applyFill="1" applyBorder="1" applyAlignment="1" applyProtection="1">
      <alignment horizontal="center" vertical="center"/>
    </xf>
    <xf numFmtId="186" fontId="16" fillId="2" borderId="13" xfId="0" applyNumberFormat="1" applyFont="1" applyFill="1" applyBorder="1" applyAlignment="1" applyProtection="1">
      <alignment horizontal="center" vertical="center" wrapText="1"/>
    </xf>
    <xf numFmtId="186" fontId="16" fillId="2" borderId="14" xfId="0" applyNumberFormat="1" applyFont="1" applyFill="1" applyBorder="1" applyAlignment="1" applyProtection="1">
      <alignment horizontal="center" vertical="center" wrapText="1"/>
    </xf>
    <xf numFmtId="0" fontId="16" fillId="2" borderId="47" xfId="0" applyFont="1" applyFill="1" applyBorder="1" applyAlignment="1" applyProtection="1">
      <alignment horizontal="center" vertical="center" wrapText="1"/>
    </xf>
    <xf numFmtId="186" fontId="28" fillId="2" borderId="14" xfId="0" applyNumberFormat="1" applyFont="1" applyFill="1" applyBorder="1" applyAlignment="1" applyProtection="1">
      <alignment horizontal="center" vertical="center" wrapText="1"/>
    </xf>
    <xf numFmtId="186" fontId="28" fillId="0" borderId="1" xfId="0" applyNumberFormat="1"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0" xfId="0" applyFont="1" applyBorder="1" applyAlignment="1" applyProtection="1">
      <alignment horizontal="center" vertical="center" wrapText="1"/>
      <protection locked="0"/>
    </xf>
    <xf numFmtId="0" fontId="28" fillId="0" borderId="0" xfId="0" applyFont="1" applyFill="1" applyBorder="1" applyAlignment="1" applyProtection="1">
      <alignment horizontal="center" vertical="center" wrapText="1"/>
      <protection locked="0"/>
    </xf>
    <xf numFmtId="186" fontId="28" fillId="0" borderId="0" xfId="0" applyNumberFormat="1" applyFont="1" applyFill="1" applyBorder="1" applyAlignment="1" applyProtection="1">
      <alignment horizontal="center" vertical="center" wrapText="1"/>
      <protection locked="0"/>
    </xf>
    <xf numFmtId="0" fontId="30" fillId="0" borderId="0" xfId="0" applyFont="1" applyAlignment="1" applyProtection="1">
      <alignment horizontal="center" vertical="center"/>
      <protection locked="0"/>
    </xf>
    <xf numFmtId="0" fontId="0" fillId="3" borderId="0" xfId="0" applyFill="1" applyAlignment="1">
      <alignment vertical="center" wrapText="1"/>
    </xf>
    <xf numFmtId="10" fontId="0" fillId="0" borderId="0" xfId="0" applyNumberFormat="1" applyAlignment="1">
      <alignment vertical="center" wrapText="1"/>
    </xf>
    <xf numFmtId="0" fontId="178" fillId="0" borderId="171" xfId="0" applyFont="1" applyBorder="1" applyAlignment="1" applyProtection="1">
      <alignment vertical="center" wrapText="1"/>
    </xf>
    <xf numFmtId="0" fontId="178" fillId="0" borderId="0" xfId="0" applyFont="1" applyAlignment="1" applyProtection="1">
      <alignment vertical="center" wrapText="1"/>
    </xf>
    <xf numFmtId="0" fontId="178" fillId="0" borderId="0" xfId="0" applyFont="1" applyAlignment="1" applyProtection="1">
      <alignment horizontal="center" vertical="center" wrapText="1"/>
    </xf>
    <xf numFmtId="49" fontId="178" fillId="0" borderId="20" xfId="0" applyNumberFormat="1" applyFont="1" applyBorder="1" applyAlignment="1" applyProtection="1">
      <alignment horizontal="center" vertical="center" wrapText="1"/>
      <protection locked="0"/>
    </xf>
    <xf numFmtId="49" fontId="178" fillId="0" borderId="0" xfId="0" applyNumberFormat="1" applyFont="1" applyAlignment="1" applyProtection="1">
      <alignment horizontal="center" vertical="center" wrapText="1"/>
      <protection locked="0"/>
    </xf>
    <xf numFmtId="0" fontId="178" fillId="0" borderId="0" xfId="0" applyFont="1" applyAlignment="1" applyProtection="1">
      <alignment vertical="center" wrapText="1"/>
      <protection locked="0"/>
    </xf>
    <xf numFmtId="0" fontId="178" fillId="0" borderId="0" xfId="0" applyFont="1" applyAlignment="1" applyProtection="1">
      <alignment horizontal="center" vertical="center" wrapText="1"/>
      <protection locked="0"/>
    </xf>
    <xf numFmtId="0" fontId="178" fillId="2" borderId="60" xfId="0" applyFont="1" applyFill="1" applyBorder="1" applyAlignment="1" applyProtection="1">
      <alignment vertical="center" wrapText="1"/>
    </xf>
    <xf numFmtId="0" fontId="178" fillId="2" borderId="63" xfId="0" applyFont="1" applyFill="1" applyBorder="1" applyAlignment="1" applyProtection="1">
      <alignment vertical="center" wrapText="1"/>
    </xf>
    <xf numFmtId="0" fontId="178" fillId="2" borderId="104" xfId="0" applyFont="1" applyFill="1" applyBorder="1" applyAlignment="1" applyProtection="1">
      <alignment vertical="center" wrapText="1"/>
    </xf>
    <xf numFmtId="0" fontId="178" fillId="2" borderId="0" xfId="0" applyFont="1" applyFill="1" applyBorder="1" applyAlignment="1" applyProtection="1">
      <alignment vertical="center" wrapText="1"/>
    </xf>
    <xf numFmtId="0" fontId="178" fillId="0" borderId="0" xfId="0" applyFont="1" applyAlignment="1" applyProtection="1">
      <alignment vertical="center"/>
      <protection locked="0"/>
    </xf>
    <xf numFmtId="0" fontId="178" fillId="9" borderId="0" xfId="0" applyFont="1" applyFill="1" applyAlignment="1" applyProtection="1">
      <alignment vertical="center" wrapText="1"/>
      <protection locked="0"/>
    </xf>
    <xf numFmtId="0" fontId="178" fillId="9" borderId="0" xfId="0" applyFont="1" applyFill="1" applyBorder="1" applyAlignment="1" applyProtection="1">
      <alignment vertical="center" wrapText="1"/>
      <protection locked="0"/>
    </xf>
    <xf numFmtId="0" fontId="178" fillId="2" borderId="1" xfId="0" applyFont="1" applyFill="1" applyBorder="1" applyAlignment="1" applyProtection="1">
      <alignment horizontal="left" vertical="center"/>
    </xf>
    <xf numFmtId="14" fontId="178" fillId="0" borderId="9" xfId="0" applyNumberFormat="1" applyFont="1" applyFill="1" applyBorder="1" applyAlignment="1" applyProtection="1">
      <alignment horizontal="left" vertical="center"/>
      <protection locked="0"/>
    </xf>
    <xf numFmtId="0" fontId="178" fillId="20" borderId="9" xfId="0" applyFont="1" applyFill="1" applyBorder="1" applyAlignment="1" applyProtection="1">
      <alignment vertical="center" wrapText="1"/>
    </xf>
    <xf numFmtId="0" fontId="178" fillId="2" borderId="83" xfId="0" applyFont="1" applyFill="1" applyBorder="1" applyAlignment="1" applyProtection="1">
      <alignment horizontal="left" vertical="center"/>
    </xf>
    <xf numFmtId="0" fontId="178" fillId="3" borderId="83" xfId="0" applyFont="1" applyFill="1" applyBorder="1" applyAlignment="1" applyProtection="1">
      <alignment vertical="center" wrapText="1"/>
      <protection locked="0"/>
    </xf>
    <xf numFmtId="0" fontId="178" fillId="2" borderId="83" xfId="0" applyFont="1" applyFill="1" applyBorder="1" applyAlignment="1" applyProtection="1">
      <alignment vertical="center" wrapText="1"/>
    </xf>
    <xf numFmtId="0" fontId="178" fillId="2" borderId="34" xfId="0" applyFont="1" applyFill="1" applyBorder="1" applyAlignment="1" applyProtection="1">
      <alignment vertical="center" wrapText="1"/>
    </xf>
    <xf numFmtId="0" fontId="178" fillId="6" borderId="10" xfId="0" applyFont="1" applyFill="1" applyBorder="1" applyAlignment="1" applyProtection="1">
      <alignment vertical="center"/>
      <protection locked="0"/>
    </xf>
    <xf numFmtId="0" fontId="178" fillId="6" borderId="89" xfId="0" applyFont="1" applyFill="1" applyBorder="1" applyAlignment="1" applyProtection="1">
      <alignment vertical="center" wrapText="1"/>
    </xf>
    <xf numFmtId="0" fontId="178" fillId="6" borderId="81" xfId="0" applyFont="1" applyFill="1" applyBorder="1" applyAlignment="1" applyProtection="1">
      <alignment vertical="center" wrapText="1"/>
    </xf>
    <xf numFmtId="0" fontId="178" fillId="2" borderId="9" xfId="0" applyFont="1" applyFill="1" applyBorder="1" applyAlignment="1" applyProtection="1">
      <alignment vertical="center" wrapText="1"/>
    </xf>
    <xf numFmtId="0" fontId="178" fillId="6" borderId="12" xfId="0" applyFont="1" applyFill="1" applyBorder="1" applyAlignment="1" applyProtection="1">
      <alignment vertical="center" wrapText="1"/>
    </xf>
    <xf numFmtId="0" fontId="178" fillId="6" borderId="58" xfId="0" applyFont="1" applyFill="1" applyBorder="1" applyAlignment="1" applyProtection="1">
      <alignment vertical="center" wrapText="1"/>
    </xf>
    <xf numFmtId="0" fontId="178" fillId="2" borderId="18" xfId="0" applyFont="1" applyFill="1" applyBorder="1" applyAlignment="1" applyProtection="1">
      <alignment vertical="center" wrapText="1"/>
    </xf>
    <xf numFmtId="0" fontId="178" fillId="20" borderId="18" xfId="0" applyFont="1" applyFill="1" applyBorder="1" applyAlignment="1" applyProtection="1">
      <alignment vertical="center" wrapText="1"/>
    </xf>
    <xf numFmtId="0" fontId="178" fillId="3" borderId="10" xfId="0" applyFont="1" applyFill="1" applyBorder="1" applyAlignment="1" applyProtection="1">
      <alignment horizontal="left" vertical="center" wrapText="1"/>
      <protection locked="0"/>
    </xf>
    <xf numFmtId="0" fontId="178" fillId="3" borderId="12" xfId="0" applyFont="1" applyFill="1" applyBorder="1" applyAlignment="1" applyProtection="1">
      <alignment vertical="center" wrapText="1"/>
    </xf>
    <xf numFmtId="0" fontId="178" fillId="20" borderId="9" xfId="0" applyFont="1" applyFill="1" applyBorder="1" applyAlignment="1" applyProtection="1">
      <alignment horizontal="center" vertical="center" wrapText="1"/>
    </xf>
    <xf numFmtId="0" fontId="178" fillId="3" borderId="10" xfId="0" applyFont="1" applyFill="1" applyBorder="1" applyAlignment="1" applyProtection="1">
      <alignment vertical="center" wrapText="1"/>
      <protection locked="0"/>
    </xf>
    <xf numFmtId="0" fontId="178" fillId="3" borderId="11" xfId="0" applyFont="1" applyFill="1" applyBorder="1" applyAlignment="1" applyProtection="1">
      <alignment vertical="center" wrapText="1"/>
    </xf>
    <xf numFmtId="0" fontId="178" fillId="20" borderId="141" xfId="0" applyFont="1" applyFill="1" applyBorder="1" applyAlignment="1" applyProtection="1">
      <alignment vertical="center" wrapText="1"/>
    </xf>
    <xf numFmtId="0" fontId="178" fillId="3" borderId="141" xfId="0" applyFont="1" applyFill="1" applyBorder="1" applyAlignment="1" applyProtection="1">
      <alignment horizontal="left" vertical="center"/>
      <protection locked="0"/>
    </xf>
    <xf numFmtId="0" fontId="178" fillId="3" borderId="142" xfId="0" applyFont="1" applyFill="1" applyBorder="1" applyAlignment="1" applyProtection="1">
      <alignment vertical="center" wrapText="1"/>
    </xf>
    <xf numFmtId="0" fontId="178" fillId="20" borderId="172" xfId="0" applyFont="1" applyFill="1" applyBorder="1" applyAlignment="1" applyProtection="1">
      <alignment horizontal="center" vertical="center" wrapText="1"/>
    </xf>
    <xf numFmtId="0" fontId="178" fillId="3" borderId="100" xfId="0" applyFont="1" applyFill="1" applyBorder="1" applyAlignment="1" applyProtection="1">
      <alignment vertical="center" wrapText="1"/>
    </xf>
    <xf numFmtId="0" fontId="178" fillId="9" borderId="2" xfId="0" applyFont="1" applyFill="1" applyBorder="1" applyAlignment="1" applyProtection="1">
      <alignment vertical="center" wrapText="1"/>
      <protection locked="0"/>
    </xf>
    <xf numFmtId="0" fontId="178" fillId="20" borderId="34" xfId="0" applyFont="1" applyFill="1" applyBorder="1" applyAlignment="1" applyProtection="1">
      <alignment horizontal="left" vertical="center"/>
    </xf>
    <xf numFmtId="0" fontId="178" fillId="5" borderId="81" xfId="0" applyFont="1" applyFill="1" applyBorder="1" applyAlignment="1" applyProtection="1">
      <alignment horizontal="left" vertical="center" wrapText="1"/>
      <protection locked="0"/>
    </xf>
    <xf numFmtId="0" fontId="178" fillId="6" borderId="89" xfId="0" applyFont="1" applyFill="1" applyBorder="1" applyAlignment="1" applyProtection="1">
      <alignment vertical="center" wrapText="1"/>
      <protection locked="0"/>
    </xf>
    <xf numFmtId="49" fontId="178" fillId="2" borderId="3" xfId="0" applyNumberFormat="1" applyFont="1" applyFill="1" applyBorder="1" applyAlignment="1" applyProtection="1">
      <alignment horizontal="left" vertical="center" wrapText="1"/>
    </xf>
    <xf numFmtId="49" fontId="179" fillId="0" borderId="34" xfId="0" applyNumberFormat="1" applyFont="1" applyFill="1" applyBorder="1" applyAlignment="1" applyProtection="1">
      <alignment horizontal="left" vertical="center"/>
      <protection locked="0"/>
    </xf>
    <xf numFmtId="0" fontId="178" fillId="0" borderId="89" xfId="0" applyFont="1" applyFill="1" applyBorder="1" applyAlignment="1" applyProtection="1">
      <alignment vertical="center" wrapText="1"/>
    </xf>
    <xf numFmtId="0" fontId="178" fillId="6" borderId="89" xfId="0" applyFont="1" applyFill="1" applyBorder="1" applyAlignment="1" applyProtection="1">
      <alignment horizontal="center" vertical="center" wrapText="1"/>
    </xf>
    <xf numFmtId="0" fontId="178" fillId="20" borderId="10" xfId="0" applyFont="1" applyFill="1" applyBorder="1" applyAlignment="1" applyProtection="1">
      <alignment vertical="center"/>
    </xf>
    <xf numFmtId="0" fontId="178" fillId="5" borderId="58" xfId="0" applyFont="1" applyFill="1" applyBorder="1" applyAlignment="1" applyProtection="1">
      <alignment horizontal="left" vertical="center" wrapText="1"/>
      <protection locked="0"/>
    </xf>
    <xf numFmtId="0" fontId="178" fillId="6" borderId="12" xfId="0" applyFont="1" applyFill="1" applyBorder="1" applyAlignment="1" applyProtection="1">
      <alignment vertical="center" wrapText="1"/>
      <protection locked="0"/>
    </xf>
    <xf numFmtId="0" fontId="178" fillId="6" borderId="11" xfId="0" applyFont="1" applyFill="1" applyBorder="1" applyAlignment="1" applyProtection="1">
      <alignment vertical="center" wrapText="1"/>
    </xf>
    <xf numFmtId="0" fontId="178" fillId="2" borderId="0" xfId="0" applyFont="1" applyFill="1" applyBorder="1" applyAlignment="1" applyProtection="1">
      <alignment vertical="center" wrapText="1"/>
      <protection locked="0"/>
    </xf>
    <xf numFmtId="0" fontId="178" fillId="2" borderId="18" xfId="0" applyFont="1" applyFill="1" applyBorder="1" applyAlignment="1" applyProtection="1">
      <alignment vertical="center"/>
    </xf>
    <xf numFmtId="0" fontId="179" fillId="6" borderId="10" xfId="0" applyFont="1" applyFill="1" applyBorder="1" applyAlignment="1" applyProtection="1">
      <alignment vertical="center" wrapText="1"/>
      <protection locked="0"/>
    </xf>
    <xf numFmtId="0" fontId="179" fillId="6" borderId="12" xfId="0" applyFont="1" applyFill="1" applyBorder="1" applyAlignment="1" applyProtection="1">
      <alignment vertical="center" wrapText="1"/>
      <protection locked="0"/>
    </xf>
    <xf numFmtId="0" fontId="179" fillId="6" borderId="11" xfId="0" applyFont="1" applyFill="1" applyBorder="1" applyAlignment="1" applyProtection="1">
      <alignment vertical="center" wrapText="1"/>
      <protection locked="0"/>
    </xf>
    <xf numFmtId="0" fontId="178" fillId="2" borderId="1" xfId="0" applyFont="1" applyFill="1" applyBorder="1" applyAlignment="1" applyProtection="1">
      <alignment vertical="center" wrapText="1"/>
    </xf>
    <xf numFmtId="0" fontId="179" fillId="6" borderId="10" xfId="0" applyFont="1" applyFill="1" applyBorder="1" applyAlignment="1" applyProtection="1">
      <alignment vertical="center"/>
      <protection locked="0"/>
    </xf>
    <xf numFmtId="0" fontId="179" fillId="6" borderId="12" xfId="0" applyFont="1" applyFill="1" applyBorder="1" applyAlignment="1" applyProtection="1">
      <alignment vertical="center"/>
      <protection locked="0"/>
    </xf>
    <xf numFmtId="0" fontId="178" fillId="2" borderId="1" xfId="0" applyFont="1" applyFill="1" applyBorder="1" applyAlignment="1" applyProtection="1">
      <alignment horizontal="left" vertical="center" wrapText="1"/>
    </xf>
    <xf numFmtId="0" fontId="178" fillId="3" borderId="12" xfId="0" applyFont="1" applyFill="1" applyBorder="1" applyAlignment="1" applyProtection="1">
      <alignment horizontal="center" vertical="center" wrapText="1"/>
      <protection locked="0"/>
    </xf>
    <xf numFmtId="0" fontId="178" fillId="2" borderId="1" xfId="0" applyFont="1" applyFill="1" applyBorder="1" applyAlignment="1" applyProtection="1">
      <alignment vertical="center"/>
    </xf>
    <xf numFmtId="0" fontId="178" fillId="3" borderId="1" xfId="0" applyFont="1" applyFill="1" applyBorder="1" applyAlignment="1" applyProtection="1">
      <alignment horizontal="center" vertical="center"/>
      <protection locked="0"/>
    </xf>
    <xf numFmtId="0" fontId="178" fillId="2" borderId="12" xfId="0" applyFont="1" applyFill="1" applyBorder="1" applyAlignment="1" applyProtection="1">
      <alignment vertical="center"/>
    </xf>
    <xf numFmtId="0" fontId="178" fillId="2" borderId="9" xfId="0" applyFont="1" applyFill="1" applyBorder="1" applyAlignment="1" applyProtection="1">
      <alignment horizontal="left" vertical="center"/>
    </xf>
    <xf numFmtId="49" fontId="178" fillId="2" borderId="1" xfId="0" applyNumberFormat="1" applyFont="1" applyFill="1" applyBorder="1" applyAlignment="1" applyProtection="1">
      <alignment horizontal="center" vertical="center" wrapText="1"/>
    </xf>
    <xf numFmtId="0" fontId="178" fillId="2" borderId="1" xfId="0" applyFont="1" applyFill="1" applyBorder="1" applyAlignment="1" applyProtection="1">
      <alignment horizontal="center" vertical="center" wrapText="1"/>
    </xf>
    <xf numFmtId="49" fontId="178" fillId="20" borderId="9" xfId="0" applyNumberFormat="1" applyFont="1" applyFill="1" applyBorder="1" applyAlignment="1" applyProtection="1">
      <alignment horizontal="left" vertical="center" wrapText="1"/>
    </xf>
    <xf numFmtId="0" fontId="178" fillId="3" borderId="9" xfId="0" applyFont="1" applyFill="1" applyBorder="1" applyAlignment="1" applyProtection="1">
      <alignment horizontal="center" vertical="center" wrapText="1"/>
      <protection locked="0"/>
    </xf>
    <xf numFmtId="0" fontId="178" fillId="3" borderId="1" xfId="0" applyFont="1" applyFill="1" applyBorder="1" applyAlignment="1" applyProtection="1">
      <alignment vertical="center" wrapText="1"/>
      <protection locked="0"/>
    </xf>
    <xf numFmtId="0" fontId="178" fillId="2" borderId="35" xfId="0" applyFont="1" applyFill="1" applyBorder="1" applyAlignment="1" applyProtection="1">
      <alignment horizontal="left" vertical="center"/>
    </xf>
    <xf numFmtId="0" fontId="178" fillId="5" borderId="35" xfId="0" applyFont="1" applyFill="1" applyBorder="1" applyAlignment="1" applyProtection="1">
      <alignment horizontal="left" vertical="center" wrapText="1"/>
    </xf>
    <xf numFmtId="0" fontId="178" fillId="20" borderId="89" xfId="0" applyFont="1" applyFill="1" applyBorder="1" applyAlignment="1" applyProtection="1">
      <alignment vertical="center" wrapText="1"/>
    </xf>
    <xf numFmtId="185" fontId="71" fillId="0" borderId="1" xfId="0" applyNumberFormat="1" applyFont="1" applyFill="1" applyBorder="1" applyAlignment="1" applyProtection="1">
      <alignment horizontal="center" vertical="center" shrinkToFit="1"/>
      <protection locked="0"/>
    </xf>
    <xf numFmtId="178" fontId="178" fillId="3" borderId="1" xfId="59" applyNumberFormat="1" applyFont="1" applyFill="1" applyBorder="1" applyAlignment="1" applyProtection="1">
      <alignment horizontal="center" vertical="center"/>
      <protection locked="0"/>
    </xf>
    <xf numFmtId="182" fontId="178" fillId="2" borderId="9" xfId="0" applyNumberFormat="1" applyFont="1" applyFill="1" applyBorder="1" applyAlignment="1" applyProtection="1">
      <alignment horizontal="center" vertical="center" wrapText="1"/>
    </xf>
    <xf numFmtId="182" fontId="178" fillId="2" borderId="1" xfId="0" applyNumberFormat="1" applyFont="1" applyFill="1" applyBorder="1" applyAlignment="1" applyProtection="1">
      <alignment horizontal="center" vertical="center" wrapText="1"/>
    </xf>
    <xf numFmtId="0" fontId="178" fillId="2" borderId="10" xfId="0" applyFont="1" applyFill="1" applyBorder="1" applyAlignment="1" applyProtection="1">
      <alignment horizontal="right" vertical="center" wrapText="1"/>
    </xf>
    <xf numFmtId="0" fontId="178" fillId="2" borderId="12" xfId="0" applyFont="1" applyFill="1" applyBorder="1" applyAlignment="1" applyProtection="1">
      <alignment horizontal="right" vertical="center" wrapText="1"/>
    </xf>
    <xf numFmtId="0" fontId="178" fillId="2" borderId="11" xfId="0" applyFont="1" applyFill="1" applyBorder="1" applyAlignment="1" applyProtection="1">
      <alignment horizontal="right" vertical="center"/>
    </xf>
    <xf numFmtId="182" fontId="178" fillId="6" borderId="10" xfId="0" applyNumberFormat="1" applyFont="1" applyFill="1" applyBorder="1" applyAlignment="1" applyProtection="1">
      <alignment horizontal="center" vertical="center" wrapText="1"/>
      <protection locked="0"/>
    </xf>
    <xf numFmtId="182" fontId="178" fillId="6" borderId="12" xfId="0" applyNumberFormat="1" applyFont="1" applyFill="1" applyBorder="1" applyAlignment="1" applyProtection="1">
      <alignment horizontal="center" vertical="center" wrapText="1"/>
      <protection locked="0"/>
    </xf>
    <xf numFmtId="0" fontId="178" fillId="2" borderId="3" xfId="0" applyFont="1" applyFill="1" applyBorder="1" applyAlignment="1" applyProtection="1">
      <alignment horizontal="left" vertical="center"/>
    </xf>
    <xf numFmtId="0" fontId="178" fillId="2" borderId="3" xfId="0" applyFont="1" applyFill="1" applyBorder="1" applyAlignment="1" applyProtection="1">
      <alignment horizontal="center" vertical="center" wrapText="1"/>
    </xf>
    <xf numFmtId="0" fontId="178" fillId="2" borderId="3" xfId="0" applyFont="1" applyFill="1" applyBorder="1" applyAlignment="1" applyProtection="1">
      <alignment horizontal="left" vertical="center" wrapText="1"/>
    </xf>
    <xf numFmtId="49" fontId="179" fillId="6" borderId="10" xfId="0" applyNumberFormat="1" applyFont="1" applyFill="1" applyBorder="1" applyAlignment="1" applyProtection="1">
      <alignment horizontal="left" vertical="center"/>
      <protection locked="0"/>
    </xf>
    <xf numFmtId="49" fontId="179" fillId="6" borderId="12" xfId="0" applyNumberFormat="1" applyFont="1" applyFill="1" applyBorder="1" applyAlignment="1" applyProtection="1">
      <alignment horizontal="left" vertical="center"/>
      <protection locked="0"/>
    </xf>
    <xf numFmtId="0" fontId="137" fillId="3" borderId="3" xfId="0" applyFont="1" applyFill="1" applyBorder="1" applyAlignment="1" applyProtection="1">
      <alignment horizontal="left" vertical="center" wrapText="1"/>
      <protection locked="0"/>
    </xf>
    <xf numFmtId="0" fontId="178" fillId="2" borderId="9" xfId="0" applyFont="1" applyFill="1" applyBorder="1" applyAlignment="1" applyProtection="1">
      <alignment horizontal="left" vertical="center" wrapText="1"/>
    </xf>
    <xf numFmtId="0" fontId="178" fillId="2" borderId="35" xfId="0" applyFont="1" applyFill="1" applyBorder="1" applyAlignment="1" applyProtection="1">
      <alignment vertical="center"/>
    </xf>
    <xf numFmtId="0" fontId="178" fillId="3" borderId="35" xfId="0" applyFont="1" applyFill="1" applyBorder="1" applyAlignment="1" applyProtection="1">
      <alignment horizontal="center" vertical="center" wrapText="1"/>
      <protection locked="0"/>
    </xf>
    <xf numFmtId="0" fontId="178" fillId="2" borderId="80" xfId="0" applyFont="1" applyFill="1" applyBorder="1" applyAlignment="1" applyProtection="1">
      <alignment horizontal="center" vertical="center" wrapText="1"/>
    </xf>
    <xf numFmtId="0" fontId="178" fillId="3" borderId="80" xfId="0" applyFont="1" applyFill="1" applyBorder="1" applyAlignment="1" applyProtection="1">
      <alignment horizontal="center" vertical="center" wrapText="1"/>
      <protection locked="0"/>
    </xf>
    <xf numFmtId="0" fontId="180" fillId="2" borderId="80" xfId="0" applyFont="1" applyFill="1" applyBorder="1" applyAlignment="1" applyProtection="1">
      <alignment vertical="center" wrapText="1"/>
    </xf>
    <xf numFmtId="0" fontId="178" fillId="3" borderId="86" xfId="0" applyFont="1" applyFill="1" applyBorder="1" applyAlignment="1" applyProtection="1">
      <alignment horizontal="center" vertical="center" wrapText="1"/>
      <protection locked="0"/>
    </xf>
    <xf numFmtId="0" fontId="178" fillId="2" borderId="9" xfId="0" applyFont="1" applyFill="1" applyBorder="1" applyAlignment="1" applyProtection="1">
      <alignment horizontal="right" vertical="center" wrapText="1"/>
    </xf>
    <xf numFmtId="0" fontId="178" fillId="2" borderId="56" xfId="0" applyFont="1" applyFill="1" applyBorder="1" applyAlignment="1" applyProtection="1">
      <alignment horizontal="center" vertical="center"/>
    </xf>
    <xf numFmtId="0" fontId="178" fillId="2" borderId="13" xfId="0" applyFont="1" applyFill="1" applyBorder="1" applyAlignment="1" applyProtection="1">
      <alignment horizontal="center" vertical="center"/>
    </xf>
    <xf numFmtId="0" fontId="178" fillId="2" borderId="59" xfId="0" applyFont="1" applyFill="1" applyBorder="1" applyAlignment="1" applyProtection="1">
      <alignment horizontal="center" vertical="center"/>
    </xf>
    <xf numFmtId="0" fontId="178" fillId="2" borderId="78" xfId="0" applyFont="1" applyFill="1" applyBorder="1" applyAlignment="1" applyProtection="1">
      <alignment horizontal="center" vertical="center"/>
    </xf>
    <xf numFmtId="0" fontId="178" fillId="2" borderId="98" xfId="0" applyFont="1" applyFill="1" applyBorder="1" applyAlignment="1" applyProtection="1">
      <alignment vertical="center"/>
    </xf>
    <xf numFmtId="0" fontId="178" fillId="2" borderId="35" xfId="0" applyFont="1" applyFill="1" applyBorder="1" applyAlignment="1" applyProtection="1">
      <alignment horizontal="right" vertical="center" wrapText="1"/>
    </xf>
    <xf numFmtId="0" fontId="178" fillId="3" borderId="11" xfId="0" applyFont="1" applyFill="1" applyBorder="1" applyAlignment="1" applyProtection="1">
      <alignment horizontal="center" vertical="center" wrapText="1"/>
      <protection locked="0"/>
    </xf>
    <xf numFmtId="0" fontId="178" fillId="3" borderId="14" xfId="0" applyFont="1" applyFill="1" applyBorder="1" applyAlignment="1" applyProtection="1">
      <alignment horizontal="center" vertical="center" wrapText="1"/>
      <protection locked="0"/>
    </xf>
    <xf numFmtId="0" fontId="179" fillId="0" borderId="6" xfId="0" applyFont="1" applyBorder="1" applyAlignment="1" applyProtection="1">
      <alignment vertical="center" wrapText="1"/>
      <protection locked="0"/>
    </xf>
    <xf numFmtId="0" fontId="178" fillId="3" borderId="10" xfId="0" applyFont="1" applyFill="1" applyBorder="1" applyAlignment="1" applyProtection="1">
      <alignment horizontal="center" vertical="center" wrapText="1"/>
      <protection locked="0"/>
    </xf>
    <xf numFmtId="0" fontId="178" fillId="0" borderId="173" xfId="0" applyFont="1" applyBorder="1" applyAlignment="1" applyProtection="1">
      <alignment vertical="center" wrapText="1"/>
      <protection locked="0"/>
    </xf>
    <xf numFmtId="0" fontId="178" fillId="2" borderId="3" xfId="0" applyFont="1" applyFill="1" applyBorder="1" applyAlignment="1" applyProtection="1">
      <alignment horizontal="right" vertical="center" wrapText="1"/>
    </xf>
    <xf numFmtId="0" fontId="178" fillId="3" borderId="11" xfId="0" applyFont="1" applyFill="1" applyBorder="1" applyAlignment="1" applyProtection="1">
      <alignment horizontal="center" vertical="center" wrapText="1" shrinkToFit="1"/>
      <protection locked="0"/>
    </xf>
    <xf numFmtId="0" fontId="178" fillId="9" borderId="48" xfId="0" applyFont="1" applyFill="1" applyBorder="1" applyAlignment="1" applyProtection="1">
      <alignment vertical="center" wrapText="1"/>
      <protection locked="0"/>
    </xf>
    <xf numFmtId="0" fontId="178" fillId="2" borderId="22" xfId="0" applyFont="1" applyFill="1" applyBorder="1" applyAlignment="1" applyProtection="1">
      <alignment horizontal="right" vertical="center" wrapText="1"/>
    </xf>
    <xf numFmtId="0" fontId="178" fillId="2" borderId="11" xfId="0" applyFont="1" applyFill="1" applyBorder="1" applyAlignment="1" applyProtection="1">
      <alignment horizontal="right" vertical="center" wrapText="1"/>
    </xf>
    <xf numFmtId="185" fontId="179" fillId="0" borderId="14" xfId="0" applyNumberFormat="1" applyFont="1" applyFill="1" applyBorder="1" applyAlignment="1" applyProtection="1">
      <alignment horizontal="left" vertical="center" shrinkToFit="1"/>
      <protection locked="0"/>
    </xf>
    <xf numFmtId="0" fontId="178" fillId="2" borderId="4" xfId="0" applyFont="1" applyFill="1" applyBorder="1" applyAlignment="1" applyProtection="1">
      <alignment horizontal="right" vertical="center" wrapText="1"/>
    </xf>
    <xf numFmtId="185" fontId="179" fillId="0" borderId="44" xfId="0" applyNumberFormat="1" applyFont="1" applyFill="1" applyBorder="1" applyAlignment="1" applyProtection="1">
      <alignment horizontal="left" vertical="center" shrinkToFit="1"/>
      <protection locked="0"/>
    </xf>
    <xf numFmtId="0" fontId="178" fillId="2" borderId="68" xfId="0" applyFont="1" applyFill="1" applyBorder="1" applyAlignment="1" applyProtection="1">
      <alignment horizontal="left" vertical="center" wrapText="1"/>
    </xf>
    <xf numFmtId="0" fontId="179" fillId="0" borderId="14" xfId="0" applyFont="1" applyFill="1" applyBorder="1" applyAlignment="1" applyProtection="1">
      <alignment horizontal="left" vertical="center" wrapText="1"/>
      <protection locked="0"/>
    </xf>
    <xf numFmtId="0" fontId="178" fillId="2" borderId="6" xfId="0" applyFont="1" applyFill="1" applyBorder="1" applyAlignment="1" applyProtection="1">
      <alignment horizontal="right" vertical="center" wrapText="1"/>
    </xf>
    <xf numFmtId="0" fontId="179" fillId="0" borderId="46" xfId="0" applyFont="1" applyFill="1" applyBorder="1" applyAlignment="1" applyProtection="1">
      <alignment horizontal="left" vertical="center" wrapText="1"/>
      <protection locked="0"/>
    </xf>
    <xf numFmtId="0" fontId="178" fillId="2" borderId="174" xfId="0" applyFont="1" applyFill="1" applyBorder="1" applyAlignment="1" applyProtection="1">
      <alignment horizontal="left" vertical="center" wrapText="1"/>
    </xf>
    <xf numFmtId="0" fontId="178" fillId="2" borderId="100" xfId="0" applyFont="1" applyFill="1" applyBorder="1" applyAlignment="1" applyProtection="1">
      <alignment horizontal="right" vertical="center" wrapText="1"/>
    </xf>
    <xf numFmtId="0" fontId="179" fillId="0" borderId="87" xfId="0" applyFont="1" applyFill="1" applyBorder="1" applyAlignment="1" applyProtection="1">
      <alignment horizontal="left" vertical="center" wrapText="1"/>
      <protection locked="0"/>
    </xf>
    <xf numFmtId="0" fontId="178" fillId="2" borderId="174" xfId="0" applyFont="1" applyFill="1" applyBorder="1" applyAlignment="1" applyProtection="1">
      <alignment horizontal="right" vertical="center" wrapText="1"/>
    </xf>
    <xf numFmtId="0" fontId="179" fillId="0" borderId="102" xfId="0" applyFont="1" applyFill="1" applyBorder="1" applyAlignment="1" applyProtection="1">
      <alignment horizontal="left" vertical="center" wrapText="1"/>
      <protection locked="0"/>
    </xf>
    <xf numFmtId="0" fontId="178" fillId="9" borderId="175" xfId="0" applyFont="1" applyFill="1" applyBorder="1" applyAlignment="1" applyProtection="1">
      <alignment vertical="center" wrapText="1"/>
      <protection locked="0"/>
    </xf>
    <xf numFmtId="0" fontId="178" fillId="5" borderId="34" xfId="0" applyFont="1" applyFill="1" applyBorder="1" applyAlignment="1" applyProtection="1">
      <alignment horizontal="left" vertical="center" wrapText="1"/>
      <protection locked="0"/>
    </xf>
    <xf numFmtId="0" fontId="178" fillId="0" borderId="3" xfId="0" applyFont="1" applyBorder="1" applyAlignment="1" applyProtection="1">
      <alignment horizontal="left" vertical="center" wrapText="1"/>
      <protection locked="0"/>
    </xf>
    <xf numFmtId="0" fontId="178" fillId="5" borderId="10" xfId="0" applyFont="1" applyFill="1" applyBorder="1" applyAlignment="1" applyProtection="1">
      <alignment vertical="center"/>
      <protection locked="0"/>
    </xf>
    <xf numFmtId="0" fontId="178" fillId="5" borderId="11" xfId="0" applyFont="1" applyFill="1" applyBorder="1" applyAlignment="1" applyProtection="1">
      <alignment vertical="center"/>
    </xf>
    <xf numFmtId="0" fontId="178" fillId="0" borderId="10" xfId="0" applyFont="1" applyBorder="1" applyAlignment="1" applyProtection="1">
      <alignment horizontal="left" vertical="center" wrapText="1"/>
      <protection locked="0"/>
    </xf>
    <xf numFmtId="0" fontId="178" fillId="0" borderId="58" xfId="0" applyFont="1" applyBorder="1" applyAlignment="1" applyProtection="1">
      <alignment horizontal="left" vertical="center" wrapText="1"/>
      <protection locked="0"/>
    </xf>
    <xf numFmtId="0" fontId="178" fillId="2" borderId="10" xfId="0" applyFont="1" applyFill="1" applyBorder="1" applyAlignment="1" applyProtection="1">
      <alignment horizontal="left" vertical="center" wrapText="1"/>
    </xf>
    <xf numFmtId="0" fontId="178" fillId="6" borderId="10" xfId="0" applyFont="1" applyFill="1" applyBorder="1" applyAlignment="1" applyProtection="1">
      <alignment horizontal="left" vertical="center" wrapText="1"/>
      <protection locked="0"/>
    </xf>
    <xf numFmtId="0" fontId="178" fillId="6" borderId="12" xfId="0" applyFont="1" applyFill="1" applyBorder="1" applyAlignment="1" applyProtection="1">
      <alignment horizontal="left" vertical="center" wrapText="1"/>
      <protection locked="0"/>
    </xf>
    <xf numFmtId="0" fontId="178" fillId="2" borderId="11" xfId="0" applyFont="1" applyFill="1" applyBorder="1" applyAlignment="1" applyProtection="1">
      <alignment horizontal="left" vertical="center" wrapText="1"/>
    </xf>
    <xf numFmtId="0" fontId="178" fillId="3" borderId="1" xfId="0" applyFont="1" applyFill="1" applyBorder="1" applyAlignment="1" applyProtection="1">
      <alignment horizontal="center" vertical="center" wrapText="1"/>
      <protection locked="0"/>
    </xf>
    <xf numFmtId="0" fontId="178" fillId="6" borderId="1" xfId="0" applyFont="1" applyFill="1" applyBorder="1" applyAlignment="1" applyProtection="1">
      <alignment vertical="center" wrapText="1"/>
      <protection locked="0"/>
    </xf>
    <xf numFmtId="0" fontId="178" fillId="0" borderId="1" xfId="0" applyFont="1" applyBorder="1" applyAlignment="1" applyProtection="1">
      <alignment vertical="center" wrapText="1"/>
      <protection locked="0"/>
    </xf>
    <xf numFmtId="0" fontId="178" fillId="2" borderId="10" xfId="0" applyFont="1" applyFill="1" applyBorder="1" applyAlignment="1" applyProtection="1">
      <alignment vertical="center" wrapText="1"/>
    </xf>
    <xf numFmtId="14" fontId="178" fillId="0" borderId="34" xfId="0" applyNumberFormat="1" applyFont="1" applyBorder="1" applyAlignment="1" applyProtection="1">
      <alignment vertical="center" wrapText="1"/>
      <protection locked="0"/>
    </xf>
    <xf numFmtId="0" fontId="178" fillId="2" borderId="81" xfId="0" applyFont="1" applyFill="1" applyBorder="1" applyAlignment="1" applyProtection="1">
      <alignment vertical="center" wrapText="1"/>
    </xf>
    <xf numFmtId="0" fontId="178" fillId="2" borderId="35" xfId="0" applyFont="1" applyFill="1" applyBorder="1" applyAlignment="1" applyProtection="1">
      <alignment horizontal="left" vertical="center" wrapText="1"/>
    </xf>
    <xf numFmtId="188" fontId="178" fillId="2" borderId="0" xfId="0" applyNumberFormat="1" applyFont="1" applyFill="1" applyBorder="1" applyAlignment="1" applyProtection="1">
      <alignment vertical="center" wrapText="1"/>
    </xf>
    <xf numFmtId="0" fontId="178" fillId="2" borderId="74" xfId="0" applyFont="1" applyFill="1" applyBorder="1" applyAlignment="1" applyProtection="1">
      <alignment vertical="center"/>
    </xf>
    <xf numFmtId="0" fontId="178" fillId="2" borderId="34" xfId="0" applyFont="1" applyFill="1" applyBorder="1" applyAlignment="1" applyProtection="1">
      <alignment horizontal="left" vertical="center" wrapText="1"/>
    </xf>
    <xf numFmtId="0" fontId="178" fillId="2" borderId="10" xfId="0" applyFont="1" applyFill="1" applyBorder="1" applyAlignment="1" applyProtection="1">
      <alignment vertical="center"/>
    </xf>
    <xf numFmtId="0" fontId="178" fillId="2" borderId="11" xfId="0" applyFont="1" applyFill="1" applyBorder="1" applyAlignment="1" applyProtection="1">
      <alignment vertical="center" wrapText="1"/>
    </xf>
    <xf numFmtId="0" fontId="55" fillId="3" borderId="1" xfId="0" applyFont="1" applyFill="1" applyBorder="1" applyAlignment="1" applyProtection="1">
      <alignment horizontal="center" vertical="center" wrapText="1"/>
      <protection locked="0"/>
    </xf>
    <xf numFmtId="0" fontId="178" fillId="2" borderId="11" xfId="0" applyNumberFormat="1" applyFont="1" applyFill="1" applyBorder="1" applyAlignment="1" applyProtection="1">
      <alignment horizontal="center" vertical="center" wrapText="1"/>
    </xf>
    <xf numFmtId="0" fontId="178" fillId="2" borderId="35" xfId="0" applyFont="1" applyFill="1" applyBorder="1" applyAlignment="1" applyProtection="1">
      <alignment vertical="center" wrapText="1"/>
    </xf>
    <xf numFmtId="0" fontId="178" fillId="0" borderId="1" xfId="0" applyFont="1" applyBorder="1" applyAlignment="1" applyProtection="1">
      <alignment horizontal="center" vertical="center" wrapText="1"/>
      <protection locked="0"/>
    </xf>
    <xf numFmtId="0" fontId="178" fillId="21" borderId="3" xfId="0" applyFont="1" applyFill="1" applyBorder="1" applyAlignment="1" applyProtection="1">
      <alignment vertical="center" wrapText="1"/>
    </xf>
    <xf numFmtId="49" fontId="178" fillId="3" borderId="1" xfId="0" applyNumberFormat="1" applyFont="1" applyFill="1" applyBorder="1" applyAlignment="1" applyProtection="1">
      <alignment horizontal="center" vertical="center" wrapText="1"/>
      <protection locked="0"/>
    </xf>
    <xf numFmtId="49" fontId="178" fillId="0" borderId="1" xfId="0" applyNumberFormat="1" applyFont="1" applyFill="1" applyBorder="1" applyAlignment="1" applyProtection="1">
      <alignment horizontal="center" vertical="center" wrapText="1"/>
      <protection locked="0"/>
    </xf>
    <xf numFmtId="0" fontId="108" fillId="2" borderId="171" xfId="0" applyFont="1" applyFill="1" applyBorder="1" applyAlignment="1" applyProtection="1">
      <alignment vertical="center"/>
    </xf>
    <xf numFmtId="0" fontId="178" fillId="2" borderId="171" xfId="0" applyFont="1" applyFill="1" applyBorder="1" applyAlignment="1" applyProtection="1">
      <alignment vertical="center" wrapText="1"/>
    </xf>
    <xf numFmtId="0" fontId="178" fillId="2" borderId="171" xfId="0" applyFont="1" applyFill="1" applyBorder="1" applyAlignment="1" applyProtection="1">
      <alignment vertical="center" wrapText="1"/>
      <protection locked="0"/>
    </xf>
    <xf numFmtId="0" fontId="178" fillId="2" borderId="0" xfId="0" applyFont="1" applyFill="1" applyAlignment="1" applyProtection="1">
      <alignment vertical="center" wrapText="1"/>
    </xf>
    <xf numFmtId="0" fontId="181" fillId="2" borderId="10" xfId="0" applyFont="1" applyFill="1" applyBorder="1" applyAlignment="1" applyProtection="1">
      <alignment vertical="center"/>
    </xf>
    <xf numFmtId="0" fontId="178" fillId="2" borderId="12" xfId="0" applyFont="1" applyFill="1" applyBorder="1" applyAlignment="1" applyProtection="1">
      <alignment vertical="center" wrapText="1"/>
    </xf>
    <xf numFmtId="0" fontId="178" fillId="0" borderId="1" xfId="0" applyFont="1" applyBorder="1" applyAlignment="1" applyProtection="1">
      <alignment vertical="center" wrapText="1"/>
    </xf>
    <xf numFmtId="0" fontId="178" fillId="0" borderId="1" xfId="0" applyFont="1" applyBorder="1" applyAlignment="1" applyProtection="1">
      <alignment horizontal="center" vertical="center" wrapText="1"/>
    </xf>
    <xf numFmtId="0" fontId="178" fillId="2" borderId="105" xfId="0" applyFont="1" applyFill="1" applyBorder="1" applyAlignment="1" applyProtection="1">
      <alignment vertical="center" wrapText="1"/>
    </xf>
    <xf numFmtId="0" fontId="178" fillId="2" borderId="20" xfId="0" applyNumberFormat="1" applyFont="1" applyFill="1" applyBorder="1" applyAlignment="1" applyProtection="1">
      <alignment horizontal="left" vertical="center"/>
    </xf>
    <xf numFmtId="49" fontId="178" fillId="2" borderId="0" xfId="0" applyNumberFormat="1" applyFont="1" applyFill="1" applyAlignment="1" applyProtection="1">
      <alignment horizontal="center" vertical="center" wrapText="1"/>
      <protection locked="0"/>
    </xf>
    <xf numFmtId="0" fontId="178" fillId="2" borderId="0" xfId="0" applyFont="1" applyFill="1" applyAlignment="1" applyProtection="1">
      <alignment vertical="center" wrapText="1"/>
      <protection locked="0"/>
    </xf>
    <xf numFmtId="0" fontId="178" fillId="2" borderId="0" xfId="0" applyFont="1" applyFill="1" applyAlignment="1" applyProtection="1">
      <alignment horizontal="center" vertical="center" wrapText="1"/>
      <protection locked="0"/>
    </xf>
    <xf numFmtId="0" fontId="178" fillId="9" borderId="0" xfId="0" applyFont="1" applyFill="1" applyAlignment="1" applyProtection="1">
      <alignment horizontal="center" vertical="center" wrapText="1"/>
      <protection locked="0"/>
    </xf>
    <xf numFmtId="49" fontId="178" fillId="2" borderId="20" xfId="0" applyNumberFormat="1" applyFont="1" applyFill="1" applyBorder="1" applyAlignment="1" applyProtection="1">
      <alignment horizontal="center" vertical="center" wrapText="1"/>
      <protection locked="0"/>
    </xf>
    <xf numFmtId="0" fontId="178" fillId="2" borderId="20" xfId="0" applyNumberFormat="1" applyFont="1" applyFill="1" applyBorder="1" applyAlignment="1" applyProtection="1">
      <alignment horizontal="center" vertical="center" wrapText="1"/>
      <protection locked="0"/>
    </xf>
    <xf numFmtId="0" fontId="178" fillId="9" borderId="0" xfId="0" applyFont="1" applyFill="1" applyBorder="1" applyAlignment="1" applyProtection="1">
      <alignment horizontal="center" vertical="center" wrapText="1"/>
      <protection locked="0"/>
    </xf>
    <xf numFmtId="0" fontId="178" fillId="9" borderId="2" xfId="0" applyFont="1" applyFill="1" applyBorder="1" applyAlignment="1" applyProtection="1">
      <alignment horizontal="center" vertical="center" wrapText="1"/>
      <protection locked="0"/>
    </xf>
    <xf numFmtId="0" fontId="179" fillId="6" borderId="11" xfId="0" applyFont="1" applyFill="1" applyBorder="1" applyAlignment="1" applyProtection="1">
      <alignment vertical="center"/>
      <protection locked="0"/>
    </xf>
    <xf numFmtId="0" fontId="178" fillId="2" borderId="11" xfId="0" applyFont="1" applyFill="1" applyBorder="1" applyAlignment="1" applyProtection="1">
      <alignment vertical="center"/>
    </xf>
    <xf numFmtId="0" fontId="178" fillId="2" borderId="1" xfId="0" applyNumberFormat="1" applyFont="1" applyFill="1" applyBorder="1" applyAlignment="1" applyProtection="1">
      <alignment horizontal="center" vertical="center" wrapText="1"/>
    </xf>
    <xf numFmtId="0" fontId="178" fillId="2" borderId="20" xfId="0" applyNumberFormat="1" applyFont="1" applyFill="1" applyBorder="1" applyAlignment="1" applyProtection="1">
      <alignment horizontal="left" vertical="center"/>
      <protection locked="0"/>
    </xf>
    <xf numFmtId="182" fontId="178" fillId="6" borderId="11" xfId="0" applyNumberFormat="1" applyFont="1" applyFill="1" applyBorder="1" applyAlignment="1" applyProtection="1">
      <alignment horizontal="center" vertical="center" wrapText="1"/>
      <protection locked="0"/>
    </xf>
    <xf numFmtId="49" fontId="179" fillId="6" borderId="11" xfId="0" applyNumberFormat="1" applyFont="1" applyFill="1" applyBorder="1" applyAlignment="1" applyProtection="1">
      <alignment horizontal="left" vertical="center"/>
      <protection locked="0"/>
    </xf>
    <xf numFmtId="0" fontId="178" fillId="2" borderId="20" xfId="0" applyFont="1" applyFill="1" applyBorder="1" applyAlignment="1" applyProtection="1">
      <alignment horizontal="center" vertical="center" wrapText="1"/>
    </xf>
    <xf numFmtId="0" fontId="178" fillId="2" borderId="0" xfId="0" applyFont="1" applyFill="1" applyBorder="1" applyAlignment="1" applyProtection="1">
      <alignment vertical="center"/>
    </xf>
    <xf numFmtId="49" fontId="178" fillId="2" borderId="0" xfId="0" applyNumberFormat="1" applyFont="1" applyFill="1" applyAlignment="1" applyProtection="1">
      <alignment horizontal="center" vertical="center" wrapText="1"/>
    </xf>
    <xf numFmtId="0" fontId="178" fillId="2" borderId="20" xfId="0" applyFont="1" applyFill="1" applyBorder="1" applyAlignment="1" applyProtection="1">
      <alignment vertical="center" wrapText="1"/>
      <protection locked="0"/>
    </xf>
    <xf numFmtId="0" fontId="178" fillId="6" borderId="11" xfId="0" applyFont="1" applyFill="1" applyBorder="1" applyAlignment="1" applyProtection="1">
      <alignment horizontal="left" vertical="center" wrapText="1"/>
      <protection locked="0"/>
    </xf>
    <xf numFmtId="49" fontId="178" fillId="2" borderId="20" xfId="0" applyNumberFormat="1" applyFont="1" applyFill="1" applyBorder="1" applyAlignment="1" applyProtection="1">
      <alignment horizontal="left" vertical="center"/>
      <protection locked="0"/>
    </xf>
    <xf numFmtId="0" fontId="178" fillId="0" borderId="1" xfId="0" applyFont="1" applyBorder="1" applyAlignment="1" applyProtection="1">
      <alignment vertical="center"/>
    </xf>
    <xf numFmtId="0" fontId="178" fillId="2" borderId="171" xfId="0" applyFont="1" applyFill="1" applyBorder="1" applyAlignment="1" applyProtection="1">
      <alignment horizontal="center" vertical="center" wrapText="1"/>
      <protection locked="0"/>
    </xf>
    <xf numFmtId="0" fontId="178" fillId="9" borderId="171" xfId="0" applyFont="1" applyFill="1" applyBorder="1" applyAlignment="1" applyProtection="1">
      <alignment vertical="center" wrapText="1"/>
      <protection locked="0"/>
    </xf>
    <xf numFmtId="49" fontId="178" fillId="2" borderId="176" xfId="0" applyNumberFormat="1" applyFont="1" applyFill="1" applyBorder="1" applyAlignment="1" applyProtection="1">
      <alignment horizontal="center" vertical="center" wrapText="1"/>
      <protection locked="0"/>
    </xf>
    <xf numFmtId="49" fontId="178" fillId="2" borderId="171" xfId="0" applyNumberFormat="1" applyFont="1" applyFill="1" applyBorder="1" applyAlignment="1" applyProtection="1">
      <alignment horizontal="center" vertical="center" wrapText="1"/>
      <protection locked="0"/>
    </xf>
    <xf numFmtId="0" fontId="178" fillId="2" borderId="0" xfId="0" applyFont="1" applyFill="1" applyBorder="1" applyAlignment="1" applyProtection="1">
      <alignment horizontal="center" vertical="center" wrapText="1"/>
    </xf>
    <xf numFmtId="0" fontId="178" fillId="2" borderId="0" xfId="0" applyFont="1" applyFill="1" applyAlignment="1" applyProtection="1">
      <alignment horizontal="center" vertical="center" wrapText="1"/>
    </xf>
    <xf numFmtId="49" fontId="178" fillId="2" borderId="10" xfId="0" applyNumberFormat="1" applyFont="1" applyFill="1" applyBorder="1" applyAlignment="1" applyProtection="1">
      <alignment horizontal="center" vertical="center" wrapText="1"/>
    </xf>
    <xf numFmtId="49" fontId="178" fillId="2" borderId="1" xfId="0" applyNumberFormat="1" applyFont="1" applyFill="1" applyBorder="1" applyAlignment="1" applyProtection="1">
      <alignment horizontal="center" vertical="center" wrapText="1"/>
      <protection locked="0"/>
    </xf>
    <xf numFmtId="0" fontId="178" fillId="2" borderId="1" xfId="0" applyFont="1" applyFill="1" applyBorder="1" applyAlignment="1" applyProtection="1">
      <alignment horizontal="center" vertical="center" wrapText="1"/>
      <protection locked="0"/>
    </xf>
    <xf numFmtId="0" fontId="178" fillId="0" borderId="10" xfId="0" applyFont="1" applyBorder="1" applyAlignment="1" applyProtection="1">
      <alignment horizontal="center" vertical="center" wrapText="1"/>
    </xf>
    <xf numFmtId="49" fontId="178" fillId="0" borderId="1" xfId="0" applyNumberFormat="1" applyFont="1" applyBorder="1" applyAlignment="1" applyProtection="1">
      <alignment horizontal="center" vertical="center" wrapText="1"/>
      <protection locked="0"/>
    </xf>
    <xf numFmtId="49" fontId="178" fillId="0" borderId="10" xfId="0" applyNumberFormat="1" applyFont="1" applyBorder="1" applyAlignment="1" applyProtection="1">
      <alignment vertical="center" wrapText="1"/>
    </xf>
    <xf numFmtId="179" fontId="178" fillId="2" borderId="1" xfId="0" applyNumberFormat="1" applyFont="1" applyFill="1" applyBorder="1" applyAlignment="1" applyProtection="1">
      <alignment vertical="center" wrapText="1"/>
    </xf>
    <xf numFmtId="0" fontId="178" fillId="0" borderId="171" xfId="0" applyFont="1" applyBorder="1" applyAlignment="1" applyProtection="1">
      <alignment vertical="center" wrapText="1"/>
      <protection locked="0"/>
    </xf>
    <xf numFmtId="0" fontId="178" fillId="2" borderId="1" xfId="0" applyFont="1" applyFill="1" applyBorder="1" applyAlignment="1" applyProtection="1">
      <alignment vertical="center" wrapText="1"/>
      <protection locked="0"/>
    </xf>
    <xf numFmtId="0" fontId="47" fillId="0" borderId="0" xfId="0" applyFont="1" applyAlignment="1" applyProtection="1">
      <alignment horizontal="center" vertical="center" wrapText="1"/>
    </xf>
    <xf numFmtId="0" fontId="47" fillId="0" borderId="0" xfId="0" applyFont="1" applyBorder="1" applyAlignment="1" applyProtection="1">
      <alignment horizontal="center" vertical="center"/>
    </xf>
    <xf numFmtId="0" fontId="47" fillId="0" borderId="0" xfId="0" applyFont="1" applyProtection="1">
      <alignment vertical="center"/>
    </xf>
    <xf numFmtId="0" fontId="47" fillId="2" borderId="0" xfId="0" applyFont="1" applyFill="1" applyAlignment="1" applyProtection="1">
      <alignment horizontal="center" vertical="center"/>
    </xf>
    <xf numFmtId="0" fontId="42" fillId="2" borderId="74" xfId="0" applyFont="1" applyFill="1" applyBorder="1" applyAlignment="1" applyProtection="1">
      <alignment horizontal="center" vertical="center" wrapText="1"/>
    </xf>
    <xf numFmtId="0" fontId="47" fillId="2" borderId="35" xfId="0" applyFont="1" applyFill="1" applyBorder="1" applyAlignment="1" applyProtection="1">
      <alignment horizontal="center" vertical="center" wrapText="1"/>
    </xf>
    <xf numFmtId="0" fontId="104" fillId="2" borderId="0" xfId="0" applyFont="1" applyFill="1" applyBorder="1" applyAlignment="1" applyProtection="1">
      <alignment horizontal="center" vertical="center" wrapText="1"/>
    </xf>
    <xf numFmtId="0" fontId="47" fillId="2" borderId="0" xfId="0" applyFont="1" applyFill="1" applyAlignment="1" applyProtection="1">
      <alignment horizontal="center" vertical="center" wrapText="1"/>
    </xf>
    <xf numFmtId="0" fontId="47" fillId="0" borderId="1" xfId="0" applyFont="1" applyBorder="1" applyAlignment="1" applyProtection="1">
      <alignment horizontal="center" vertical="center"/>
      <protection locked="0"/>
    </xf>
    <xf numFmtId="0" fontId="104" fillId="2" borderId="0" xfId="0" applyFont="1" applyFill="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104" fillId="2" borderId="0" xfId="0" applyFont="1" applyFill="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47" fillId="2" borderId="0" xfId="0" applyFont="1" applyFill="1" applyBorder="1" applyAlignment="1" applyProtection="1">
      <alignment horizontal="center" vertical="center"/>
      <protection locked="0"/>
    </xf>
    <xf numFmtId="0" fontId="104" fillId="0" borderId="1" xfId="0" applyFont="1" applyBorder="1" applyAlignment="1" applyProtection="1">
      <alignment horizontal="center" vertical="center"/>
      <protection locked="0"/>
    </xf>
    <xf numFmtId="0" fontId="100" fillId="2" borderId="0" xfId="0" applyFont="1" applyFill="1" applyBorder="1" applyAlignment="1" applyProtection="1">
      <alignment horizontal="left" vertical="center"/>
    </xf>
    <xf numFmtId="0" fontId="100" fillId="2" borderId="0" xfId="0" applyFont="1" applyFill="1" applyProtection="1">
      <alignment vertical="center"/>
    </xf>
    <xf numFmtId="0" fontId="100" fillId="2" borderId="0" xfId="0" applyFont="1" applyFill="1" applyAlignment="1" applyProtection="1">
      <alignment horizontal="center" vertical="center"/>
    </xf>
    <xf numFmtId="0" fontId="100" fillId="2" borderId="0" xfId="0" applyFont="1" applyFill="1" applyBorder="1" applyAlignment="1" applyProtection="1">
      <alignment horizontal="center" vertical="center"/>
    </xf>
    <xf numFmtId="0" fontId="100" fillId="2" borderId="0" xfId="0" applyFont="1" applyFill="1" applyBorder="1" applyAlignment="1" applyProtection="1">
      <alignment horizontal="center" vertical="center" wrapText="1"/>
    </xf>
    <xf numFmtId="0" fontId="104" fillId="0" borderId="0" xfId="0" applyFont="1" applyBorder="1" applyAlignment="1" applyProtection="1">
      <alignment horizontal="center" vertical="center"/>
    </xf>
    <xf numFmtId="0" fontId="54" fillId="2" borderId="0" xfId="0" applyFont="1" applyFill="1" applyAlignment="1" applyProtection="1">
      <alignment horizontal="center" vertical="center"/>
    </xf>
    <xf numFmtId="0" fontId="42"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0" fontId="28" fillId="2" borderId="0" xfId="0" applyNumberFormat="1" applyFont="1" applyFill="1" applyBorder="1" applyAlignment="1" applyProtection="1">
      <alignment horizontal="center" vertical="center" wrapText="1"/>
    </xf>
    <xf numFmtId="0" fontId="85" fillId="2" borderId="0" xfId="0" applyFont="1" applyFill="1" applyAlignment="1" applyProtection="1">
      <alignment horizontal="center" vertical="center" wrapText="1"/>
    </xf>
    <xf numFmtId="0" fontId="106" fillId="0" borderId="0" xfId="62" applyFont="1" applyFill="1" applyAlignment="1">
      <alignment horizontal="left" vertical="center"/>
    </xf>
    <xf numFmtId="0" fontId="107" fillId="0" borderId="0" xfId="62" applyFont="1" applyAlignment="1">
      <alignment horizontal="left" vertical="center"/>
    </xf>
    <xf numFmtId="0" fontId="106" fillId="0" borderId="0" xfId="62" applyFont="1" applyAlignment="1">
      <alignment horizontal="left" vertical="center"/>
    </xf>
    <xf numFmtId="0" fontId="168" fillId="0" borderId="0" xfId="62" applyFont="1" applyAlignment="1">
      <alignment horizontal="left" vertical="center"/>
    </xf>
    <xf numFmtId="0" fontId="92" fillId="0" borderId="0" xfId="62" applyFont="1" applyAlignment="1">
      <alignment horizontal="left" vertical="center"/>
    </xf>
    <xf numFmtId="14" fontId="92" fillId="0" borderId="0" xfId="62" applyNumberFormat="1" applyFont="1" applyAlignment="1">
      <alignment horizontal="left" vertical="center"/>
    </xf>
    <xf numFmtId="0" fontId="169" fillId="0" borderId="0" xfId="62" applyFont="1" applyAlignment="1">
      <alignment horizontal="left" vertical="center"/>
    </xf>
    <xf numFmtId="0" fontId="182" fillId="3" borderId="9" xfId="62" applyFont="1" applyFill="1" applyBorder="1" applyAlignment="1">
      <alignment horizontal="left" vertical="center"/>
    </xf>
    <xf numFmtId="0" fontId="183" fillId="0" borderId="1" xfId="62" applyFont="1" applyFill="1" applyBorder="1" applyAlignment="1">
      <alignment horizontal="left" vertical="center"/>
    </xf>
    <xf numFmtId="0" fontId="183" fillId="0" borderId="10" xfId="62" applyFont="1" applyFill="1" applyBorder="1" applyAlignment="1">
      <alignment horizontal="left" vertical="center"/>
    </xf>
    <xf numFmtId="0" fontId="182" fillId="3" borderId="177" xfId="62" applyFont="1" applyFill="1" applyBorder="1" applyAlignment="1">
      <alignment horizontal="left" vertical="center"/>
    </xf>
    <xf numFmtId="194" fontId="183" fillId="0" borderId="10" xfId="62" applyNumberFormat="1" applyFont="1" applyFill="1" applyBorder="1" applyAlignment="1">
      <alignment horizontal="left" vertical="center"/>
    </xf>
    <xf numFmtId="0" fontId="183" fillId="0" borderId="178" xfId="62" applyFont="1" applyFill="1" applyBorder="1" applyAlignment="1">
      <alignment horizontal="left" vertical="center"/>
    </xf>
    <xf numFmtId="185" fontId="183" fillId="0" borderId="1" xfId="62" applyNumberFormat="1" applyFont="1" applyFill="1" applyBorder="1" applyAlignment="1">
      <alignment horizontal="left" vertical="center"/>
    </xf>
    <xf numFmtId="0" fontId="183" fillId="0" borderId="9" xfId="62" applyFont="1" applyFill="1" applyBorder="1" applyAlignment="1">
      <alignment horizontal="left" vertical="center"/>
    </xf>
    <xf numFmtId="194" fontId="183" fillId="0" borderId="178" xfId="62" applyNumberFormat="1" applyFont="1" applyFill="1" applyBorder="1" applyAlignment="1">
      <alignment horizontal="left" vertical="center"/>
    </xf>
    <xf numFmtId="0" fontId="168" fillId="0" borderId="0" xfId="62" applyFont="1" applyFill="1" applyAlignment="1">
      <alignment horizontal="left" vertical="center"/>
    </xf>
    <xf numFmtId="0" fontId="182" fillId="3" borderId="10" xfId="62" applyFont="1" applyFill="1" applyBorder="1" applyAlignment="1">
      <alignment horizontal="left" vertical="center"/>
    </xf>
    <xf numFmtId="0" fontId="182" fillId="3" borderId="12" xfId="62" applyFont="1" applyFill="1" applyBorder="1" applyAlignment="1">
      <alignment horizontal="left" vertical="center"/>
    </xf>
    <xf numFmtId="0" fontId="183" fillId="0" borderId="1" xfId="62" applyFont="1" applyBorder="1" applyAlignment="1">
      <alignment horizontal="left" vertical="center"/>
    </xf>
    <xf numFmtId="0" fontId="183" fillId="0" borderId="10" xfId="62" applyFont="1" applyBorder="1" applyAlignment="1">
      <alignment horizontal="left" vertical="center"/>
    </xf>
    <xf numFmtId="0" fontId="183" fillId="0" borderId="178" xfId="62" applyFont="1" applyBorder="1" applyAlignment="1">
      <alignment horizontal="left" vertical="center"/>
    </xf>
    <xf numFmtId="0" fontId="182" fillId="0" borderId="1" xfId="62" applyFont="1" applyFill="1" applyBorder="1" applyAlignment="1">
      <alignment horizontal="left" vertical="center"/>
    </xf>
    <xf numFmtId="0" fontId="92" fillId="0" borderId="1" xfId="62" applyFont="1" applyBorder="1" applyAlignment="1">
      <alignment horizontal="left" vertical="center"/>
    </xf>
    <xf numFmtId="185" fontId="183" fillId="0" borderId="10" xfId="62" applyNumberFormat="1" applyFont="1" applyFill="1" applyBorder="1" applyAlignment="1">
      <alignment horizontal="left" vertical="center"/>
    </xf>
    <xf numFmtId="0" fontId="92" fillId="0" borderId="178" xfId="62" applyFont="1" applyBorder="1" applyAlignment="1">
      <alignment horizontal="left" vertical="center"/>
    </xf>
    <xf numFmtId="185" fontId="183" fillId="0" borderId="1" xfId="0" applyNumberFormat="1" applyFont="1" applyFill="1" applyBorder="1" applyAlignment="1">
      <alignment horizontal="left" vertical="center"/>
    </xf>
    <xf numFmtId="14" fontId="92" fillId="0" borderId="10" xfId="62" applyNumberFormat="1" applyFont="1" applyBorder="1" applyAlignment="1">
      <alignment horizontal="left" vertical="center"/>
    </xf>
    <xf numFmtId="14" fontId="168" fillId="0" borderId="0" xfId="62" applyNumberFormat="1" applyFont="1" applyAlignment="1">
      <alignment horizontal="left" vertical="center"/>
    </xf>
    <xf numFmtId="14" fontId="168" fillId="0" borderId="179" xfId="62" applyNumberFormat="1" applyFont="1" applyBorder="1" applyAlignment="1">
      <alignment horizontal="left" vertical="center"/>
    </xf>
    <xf numFmtId="0" fontId="168" fillId="0" borderId="0" xfId="62" applyFont="1" applyBorder="1" applyAlignment="1">
      <alignment horizontal="left" vertical="center"/>
    </xf>
    <xf numFmtId="0" fontId="184" fillId="0" borderId="0" xfId="62" applyFont="1" applyBorder="1" applyAlignment="1">
      <alignment horizontal="left" vertical="center"/>
    </xf>
    <xf numFmtId="0" fontId="90" fillId="0" borderId="0" xfId="0" applyFont="1" applyProtection="1">
      <alignment vertical="center"/>
    </xf>
    <xf numFmtId="0" fontId="25"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47" fillId="0" borderId="0" xfId="0" applyFont="1" applyAlignment="1" applyProtection="1">
      <alignment horizontal="left" vertical="center"/>
    </xf>
    <xf numFmtId="0" fontId="25" fillId="5" borderId="1"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185" fillId="22" borderId="1" xfId="0" applyFont="1" applyFill="1" applyBorder="1" applyAlignment="1" applyProtection="1">
      <alignment horizontal="center" vertical="center"/>
    </xf>
    <xf numFmtId="0" fontId="52" fillId="0" borderId="1" xfId="0" applyFont="1" applyFill="1" applyBorder="1" applyAlignment="1" applyProtection="1">
      <alignment horizontal="center" vertical="center"/>
    </xf>
    <xf numFmtId="0" fontId="42" fillId="0" borderId="0" xfId="0" applyFont="1" applyProtection="1">
      <alignment vertical="center"/>
    </xf>
    <xf numFmtId="0" fontId="57" fillId="0" borderId="1" xfId="0" applyFont="1" applyBorder="1" applyAlignment="1" applyProtection="1">
      <alignment horizontal="center" vertical="center"/>
    </xf>
    <xf numFmtId="0" fontId="47" fillId="3" borderId="1" xfId="0" applyFont="1" applyFill="1" applyBorder="1" applyAlignment="1" applyProtection="1">
      <alignment horizontal="left" vertical="center"/>
    </xf>
    <xf numFmtId="0" fontId="42" fillId="0" borderId="10" xfId="0" applyFont="1" applyBorder="1" applyAlignment="1" applyProtection="1">
      <alignment horizontal="left" vertical="center"/>
    </xf>
    <xf numFmtId="0" fontId="47" fillId="0" borderId="11" xfId="0" applyFont="1" applyBorder="1" applyAlignment="1" applyProtection="1">
      <alignment horizontal="left" vertical="center"/>
    </xf>
    <xf numFmtId="0" fontId="47" fillId="0" borderId="1" xfId="0" applyFont="1" applyBorder="1" applyAlignment="1" applyProtection="1">
      <alignment horizontal="left" vertical="center"/>
    </xf>
    <xf numFmtId="0" fontId="47" fillId="0" borderId="10" xfId="0" applyFont="1" applyBorder="1" applyAlignment="1" applyProtection="1">
      <alignment horizontal="left" vertical="center"/>
    </xf>
    <xf numFmtId="0" fontId="47" fillId="23" borderId="10" xfId="0" applyFont="1" applyFill="1" applyBorder="1" applyAlignment="1" applyProtection="1">
      <alignment vertical="center"/>
    </xf>
    <xf numFmtId="0" fontId="47" fillId="0" borderId="12" xfId="0" applyFont="1" applyBorder="1" applyAlignment="1" applyProtection="1">
      <alignment vertical="center"/>
    </xf>
    <xf numFmtId="0" fontId="47" fillId="0" borderId="11" xfId="0" applyFont="1" applyBorder="1" applyAlignment="1" applyProtection="1">
      <alignment vertical="center"/>
    </xf>
    <xf numFmtId="0" fontId="47" fillId="15" borderId="1" xfId="0" applyFont="1" applyFill="1" applyBorder="1" applyAlignment="1" applyProtection="1">
      <alignment horizontal="left" vertical="center"/>
    </xf>
    <xf numFmtId="0" fontId="47" fillId="0" borderId="9" xfId="0" applyFont="1" applyBorder="1" applyAlignment="1" applyProtection="1">
      <alignment horizontal="left" vertical="center"/>
    </xf>
    <xf numFmtId="0" fontId="42" fillId="0" borderId="1" xfId="0" applyFont="1" applyBorder="1" applyAlignment="1" applyProtection="1">
      <alignment horizontal="left" vertical="center"/>
    </xf>
    <xf numFmtId="0" fontId="47" fillId="0" borderId="35" xfId="0" applyFont="1" applyBorder="1" applyAlignment="1" applyProtection="1">
      <alignment horizontal="left" vertical="center"/>
    </xf>
    <xf numFmtId="0" fontId="104" fillId="0" borderId="9" xfId="0" applyFont="1" applyBorder="1" applyAlignment="1" applyProtection="1">
      <alignment horizontal="left" vertical="center" wrapText="1"/>
    </xf>
    <xf numFmtId="0" fontId="104" fillId="0" borderId="35" xfId="0" applyFont="1" applyBorder="1" applyAlignment="1" applyProtection="1">
      <alignment horizontal="left" vertical="center" wrapText="1"/>
    </xf>
    <xf numFmtId="0" fontId="47" fillId="0" borderId="35" xfId="0" applyFont="1" applyBorder="1" applyAlignment="1" applyProtection="1">
      <alignment vertical="center"/>
    </xf>
    <xf numFmtId="0" fontId="104" fillId="0" borderId="35" xfId="0" applyFont="1" applyBorder="1" applyAlignment="1" applyProtection="1">
      <alignment vertical="center"/>
    </xf>
    <xf numFmtId="0" fontId="104" fillId="0" borderId="3" xfId="0" applyFont="1" applyBorder="1" applyAlignment="1" applyProtection="1">
      <alignment horizontal="left" vertical="center" wrapText="1"/>
    </xf>
    <xf numFmtId="0" fontId="104" fillId="0" borderId="3" xfId="0" applyFont="1" applyBorder="1" applyAlignment="1" applyProtection="1">
      <alignment vertical="center"/>
    </xf>
    <xf numFmtId="0" fontId="88" fillId="0" borderId="0" xfId="0" applyFont="1" applyProtection="1">
      <alignment vertical="center"/>
    </xf>
    <xf numFmtId="0" fontId="28" fillId="0" borderId="0" xfId="0" applyFont="1" applyAlignment="1" applyProtection="1">
      <alignment horizontal="left" vertical="center"/>
    </xf>
    <xf numFmtId="186" fontId="28" fillId="0" borderId="0" xfId="0" applyNumberFormat="1" applyFont="1" applyAlignment="1" applyProtection="1">
      <alignment horizontal="left" vertical="center"/>
    </xf>
    <xf numFmtId="0" fontId="186" fillId="0" borderId="0" xfId="0" applyFont="1" applyAlignment="1">
      <alignment vertical="center" wrapText="1"/>
    </xf>
    <xf numFmtId="0" fontId="186" fillId="0" borderId="0" xfId="0" applyFont="1" applyAlignment="1" applyProtection="1">
      <alignment vertical="center" wrapText="1"/>
      <protection locked="0"/>
    </xf>
    <xf numFmtId="0" fontId="179" fillId="0" borderId="0" xfId="0" applyFont="1" applyAlignment="1" applyProtection="1">
      <alignment vertical="center" wrapText="1"/>
      <protection locked="0"/>
    </xf>
    <xf numFmtId="0" fontId="186" fillId="0" borderId="0" xfId="0" applyFont="1" applyAlignment="1" applyProtection="1">
      <alignment vertical="center" wrapText="1"/>
    </xf>
    <xf numFmtId="49" fontId="179" fillId="0" borderId="0" xfId="0" applyNumberFormat="1" applyFont="1" applyAlignment="1" applyProtection="1">
      <alignment vertical="center" wrapText="1"/>
      <protection locked="0"/>
    </xf>
    <xf numFmtId="0" fontId="186" fillId="0" borderId="0" xfId="0" applyFont="1" applyAlignment="1">
      <alignment horizontal="center" vertical="center" wrapText="1"/>
    </xf>
    <xf numFmtId="0" fontId="186" fillId="0" borderId="89" xfId="0" applyFont="1" applyBorder="1" applyAlignment="1">
      <alignment vertical="center" wrapText="1"/>
    </xf>
    <xf numFmtId="0" fontId="186" fillId="0" borderId="0" xfId="0" applyFont="1" applyAlignment="1">
      <alignment horizontal="right" vertical="center" wrapText="1"/>
    </xf>
    <xf numFmtId="0" fontId="179" fillId="0" borderId="0" xfId="0" applyFont="1" applyAlignment="1">
      <alignment horizontal="center" vertical="center" wrapText="1"/>
    </xf>
    <xf numFmtId="0" fontId="186" fillId="0" borderId="0" xfId="0" applyFont="1" applyAlignment="1">
      <alignment horizontal="right" vertical="center"/>
    </xf>
    <xf numFmtId="194" fontId="187" fillId="0" borderId="0" xfId="0" applyNumberFormat="1" applyFont="1" applyAlignment="1" applyProtection="1">
      <alignment horizontal="right" vertical="center" shrinkToFit="1"/>
      <protection locked="0"/>
    </xf>
    <xf numFmtId="0" fontId="188" fillId="0" borderId="0" xfId="0" applyFont="1" applyAlignment="1">
      <alignment horizontal="center" vertical="center"/>
    </xf>
    <xf numFmtId="0" fontId="189" fillId="0" borderId="0" xfId="0" applyFont="1">
      <alignment vertical="center"/>
    </xf>
    <xf numFmtId="0" fontId="190" fillId="0" borderId="1" xfId="0" applyFont="1" applyBorder="1" applyAlignment="1" applyProtection="1">
      <alignment horizontal="center" vertical="center" wrapText="1"/>
      <protection locked="0"/>
    </xf>
    <xf numFmtId="0" fontId="189" fillId="0" borderId="1" xfId="0" applyFont="1" applyBorder="1" applyAlignment="1" applyProtection="1">
      <alignment horizontal="center" vertical="center" wrapText="1"/>
      <protection locked="0"/>
    </xf>
    <xf numFmtId="0" fontId="189" fillId="0" borderId="1" xfId="0" applyFont="1" applyBorder="1" applyAlignment="1" applyProtection="1">
      <alignment horizontal="center" vertical="center" wrapText="1"/>
    </xf>
    <xf numFmtId="0" fontId="189" fillId="0" borderId="1" xfId="0" applyFont="1" applyBorder="1" applyAlignment="1">
      <alignment horizontal="left" vertical="center" wrapText="1"/>
    </xf>
    <xf numFmtId="49" fontId="189" fillId="0" borderId="1" xfId="0" applyNumberFormat="1" applyFont="1" applyBorder="1" applyAlignment="1" applyProtection="1">
      <alignment horizontal="center" vertical="center" wrapText="1"/>
      <protection locked="0"/>
    </xf>
    <xf numFmtId="0" fontId="191" fillId="0" borderId="1" xfId="0" applyFont="1" applyBorder="1" applyAlignment="1" applyProtection="1">
      <alignment horizontal="center" vertical="center" wrapText="1"/>
      <protection locked="0"/>
    </xf>
    <xf numFmtId="0" fontId="189" fillId="0" borderId="1" xfId="0" applyFont="1" applyBorder="1" applyAlignment="1">
      <alignment horizontal="center" vertical="center" wrapText="1"/>
    </xf>
    <xf numFmtId="0" fontId="192" fillId="0" borderId="10" xfId="0" applyFont="1" applyBorder="1" applyAlignment="1">
      <alignment horizontal="center" vertical="center" wrapText="1"/>
    </xf>
    <xf numFmtId="0" fontId="192" fillId="0" borderId="12" xfId="0" applyFont="1" applyBorder="1" applyAlignment="1">
      <alignment horizontal="center" vertical="center" wrapText="1"/>
    </xf>
    <xf numFmtId="0" fontId="189" fillId="0" borderId="0" xfId="0" applyFont="1" applyAlignment="1">
      <alignment horizontal="left" vertical="center"/>
    </xf>
    <xf numFmtId="0" fontId="193" fillId="0" borderId="0" xfId="0" applyFont="1" applyAlignment="1">
      <alignment vertical="center"/>
    </xf>
    <xf numFmtId="0" fontId="193" fillId="0" borderId="0" xfId="0" applyFont="1" applyAlignment="1">
      <alignment vertical="center" wrapText="1"/>
    </xf>
    <xf numFmtId="0" fontId="0"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193" fillId="0" borderId="0" xfId="0" applyFont="1">
      <alignment vertical="center"/>
    </xf>
    <xf numFmtId="0" fontId="189" fillId="0" borderId="0" xfId="0" applyFont="1" applyAlignment="1">
      <alignment horizontal="right" vertical="center"/>
    </xf>
    <xf numFmtId="0" fontId="190" fillId="0" borderId="1" xfId="0" applyFont="1" applyFill="1" applyBorder="1" applyAlignment="1" applyProtection="1">
      <alignment horizontal="center" vertical="center" wrapText="1"/>
      <protection locked="0"/>
    </xf>
    <xf numFmtId="0" fontId="191" fillId="0" borderId="1" xfId="0" applyFont="1" applyBorder="1" applyAlignment="1">
      <alignment horizontal="center" vertical="center" wrapText="1"/>
    </xf>
    <xf numFmtId="0" fontId="192" fillId="0" borderId="11" xfId="0" applyFont="1" applyBorder="1" applyAlignment="1">
      <alignment horizontal="center" vertical="center" wrapText="1"/>
    </xf>
    <xf numFmtId="0" fontId="194" fillId="0" borderId="1" xfId="0" applyFont="1" applyBorder="1" applyAlignment="1">
      <alignment horizontal="center" vertical="center" wrapText="1"/>
    </xf>
    <xf numFmtId="0" fontId="54" fillId="0" borderId="0" xfId="0" applyFont="1" applyProtection="1">
      <alignment vertical="center"/>
    </xf>
    <xf numFmtId="0" fontId="195" fillId="0" borderId="0" xfId="0" applyFont="1" applyBorder="1" applyAlignment="1" applyProtection="1">
      <alignment horizontal="center" vertical="center"/>
    </xf>
    <xf numFmtId="0" fontId="54" fillId="0" borderId="0" xfId="0" applyFont="1" applyBorder="1" applyProtection="1">
      <alignment vertical="center"/>
    </xf>
    <xf numFmtId="0" fontId="196" fillId="0" borderId="0" xfId="0" applyFont="1" applyAlignment="1" applyProtection="1">
      <alignment horizontal="left" vertical="center"/>
    </xf>
    <xf numFmtId="0" fontId="188" fillId="0" borderId="0" xfId="0" applyFont="1" applyAlignment="1" applyProtection="1">
      <alignment horizontal="left" vertical="center" wrapText="1"/>
    </xf>
    <xf numFmtId="0" fontId="197" fillId="0" borderId="0" xfId="0" applyFont="1" applyAlignment="1" applyProtection="1">
      <alignment horizontal="left" vertical="center"/>
    </xf>
    <xf numFmtId="0" fontId="198" fillId="0" borderId="0" xfId="0" applyFont="1" applyAlignment="1" applyProtection="1">
      <alignment horizontal="left" vertical="center" wrapText="1"/>
      <protection locked="0"/>
    </xf>
    <xf numFmtId="0" fontId="188" fillId="0" borderId="0" xfId="0" applyFont="1" applyFill="1" applyAlignment="1" applyProtection="1">
      <alignment horizontal="left" vertical="center" wrapText="1"/>
    </xf>
    <xf numFmtId="185" fontId="188" fillId="0" borderId="0" xfId="0" applyNumberFormat="1" applyFont="1" applyAlignment="1" applyProtection="1">
      <alignment horizontal="left" vertical="center"/>
    </xf>
    <xf numFmtId="0" fontId="54" fillId="0" borderId="0" xfId="0" applyFont="1" applyAlignment="1" applyProtection="1">
      <alignment vertical="center" wrapText="1"/>
    </xf>
    <xf numFmtId="0" fontId="54" fillId="0" borderId="0" xfId="0" applyFont="1" applyAlignment="1" applyProtection="1">
      <alignment vertical="center" wrapText="1" shrinkToFit="1"/>
    </xf>
    <xf numFmtId="0" fontId="188" fillId="0" borderId="0" xfId="0" applyFont="1" applyAlignment="1" applyProtection="1">
      <alignment horizontal="left" vertical="top" wrapText="1"/>
    </xf>
    <xf numFmtId="0" fontId="198" fillId="0" borderId="0" xfId="0" applyFont="1" applyAlignment="1" applyProtection="1">
      <alignment horizontal="left" vertical="top" wrapText="1"/>
    </xf>
    <xf numFmtId="0" fontId="188" fillId="0" borderId="0" xfId="0" applyFont="1">
      <alignment vertical="center"/>
    </xf>
    <xf numFmtId="0" fontId="54" fillId="0" borderId="0" xfId="0" applyFont="1" applyAlignment="1" applyProtection="1">
      <alignment horizontal="left" vertical="center"/>
    </xf>
    <xf numFmtId="0" fontId="188" fillId="0" borderId="0" xfId="0" applyFont="1" applyAlignment="1" applyProtection="1">
      <alignment horizontal="left" vertical="center"/>
      <protection locked="0"/>
    </xf>
    <xf numFmtId="0" fontId="199" fillId="0" borderId="0" xfId="0" applyFont="1" applyAlignment="1" applyProtection="1">
      <alignment horizontal="left" vertical="center" wrapText="1"/>
      <protection locked="0"/>
    </xf>
    <xf numFmtId="0" fontId="200" fillId="0" borderId="0" xfId="62" applyFont="1">
      <alignment vertical="center"/>
    </xf>
    <xf numFmtId="0" fontId="0" fillId="0" borderId="0" xfId="62">
      <alignment vertical="center"/>
    </xf>
    <xf numFmtId="0" fontId="200" fillId="0" borderId="0" xfId="62" applyFont="1" applyAlignment="1" applyProtection="1">
      <alignment horizontal="left" vertical="top" wrapText="1"/>
    </xf>
    <xf numFmtId="0" fontId="200" fillId="0" borderId="0" xfId="62" applyFont="1" applyAlignment="1">
      <alignment vertical="top" wrapText="1"/>
    </xf>
    <xf numFmtId="0" fontId="168" fillId="0" borderId="2" xfId="0" applyFont="1" applyBorder="1">
      <alignment vertical="center"/>
    </xf>
    <xf numFmtId="0" fontId="168" fillId="0" borderId="90" xfId="0" applyFont="1" applyBorder="1" applyProtection="1">
      <alignment vertical="center"/>
      <protection locked="0"/>
    </xf>
    <xf numFmtId="0" fontId="168" fillId="0" borderId="0" xfId="0" applyFont="1" applyFill="1" applyBorder="1" applyProtection="1">
      <alignment vertical="center"/>
    </xf>
    <xf numFmtId="0" fontId="168" fillId="0" borderId="0" xfId="0" applyFont="1" applyBorder="1" applyProtection="1">
      <alignment vertical="center"/>
      <protection locked="0"/>
    </xf>
    <xf numFmtId="0" fontId="168" fillId="0" borderId="90" xfId="0" applyFont="1" applyBorder="1">
      <alignment vertical="center"/>
    </xf>
    <xf numFmtId="0" fontId="168" fillId="0" borderId="0" xfId="0" applyFont="1" applyBorder="1" applyAlignment="1">
      <alignment vertical="center" wrapText="1"/>
    </xf>
    <xf numFmtId="0" fontId="168" fillId="0" borderId="0" xfId="0" applyFont="1" applyBorder="1" applyAlignment="1">
      <alignment horizontal="left" vertical="center"/>
    </xf>
    <xf numFmtId="0" fontId="168" fillId="0" borderId="83" xfId="0" applyFont="1" applyBorder="1" applyAlignment="1">
      <alignment horizontal="left" vertical="center" wrapText="1"/>
    </xf>
    <xf numFmtId="0" fontId="57" fillId="0" borderId="83" xfId="0" applyFont="1" applyBorder="1" applyAlignment="1" applyProtection="1">
      <alignment horizontal="left" vertical="center"/>
      <protection locked="0"/>
    </xf>
    <xf numFmtId="0" fontId="168" fillId="0" borderId="85" xfId="0" applyFont="1" applyBorder="1" applyAlignment="1">
      <alignment vertical="center" wrapText="1"/>
    </xf>
    <xf numFmtId="0" fontId="168" fillId="0" borderId="85" xfId="0" applyFont="1" applyBorder="1" applyAlignment="1" applyProtection="1">
      <alignment horizontal="left" vertical="center"/>
    </xf>
    <xf numFmtId="0" fontId="168" fillId="0" borderId="1" xfId="0" applyFont="1" applyBorder="1" applyAlignment="1">
      <alignment vertical="center" wrapText="1"/>
    </xf>
    <xf numFmtId="0" fontId="168" fillId="0" borderId="1" xfId="0" applyFont="1" applyFill="1" applyBorder="1" applyAlignment="1" applyProtection="1">
      <alignment horizontal="left" vertical="center"/>
    </xf>
    <xf numFmtId="0" fontId="168" fillId="0" borderId="1" xfId="0" applyFont="1" applyBorder="1" applyAlignment="1" applyProtection="1">
      <alignment horizontal="left" vertical="center"/>
    </xf>
    <xf numFmtId="0" fontId="168" fillId="0" borderId="83" xfId="0" applyFont="1" applyBorder="1" applyAlignment="1">
      <alignment vertical="center" wrapText="1"/>
    </xf>
    <xf numFmtId="0" fontId="168" fillId="0" borderId="83" xfId="0" applyFont="1" applyBorder="1" applyAlignment="1" applyProtection="1">
      <alignment horizontal="left" vertical="center"/>
    </xf>
    <xf numFmtId="0" fontId="168" fillId="0" borderId="3" xfId="0" applyFont="1" applyBorder="1" applyAlignment="1">
      <alignment vertical="center" wrapText="1"/>
    </xf>
    <xf numFmtId="0" fontId="168" fillId="0" borderId="3" xfId="0" applyFont="1" applyBorder="1" applyAlignment="1" applyProtection="1">
      <alignment horizontal="left" vertical="center"/>
    </xf>
    <xf numFmtId="49" fontId="168" fillId="0" borderId="1" xfId="0" applyNumberFormat="1" applyFont="1" applyBorder="1" applyAlignment="1" applyProtection="1">
      <alignment horizontal="left" vertical="center"/>
    </xf>
    <xf numFmtId="0" fontId="168" fillId="0" borderId="85" xfId="0" applyFont="1" applyBorder="1">
      <alignment vertical="center"/>
    </xf>
    <xf numFmtId="0" fontId="168" fillId="0" borderId="1" xfId="0" applyFont="1" applyBorder="1">
      <alignment vertical="center"/>
    </xf>
    <xf numFmtId="49" fontId="168" fillId="0" borderId="90" xfId="0" applyNumberFormat="1" applyFont="1" applyBorder="1" applyProtection="1">
      <alignment vertical="center"/>
      <protection locked="0"/>
    </xf>
    <xf numFmtId="185" fontId="168" fillId="0" borderId="90" xfId="0" applyNumberFormat="1" applyFont="1" applyBorder="1" applyProtection="1">
      <alignment vertical="center"/>
      <protection locked="0"/>
    </xf>
    <xf numFmtId="0" fontId="168" fillId="0" borderId="1" xfId="0" applyNumberFormat="1" applyFont="1" applyBorder="1" applyAlignment="1" applyProtection="1">
      <alignment horizontal="left" vertical="center"/>
    </xf>
    <xf numFmtId="194" fontId="168" fillId="0" borderId="83" xfId="0" applyNumberFormat="1" applyFont="1" applyBorder="1" applyAlignment="1" applyProtection="1">
      <alignment horizontal="left" vertical="center"/>
    </xf>
    <xf numFmtId="0" fontId="168" fillId="0" borderId="83" xfId="0" applyNumberFormat="1" applyFont="1" applyBorder="1" applyAlignment="1" applyProtection="1">
      <alignment horizontal="left" vertical="center"/>
    </xf>
    <xf numFmtId="0" fontId="168" fillId="0" borderId="3" xfId="0" applyFont="1" applyBorder="1" applyAlignment="1">
      <alignment horizontal="left" vertical="center"/>
    </xf>
    <xf numFmtId="0" fontId="168" fillId="0" borderId="1" xfId="0" applyFont="1" applyBorder="1" applyAlignment="1">
      <alignment horizontal="left" vertical="center"/>
    </xf>
    <xf numFmtId="0" fontId="168" fillId="0" borderId="83" xfId="0" applyFont="1" applyBorder="1" applyAlignment="1">
      <alignment horizontal="lef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s>
  <dxfs count="15">
    <dxf>
      <font>
        <b val="1"/>
        <i val="0"/>
        <color rgb="FFFF0000"/>
      </font>
      <fill>
        <patternFill patternType="solid">
          <bgColor rgb="FFFFFF00"/>
        </patternFill>
      </fill>
    </dxf>
    <dxf>
      <font>
        <u val="single"/>
        <color rgb="FFFF0000"/>
      </font>
    </dxf>
    <dxf>
      <font>
        <color rgb="FFFF0000"/>
      </font>
    </dxf>
    <dxf>
      <font>
        <color rgb="FFFFFF00"/>
      </font>
      <fill>
        <patternFill patternType="solid">
          <bgColor rgb="FFFF0000"/>
        </patternFill>
      </fill>
    </dxf>
    <dxf>
      <font>
        <color rgb="FFFFFF00"/>
      </font>
      <fill>
        <patternFill patternType="solid">
          <bgColor rgb="FFFF0000"/>
        </patternFill>
      </fill>
    </dxf>
    <dxf>
      <font>
        <color rgb="FFFF0000"/>
      </font>
      <fill>
        <patternFill patternType="none"/>
      </fill>
    </dxf>
    <dxf>
      <font>
        <color rgb="FF9C0006"/>
      </font>
    </dxf>
    <dxf>
      <fill>
        <patternFill patternType="solid">
          <bgColor theme="0" tint="-0.249946592608417"/>
        </patternFill>
      </fill>
    </dxf>
    <dxf>
      <font>
        <b val="1"/>
        <i val="0"/>
        <color rgb="FFFF0000"/>
      </font>
    </dxf>
    <dxf>
      <fill>
        <patternFill patternType="solid">
          <bgColor rgb="FFFFFF00"/>
        </patternFill>
      </fill>
    </dxf>
    <dxf>
      <fill>
        <patternFill patternType="solid">
          <bgColor theme="0"/>
        </patternFill>
      </fill>
    </dxf>
    <dxf>
      <font>
        <color rgb="FFFFFF00"/>
      </font>
      <fill>
        <patternFill patternType="solid">
          <bgColor rgb="FFFF0000"/>
        </patternFill>
      </fill>
    </dxf>
    <dxf>
      <font>
        <b val="1"/>
        <i val="0"/>
        <color rgb="FFFF0000"/>
      </font>
    </dxf>
    <dxf>
      <fill>
        <patternFill patternType="none"/>
      </fill>
    </dxf>
    <dxf>
      <font>
        <color rgb="FFFF0000"/>
      </font>
    </dxf>
  </dxfs>
  <tableStyles count="0" defaultTableStyle="TableStyleMedium2" defaultPivotStyle="PivotStyleLight16"/>
  <colors>
    <mruColors>
      <color rgb="00FFFFFF"/>
      <color rgb="004EF86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externalLink" Target="externalLinks/externalLink2.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Sheet1!$F$27</c:f>
              <c:strCache>
                <c:ptCount val="1"/>
                <c:pt idx="0">
                  <c:v>基准地价</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Sheet1!$E$28:$E$30</c:f>
              <c:strCache>
                <c:ptCount val="3"/>
                <c:pt idx="0">
                  <c:v>2018年</c:v>
                </c:pt>
                <c:pt idx="1">
                  <c:v>2019年</c:v>
                </c:pt>
                <c:pt idx="2">
                  <c:v>2020年</c:v>
                </c:pt>
              </c:strCache>
            </c:strRef>
          </c:cat>
          <c:val>
            <c:numRef>
              <c:f>Sheet1!$F$28:$F$30</c:f>
              <c:numCache>
                <c:formatCode>0</c:formatCode>
                <c:ptCount val="3"/>
                <c:pt idx="0">
                  <c:v>0</c:v>
                </c:pt>
                <c:pt idx="1">
                  <c:v>0</c:v>
                </c:pt>
                <c:pt idx="2">
                  <c:v>0</c:v>
                </c:pt>
              </c:numCache>
            </c:numRef>
          </c:val>
        </c:ser>
        <c:ser>
          <c:idx val="1"/>
          <c:order val="1"/>
          <c:tx>
            <c:strRef>
              <c:f>Sheet1!$G$27</c:f>
              <c:strCache>
                <c:ptCount val="1"/>
                <c:pt idx="0">
                  <c:v>协议出让</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Sheet1!$E$28:$E$30</c:f>
              <c:strCache>
                <c:ptCount val="3"/>
                <c:pt idx="0">
                  <c:v>2018年</c:v>
                </c:pt>
                <c:pt idx="1">
                  <c:v>2019年</c:v>
                </c:pt>
                <c:pt idx="2">
                  <c:v>2020年</c:v>
                </c:pt>
              </c:strCache>
            </c:strRef>
          </c:cat>
          <c:val>
            <c:numRef>
              <c:f>Sheet1!$G$28:$G$30</c:f>
              <c:numCache>
                <c:formatCode>0</c:formatCode>
                <c:ptCount val="3"/>
                <c:pt idx="0">
                  <c:v>20066</c:v>
                </c:pt>
                <c:pt idx="1" c:formatCode="General">
                  <c:v>21264</c:v>
                </c:pt>
                <c:pt idx="2" c:formatCode="General">
                  <c:v>19215</c:v>
                </c:pt>
              </c:numCache>
            </c:numRef>
          </c:val>
        </c:ser>
        <c:ser>
          <c:idx val="2"/>
          <c:order val="2"/>
          <c:tx>
            <c:strRef>
              <c:f>Sheet1!$H$27</c:f>
              <c:strCache>
                <c:ptCount val="1"/>
                <c:pt idx="0">
                  <c:v>招拍挂出让</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Sheet1!$E$28:$E$30</c:f>
              <c:strCache>
                <c:ptCount val="3"/>
                <c:pt idx="0">
                  <c:v>2018年</c:v>
                </c:pt>
                <c:pt idx="1">
                  <c:v>2019年</c:v>
                </c:pt>
                <c:pt idx="2">
                  <c:v>2020年</c:v>
                </c:pt>
              </c:strCache>
            </c:strRef>
          </c:cat>
          <c:val>
            <c:numRef>
              <c:f>Sheet1!$H$28:$H$30</c:f>
              <c:numCache>
                <c:formatCode>General</c:formatCode>
                <c:ptCount val="3"/>
                <c:pt idx="1" c:formatCode="0">
                  <c:v>22423</c:v>
                </c:pt>
                <c:pt idx="2" c:formatCode="0">
                  <c:v>31358</c:v>
                </c:pt>
              </c:numCache>
            </c:numRef>
          </c:val>
        </c:ser>
        <c:dLbls>
          <c:showLegendKey val="0"/>
          <c:showVal val="1"/>
          <c:showCatName val="0"/>
          <c:showSerName val="0"/>
          <c:showPercent val="0"/>
          <c:showBubbleSize val="0"/>
        </c:dLbls>
        <c:gapWidth val="75"/>
        <c:axId val="238340736"/>
        <c:axId val="238634496"/>
      </c:barChart>
      <c:lineChart>
        <c:grouping val="standard"/>
        <c:varyColors val="0"/>
        <c:ser>
          <c:idx val="3"/>
          <c:order val="3"/>
          <c:tx>
            <c:strRef>
              <c:f>Sheet1!$I$27</c:f>
              <c:strCache>
                <c:ptCount val="1"/>
                <c:pt idx="0">
                  <c:v>海淀区温泉镇中关村环保科技示范园E05地块评估结果</c:v>
                </c:pt>
              </c:strCache>
            </c:strRef>
          </c:tx>
          <c:marker>
            <c:symbol val="none"/>
          </c:marker>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Sheet1!$E$28:$E$30</c:f>
              <c:strCache>
                <c:ptCount val="3"/>
                <c:pt idx="0">
                  <c:v>2018年</c:v>
                </c:pt>
                <c:pt idx="1">
                  <c:v>2019年</c:v>
                </c:pt>
                <c:pt idx="2">
                  <c:v>2020年</c:v>
                </c:pt>
              </c:strCache>
            </c:strRef>
          </c:cat>
          <c:val>
            <c:numRef>
              <c:f>Sheet1!$I$28:$I$30</c:f>
              <c:numCache>
                <c:formatCode>General</c:formatCode>
                <c:ptCount val="3"/>
                <c:pt idx="0">
                  <c:v>3037</c:v>
                </c:pt>
                <c:pt idx="1">
                  <c:v>3037</c:v>
                </c:pt>
                <c:pt idx="2">
                  <c:v>3037</c:v>
                </c:pt>
              </c:numCache>
            </c:numRef>
          </c:val>
          <c:smooth val="0"/>
        </c:ser>
        <c:dLbls>
          <c:showLegendKey val="0"/>
          <c:showVal val="1"/>
          <c:showCatName val="0"/>
          <c:showSerName val="0"/>
          <c:showPercent val="0"/>
          <c:showBubbleSize val="0"/>
        </c:dLbls>
        <c:marker val="0"/>
        <c:smooth val="0"/>
        <c:axId val="238340736"/>
        <c:axId val="238634496"/>
      </c:lineChart>
      <c:catAx>
        <c:axId val="238340736"/>
        <c:scaling>
          <c:orientation val="minMax"/>
        </c:scaling>
        <c:delete val="0"/>
        <c:axPos val="b"/>
        <c:numFmt formatCode="General" sourceLinked="0"/>
        <c:majorTickMark val="none"/>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38634496"/>
        <c:crosses val="autoZero"/>
        <c:auto val="1"/>
        <c:lblAlgn val="ctr"/>
        <c:lblOffset val="100"/>
        <c:noMultiLvlLbl val="0"/>
      </c:catAx>
      <c:valAx>
        <c:axId val="238634496"/>
        <c:scaling>
          <c:orientation val="minMax"/>
        </c:scaling>
        <c:delete val="0"/>
        <c:axPos val="l"/>
        <c:numFmt formatCode="0" sourceLinked="1"/>
        <c:majorTickMark val="none"/>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38340736"/>
        <c:crosses val="autoZero"/>
        <c:crossBetween val="between"/>
      </c:valAx>
    </c:plotArea>
    <c:legend>
      <c:legendPos val="b"/>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Sheet1!$F$27</c:f>
              <c:strCache>
                <c:ptCount val="1"/>
                <c:pt idx="0">
                  <c:v>基准地价</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Sheet1!$E$32:$E$34</c:f>
              <c:strCache>
                <c:ptCount val="3"/>
                <c:pt idx="0">
                  <c:v>2018年</c:v>
                </c:pt>
                <c:pt idx="1">
                  <c:v>2019年</c:v>
                </c:pt>
                <c:pt idx="2">
                  <c:v>2020年</c:v>
                </c:pt>
              </c:strCache>
            </c:strRef>
          </c:cat>
          <c:val>
            <c:numRef>
              <c:f>Sheet1!$F$32:$F$34</c:f>
              <c:numCache>
                <c:formatCode>0</c:formatCode>
                <c:ptCount val="3"/>
                <c:pt idx="0">
                  <c:v>1593.0504</c:v>
                </c:pt>
                <c:pt idx="1">
                  <c:v>1624.0128</c:v>
                </c:pt>
                <c:pt idx="2">
                  <c:v>1604.574</c:v>
                </c:pt>
              </c:numCache>
            </c:numRef>
          </c:val>
        </c:ser>
        <c:ser>
          <c:idx val="1"/>
          <c:order val="1"/>
          <c:tx>
            <c:strRef>
              <c:f>Sheet1!$G$27</c:f>
              <c:strCache>
                <c:ptCount val="1"/>
                <c:pt idx="0">
                  <c:v>协议出让</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Sheet1!$E$32:$E$34</c:f>
              <c:strCache>
                <c:ptCount val="3"/>
                <c:pt idx="0">
                  <c:v>2018年</c:v>
                </c:pt>
                <c:pt idx="1">
                  <c:v>2019年</c:v>
                </c:pt>
                <c:pt idx="2">
                  <c:v>2020年</c:v>
                </c:pt>
              </c:strCache>
            </c:strRef>
          </c:cat>
          <c:val>
            <c:numRef>
              <c:f>Sheet1!$G$32:$G$34</c:f>
              <c:numCache>
                <c:formatCode>General</c:formatCode>
                <c:ptCount val="3"/>
                <c:pt idx="0">
                  <c:v>3659</c:v>
                </c:pt>
                <c:pt idx="1">
                  <c:v>3551</c:v>
                </c:pt>
                <c:pt idx="2">
                  <c:v>0</c:v>
                </c:pt>
              </c:numCache>
            </c:numRef>
          </c:val>
        </c:ser>
        <c:ser>
          <c:idx val="2"/>
          <c:order val="2"/>
          <c:tx>
            <c:strRef>
              <c:f>Sheet1!$H$27</c:f>
              <c:strCache>
                <c:ptCount val="1"/>
                <c:pt idx="0">
                  <c:v>招拍挂出让</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Sheet1!$E$32:$E$34</c:f>
              <c:strCache>
                <c:ptCount val="3"/>
                <c:pt idx="0">
                  <c:v>2018年</c:v>
                </c:pt>
                <c:pt idx="1">
                  <c:v>2019年</c:v>
                </c:pt>
                <c:pt idx="2">
                  <c:v>2020年</c:v>
                </c:pt>
              </c:strCache>
            </c:strRef>
          </c:cat>
          <c:val>
            <c:numRef>
              <c:f>Sheet1!$H$32:$H$34</c:f>
              <c:numCache>
                <c:formatCode>General</c:formatCode>
                <c:ptCount val="3"/>
              </c:numCache>
            </c:numRef>
          </c:val>
        </c:ser>
        <c:dLbls>
          <c:showLegendKey val="0"/>
          <c:showVal val="1"/>
          <c:showCatName val="0"/>
          <c:showSerName val="0"/>
          <c:showPercent val="0"/>
          <c:showBubbleSize val="0"/>
        </c:dLbls>
        <c:gapWidth val="75"/>
        <c:axId val="240125824"/>
        <c:axId val="240136960"/>
      </c:barChart>
      <c:lineChart>
        <c:grouping val="standard"/>
        <c:varyColors val="0"/>
        <c:ser>
          <c:idx val="3"/>
          <c:order val="3"/>
          <c:tx>
            <c:strRef>
              <c:f>Sheet1!$I$27</c:f>
              <c:strCache>
                <c:ptCount val="1"/>
                <c:pt idx="0">
                  <c:v>海淀区温泉镇中关村环保科技示范园E05地块评估结果</c:v>
                </c:pt>
              </c:strCache>
            </c:strRef>
          </c:tx>
          <c:marker>
            <c:symbol val="none"/>
          </c:marker>
          <c:dLbls>
            <c:dLbl>
              <c:idx val="0"/>
              <c:layout>
                <c:manualLayout>
                  <c:x val="0.0587002096436058"/>
                  <c:y val="-0.0320898475302693"/>
                </c:manualLayout>
              </c:layout>
              <c:numFmt formatCode="General" sourceLinked="1"/>
              <c:spPr>
                <a:noFill/>
                <a:ln>
                  <a:noFill/>
                </a:ln>
                <a:effectLst/>
              </c:spPr>
              <c:txPr>
                <a:bodyPr rot="0" spcFirstLastPara="0" vertOverflow="ellipsis" vert="horz" wrap="square" lIns="38100" tIns="19050" rIns="38100" bIns="19050" anchor="ctr" anchorCtr="1">
                  <a:spAutoFit/>
                </a:bodyPr>
                <a:lstStyle/>
                <a:p>
                  <a:pPr>
                    <a:defRPr lang="zh-CN" sz="1600" b="0" i="0" u="none" strike="noStrike" kern="1200" baseline="0">
                      <a:solidFill>
                        <a:schemeClr val="tx1"/>
                      </a:solidFill>
                      <a:latin typeface="+mn-lt"/>
                      <a:ea typeface="+mn-ea"/>
                      <a:cs typeface="+mn-cs"/>
                    </a:defRPr>
                  </a:pPr>
                </a:p>
              </c:txPr>
              <c:dLblPos val="r"/>
              <c:showLegendKey val="0"/>
              <c:showVal val="1"/>
              <c:showCatName val="0"/>
              <c:showSerName val="0"/>
              <c:showPercent val="0"/>
              <c:showBubbleSize val="0"/>
              <c:extLst>
                <c:ext xmlns:c15="http://schemas.microsoft.com/office/drawing/2012/chart" uri="{CE6537A1-D6FC-4f65-9D91-7224C49458BB}">
                  <c15:layout/>
                </c:ext>
              </c:extLst>
            </c:dLbl>
            <c:dLbl>
              <c:idx val="1"/>
              <c:delete val="1"/>
            </c:dLbl>
            <c:dLbl>
              <c:idx val="2"/>
              <c:delete val="1"/>
            </c:dLbl>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Sheet1!$E$32:$E$34</c:f>
              <c:strCache>
                <c:ptCount val="3"/>
                <c:pt idx="0">
                  <c:v>2018年</c:v>
                </c:pt>
                <c:pt idx="1">
                  <c:v>2019年</c:v>
                </c:pt>
                <c:pt idx="2">
                  <c:v>2020年</c:v>
                </c:pt>
              </c:strCache>
            </c:strRef>
          </c:cat>
          <c:val>
            <c:numRef>
              <c:f>Sheet1!$I$32:$I$34</c:f>
              <c:numCache>
                <c:formatCode>General</c:formatCode>
                <c:ptCount val="3"/>
                <c:pt idx="0">
                  <c:v>1748</c:v>
                </c:pt>
                <c:pt idx="1">
                  <c:v>1748</c:v>
                </c:pt>
                <c:pt idx="2">
                  <c:v>1748</c:v>
                </c:pt>
              </c:numCache>
            </c:numRef>
          </c:val>
          <c:smooth val="0"/>
        </c:ser>
        <c:dLbls>
          <c:showLegendKey val="0"/>
          <c:showVal val="1"/>
          <c:showCatName val="0"/>
          <c:showSerName val="0"/>
          <c:showPercent val="0"/>
          <c:showBubbleSize val="0"/>
        </c:dLbls>
        <c:marker val="0"/>
        <c:smooth val="0"/>
        <c:axId val="240125824"/>
        <c:axId val="240136960"/>
      </c:lineChart>
      <c:catAx>
        <c:axId val="240125824"/>
        <c:scaling>
          <c:orientation val="minMax"/>
        </c:scaling>
        <c:delete val="0"/>
        <c:axPos val="b"/>
        <c:numFmt formatCode="General" sourceLinked="0"/>
        <c:majorTickMark val="none"/>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40136960"/>
        <c:crosses val="autoZero"/>
        <c:auto val="1"/>
        <c:lblAlgn val="ctr"/>
        <c:lblOffset val="100"/>
        <c:noMultiLvlLbl val="0"/>
      </c:catAx>
      <c:valAx>
        <c:axId val="240136960"/>
        <c:scaling>
          <c:orientation val="minMax"/>
        </c:scaling>
        <c:delete val="0"/>
        <c:axPos val="l"/>
        <c:numFmt formatCode="0" sourceLinked="1"/>
        <c:majorTickMark val="none"/>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40125824"/>
        <c:crosses val="autoZero"/>
        <c:crossBetween val="between"/>
      </c:valAx>
    </c:plotArea>
    <c:legend>
      <c:legendPos val="b"/>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Sheet1!$F$27</c:f>
              <c:strCache>
                <c:ptCount val="1"/>
                <c:pt idx="0">
                  <c:v>基准地价</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Sheet1!$E$37:$E$39</c:f>
              <c:strCache>
                <c:ptCount val="3"/>
                <c:pt idx="0">
                  <c:v>2018年</c:v>
                </c:pt>
                <c:pt idx="1">
                  <c:v>2019年</c:v>
                </c:pt>
                <c:pt idx="2">
                  <c:v>2020年</c:v>
                </c:pt>
              </c:strCache>
            </c:strRef>
          </c:cat>
          <c:val>
            <c:numRef>
              <c:f>Sheet1!$F$37:$F$39</c:f>
              <c:numCache>
                <c:formatCode>0</c:formatCode>
                <c:ptCount val="3"/>
                <c:pt idx="0">
                  <c:v>0</c:v>
                </c:pt>
                <c:pt idx="1">
                  <c:v>0</c:v>
                </c:pt>
                <c:pt idx="2">
                  <c:v>0</c:v>
                </c:pt>
              </c:numCache>
            </c:numRef>
          </c:val>
        </c:ser>
        <c:ser>
          <c:idx val="1"/>
          <c:order val="1"/>
          <c:tx>
            <c:strRef>
              <c:f>Sheet1!$G$27</c:f>
              <c:strCache>
                <c:ptCount val="1"/>
                <c:pt idx="0">
                  <c:v>协议出让</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Sheet1!$E$37:$E$39</c:f>
              <c:strCache>
                <c:ptCount val="3"/>
                <c:pt idx="0">
                  <c:v>2018年</c:v>
                </c:pt>
                <c:pt idx="1">
                  <c:v>2019年</c:v>
                </c:pt>
                <c:pt idx="2">
                  <c:v>2020年</c:v>
                </c:pt>
              </c:strCache>
            </c:strRef>
          </c:cat>
          <c:val>
            <c:numRef>
              <c:f>Sheet1!$G$37:$G$39</c:f>
              <c:numCache>
                <c:formatCode>General</c:formatCode>
                <c:ptCount val="3"/>
                <c:pt idx="0">
                  <c:v>21765</c:v>
                </c:pt>
                <c:pt idx="2">
                  <c:v>19622</c:v>
                </c:pt>
              </c:numCache>
            </c:numRef>
          </c:val>
        </c:ser>
        <c:ser>
          <c:idx val="2"/>
          <c:order val="2"/>
          <c:tx>
            <c:strRef>
              <c:f>Sheet1!$H$27</c:f>
              <c:strCache>
                <c:ptCount val="1"/>
                <c:pt idx="0">
                  <c:v>招拍挂出让</c:v>
                </c:pt>
              </c:strCache>
            </c:strRef>
          </c:tx>
          <c:invertIfNegative val="0"/>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Sheet1!$E$37:$E$39</c:f>
              <c:strCache>
                <c:ptCount val="3"/>
                <c:pt idx="0">
                  <c:v>2018年</c:v>
                </c:pt>
                <c:pt idx="1">
                  <c:v>2019年</c:v>
                </c:pt>
                <c:pt idx="2">
                  <c:v>2020年</c:v>
                </c:pt>
              </c:strCache>
            </c:strRef>
          </c:cat>
          <c:val>
            <c:numRef>
              <c:f>Sheet1!$H$37:$H$39</c:f>
              <c:numCache>
                <c:formatCode>General</c:formatCode>
                <c:ptCount val="3"/>
                <c:pt idx="0">
                  <c:v>40865</c:v>
                </c:pt>
                <c:pt idx="1" c:formatCode="0">
                  <c:v>24865</c:v>
                </c:pt>
                <c:pt idx="2" c:formatCode="0">
                  <c:v>48354</c:v>
                </c:pt>
              </c:numCache>
            </c:numRef>
          </c:val>
        </c:ser>
        <c:dLbls>
          <c:showLegendKey val="0"/>
          <c:showVal val="1"/>
          <c:showCatName val="0"/>
          <c:showSerName val="0"/>
          <c:showPercent val="0"/>
          <c:showBubbleSize val="0"/>
        </c:dLbls>
        <c:gapWidth val="75"/>
        <c:axId val="240260224"/>
        <c:axId val="240271360"/>
      </c:barChart>
      <c:lineChart>
        <c:grouping val="standard"/>
        <c:varyColors val="0"/>
        <c:ser>
          <c:idx val="3"/>
          <c:order val="3"/>
          <c:tx>
            <c:strRef>
              <c:f>Sheet1!$I$27</c:f>
              <c:strCache>
                <c:ptCount val="1"/>
                <c:pt idx="0">
                  <c:v>海淀区温泉镇中关村环保科技示范园E05地块评估结果</c:v>
                </c:pt>
              </c:strCache>
            </c:strRef>
          </c:tx>
          <c:marker>
            <c:symbol val="none"/>
          </c:marker>
          <c:dLbls>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cat>
            <c:strRef>
              <c:f>Sheet1!$E$37:$E$39</c:f>
              <c:strCache>
                <c:ptCount val="3"/>
                <c:pt idx="0">
                  <c:v>2018年</c:v>
                </c:pt>
                <c:pt idx="1">
                  <c:v>2019年</c:v>
                </c:pt>
                <c:pt idx="2">
                  <c:v>2020年</c:v>
                </c:pt>
              </c:strCache>
            </c:strRef>
          </c:cat>
          <c:val>
            <c:numRef>
              <c:f>Sheet1!$I$37:$I$39</c:f>
              <c:numCache>
                <c:formatCode>General</c:formatCode>
                <c:ptCount val="3"/>
                <c:pt idx="0">
                  <c:v>12824</c:v>
                </c:pt>
                <c:pt idx="1">
                  <c:v>12824</c:v>
                </c:pt>
                <c:pt idx="2">
                  <c:v>12824</c:v>
                </c:pt>
              </c:numCache>
            </c:numRef>
          </c:val>
          <c:smooth val="0"/>
        </c:ser>
        <c:dLbls>
          <c:showLegendKey val="0"/>
          <c:showVal val="1"/>
          <c:showCatName val="0"/>
          <c:showSerName val="0"/>
          <c:showPercent val="0"/>
          <c:showBubbleSize val="0"/>
        </c:dLbls>
        <c:marker val="0"/>
        <c:smooth val="0"/>
        <c:axId val="240260224"/>
        <c:axId val="240271360"/>
      </c:lineChart>
      <c:catAx>
        <c:axId val="240260224"/>
        <c:scaling>
          <c:orientation val="minMax"/>
        </c:scaling>
        <c:delete val="0"/>
        <c:axPos val="b"/>
        <c:numFmt formatCode="General" sourceLinked="0"/>
        <c:majorTickMark val="none"/>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40271360"/>
        <c:crosses val="autoZero"/>
        <c:auto val="1"/>
        <c:lblAlgn val="ctr"/>
        <c:lblOffset val="100"/>
        <c:noMultiLvlLbl val="0"/>
      </c:catAx>
      <c:valAx>
        <c:axId val="240271360"/>
        <c:scaling>
          <c:orientation val="minMax"/>
        </c:scaling>
        <c:delete val="0"/>
        <c:axPos val="l"/>
        <c:numFmt formatCode="0" sourceLinked="1"/>
        <c:majorTickMark val="none"/>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crossAx val="240260224"/>
        <c:crosses val="autoZero"/>
        <c:crossBetween val="between"/>
      </c:valAx>
    </c:plotArea>
    <c:legend>
      <c:legendPos val="b"/>
      <c:layout/>
      <c:overlay val="0"/>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p>
      </c:txPr>
    </c:legend>
    <c:plotVisOnly val="1"/>
    <c:dispBlanksAs val="gap"/>
    <c:showDLblsOverMax val="0"/>
  </c:chart>
  <c:txPr>
    <a:bodyPr/>
    <a:lstStyle/>
    <a:p>
      <a:pPr>
        <a:defRPr lang="zh-CN"/>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285750</xdr:colOff>
      <xdr:row>44</xdr:row>
      <xdr:rowOff>147637</xdr:rowOff>
    </xdr:from>
    <xdr:to>
      <xdr:col>6</xdr:col>
      <xdr:colOff>1066800</xdr:colOff>
      <xdr:row>66</xdr:row>
      <xdr:rowOff>123825</xdr:rowOff>
    </xdr:to>
    <xdr:graphicFrame>
      <xdr:nvGraphicFramePr>
        <xdr:cNvPr id="2" name="图表 1"/>
        <xdr:cNvGraphicFramePr/>
      </xdr:nvGraphicFramePr>
      <xdr:xfrm>
        <a:off x="285750" y="8110220"/>
        <a:ext cx="6057900" cy="39579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609600</xdr:colOff>
      <xdr:row>44</xdr:row>
      <xdr:rowOff>114300</xdr:rowOff>
    </xdr:from>
    <xdr:to>
      <xdr:col>13</xdr:col>
      <xdr:colOff>628650</xdr:colOff>
      <xdr:row>66</xdr:row>
      <xdr:rowOff>90488</xdr:rowOff>
    </xdr:to>
    <xdr:graphicFrame>
      <xdr:nvGraphicFramePr>
        <xdr:cNvPr id="3" name="图表 2"/>
        <xdr:cNvGraphicFramePr/>
      </xdr:nvGraphicFramePr>
      <xdr:xfrm>
        <a:off x="6991350" y="8077200"/>
        <a:ext cx="6057900" cy="39573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600075</xdr:colOff>
      <xdr:row>44</xdr:row>
      <xdr:rowOff>66675</xdr:rowOff>
    </xdr:from>
    <xdr:to>
      <xdr:col>23</xdr:col>
      <xdr:colOff>485775</xdr:colOff>
      <xdr:row>66</xdr:row>
      <xdr:rowOff>42863</xdr:rowOff>
    </xdr:to>
    <xdr:graphicFrame>
      <xdr:nvGraphicFramePr>
        <xdr:cNvPr id="4" name="图表 3"/>
        <xdr:cNvGraphicFramePr/>
      </xdr:nvGraphicFramePr>
      <xdr:xfrm>
        <a:off x="13706475" y="8029575"/>
        <a:ext cx="6057900" cy="395732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654844</xdr:colOff>
      <xdr:row>0</xdr:row>
      <xdr:rowOff>95250</xdr:rowOff>
    </xdr:from>
    <xdr:to>
      <xdr:col>16</xdr:col>
      <xdr:colOff>320834</xdr:colOff>
      <xdr:row>25</xdr:row>
      <xdr:rowOff>156527</xdr:rowOff>
    </xdr:to>
    <xdr:pic>
      <xdr:nvPicPr>
        <xdr:cNvPr id="2" name="图片 1"/>
        <xdr:cNvPicPr>
          <a:picLocks noChangeAspect="1"/>
        </xdr:cNvPicPr>
      </xdr:nvPicPr>
      <xdr:blipFill>
        <a:blip r:embed="rId1"/>
        <a:stretch>
          <a:fillRect/>
        </a:stretch>
      </xdr:blipFill>
      <xdr:spPr>
        <a:xfrm>
          <a:off x="11217910" y="95250"/>
          <a:ext cx="5085715" cy="196596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3810</xdr:colOff>
      <xdr:row>42</xdr:row>
      <xdr:rowOff>92710</xdr:rowOff>
    </xdr:from>
    <xdr:to>
      <xdr:col>10</xdr:col>
      <xdr:colOff>605790</xdr:colOff>
      <xdr:row>62</xdr:row>
      <xdr:rowOff>80010</xdr:rowOff>
    </xdr:to>
    <xdr:pic>
      <xdr:nvPicPr>
        <xdr:cNvPr id="11" name="图片 10"/>
        <xdr:cNvPicPr>
          <a:picLocks noChangeAspect="1"/>
        </xdr:cNvPicPr>
      </xdr:nvPicPr>
      <xdr:blipFill>
        <a:blip r:embed="rId1"/>
        <a:stretch>
          <a:fillRect/>
        </a:stretch>
      </xdr:blipFill>
      <xdr:spPr>
        <a:xfrm>
          <a:off x="689610" y="7293610"/>
          <a:ext cx="6774180" cy="3416300"/>
        </a:xfrm>
        <a:prstGeom prst="rect">
          <a:avLst/>
        </a:prstGeom>
        <a:noFill/>
        <a:ln w="9525">
          <a:noFill/>
        </a:ln>
      </xdr:spPr>
    </xdr:pic>
    <xdr:clientData/>
  </xdr:twoCellAnchor>
  <xdr:twoCellAnchor editAs="oneCell">
    <xdr:from>
      <xdr:col>0</xdr:col>
      <xdr:colOff>584835</xdr:colOff>
      <xdr:row>64</xdr:row>
      <xdr:rowOff>10160</xdr:rowOff>
    </xdr:from>
    <xdr:to>
      <xdr:col>10</xdr:col>
      <xdr:colOff>526415</xdr:colOff>
      <xdr:row>82</xdr:row>
      <xdr:rowOff>5715</xdr:rowOff>
    </xdr:to>
    <xdr:pic>
      <xdr:nvPicPr>
        <xdr:cNvPr id="13" name="图片 12"/>
        <xdr:cNvPicPr>
          <a:picLocks noChangeAspect="1"/>
        </xdr:cNvPicPr>
      </xdr:nvPicPr>
      <xdr:blipFill>
        <a:blip r:embed="rId2"/>
        <a:stretch>
          <a:fillRect/>
        </a:stretch>
      </xdr:blipFill>
      <xdr:spPr>
        <a:xfrm>
          <a:off x="584835" y="10982960"/>
          <a:ext cx="6799580" cy="3081655"/>
        </a:xfrm>
        <a:prstGeom prst="rect">
          <a:avLst/>
        </a:prstGeom>
        <a:noFill/>
        <a:ln w="9525">
          <a:noFill/>
        </a:ln>
      </xdr:spPr>
    </xdr:pic>
    <xdr:clientData/>
  </xdr:twoCellAnchor>
  <xdr:twoCellAnchor editAs="oneCell">
    <xdr:from>
      <xdr:col>0</xdr:col>
      <xdr:colOff>593090</xdr:colOff>
      <xdr:row>83</xdr:row>
      <xdr:rowOff>71755</xdr:rowOff>
    </xdr:from>
    <xdr:to>
      <xdr:col>10</xdr:col>
      <xdr:colOff>617855</xdr:colOff>
      <xdr:row>100</xdr:row>
      <xdr:rowOff>153670</xdr:rowOff>
    </xdr:to>
    <xdr:pic>
      <xdr:nvPicPr>
        <xdr:cNvPr id="14" name="图片 13"/>
        <xdr:cNvPicPr>
          <a:picLocks noChangeAspect="1"/>
        </xdr:cNvPicPr>
      </xdr:nvPicPr>
      <xdr:blipFill>
        <a:blip r:embed="rId3"/>
        <a:stretch>
          <a:fillRect/>
        </a:stretch>
      </xdr:blipFill>
      <xdr:spPr>
        <a:xfrm>
          <a:off x="593090" y="14302105"/>
          <a:ext cx="6882765" cy="2996565"/>
        </a:xfrm>
        <a:prstGeom prst="rect">
          <a:avLst/>
        </a:prstGeom>
        <a:noFill/>
        <a:ln w="9525">
          <a:noFill/>
        </a:ln>
      </xdr:spPr>
    </xdr:pic>
    <xdr:clientData/>
  </xdr:twoCellAnchor>
  <xdr:twoCellAnchor editAs="oneCell">
    <xdr:from>
      <xdr:col>0</xdr:col>
      <xdr:colOff>575945</xdr:colOff>
      <xdr:row>1</xdr:row>
      <xdr:rowOff>7620</xdr:rowOff>
    </xdr:from>
    <xdr:to>
      <xdr:col>12</xdr:col>
      <xdr:colOff>652145</xdr:colOff>
      <xdr:row>40</xdr:row>
      <xdr:rowOff>83820</xdr:rowOff>
    </xdr:to>
    <xdr:pic>
      <xdr:nvPicPr>
        <xdr:cNvPr id="2" name="图片 1"/>
        <xdr:cNvPicPr>
          <a:picLocks noChangeAspect="1"/>
        </xdr:cNvPicPr>
      </xdr:nvPicPr>
      <xdr:blipFill>
        <a:blip r:embed="rId4"/>
        <a:stretch>
          <a:fillRect/>
        </a:stretch>
      </xdr:blipFill>
      <xdr:spPr>
        <a:xfrm>
          <a:off x="575945" y="179070"/>
          <a:ext cx="8305800" cy="67627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z\Desktop\2021-1-0509&#22303;&#21033;-&#22823;&#21271;&#20892;&#29983;&#29289;&#20892;&#19994;&#21019;&#26032;&#22253;\F02-10.11&#21435;&#25481;&#27604;&#36739;&#27861;\&#27979;&#31639;-&#22823;&#21271;&#20892;&#29983;&#29289;-1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793;&#36828;\2021\2021.11\&#25253;&#21578;\&#21033;&#29992;&#20013;&#24515;--&#29615;&#20445;&#31185;&#25216;&#22253;\&#26368;&#32456;\&#12304;2021&#12305;&#23545;&#20844;&#20107;&#19994;&#37096;&#8212;&#30005;&#31639;&#34920;-&#22303;&#22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面积信息"/>
      <sheetName val="数据-基础表"/>
      <sheetName val="抵押物清单（分楼）"/>
      <sheetName val="数据-汇总表"/>
      <sheetName val="数据-取费表"/>
      <sheetName val="估价对象房地状况"/>
      <sheetName val="系统读取表"/>
      <sheetName val="结果表(商业）"/>
      <sheetName val="剩余法-现房"/>
      <sheetName val="案例-2019"/>
      <sheetName val="2018"/>
      <sheetName val="招拍挂"/>
      <sheetName val="Sheet1"/>
      <sheetName val="结果汇总表"/>
      <sheetName val="基准地价 住宅（新容积率)"/>
      <sheetName val="基准地价 住宅-满年限"/>
      <sheetName val="剩余法住宅"/>
      <sheetName val="不动产比较法-住宅"/>
      <sheetName val="住宅销售案例"/>
      <sheetName val="基准地价（商业）-新容积率"/>
      <sheetName val="比较法-工业"/>
      <sheetName val="基准地价（商业）-满年限"/>
      <sheetName val="剩余法-待开发（商业）"/>
      <sheetName val="不动产比较法-商业"/>
      <sheetName val="商业-案例"/>
      <sheetName val="比较法-商业土地"/>
      <sheetName val="案例2021"/>
      <sheetName val="土地案例"/>
      <sheetName val="修正"/>
      <sheetName val="区片价"/>
      <sheetName val="容积率修正"/>
      <sheetName val="因素修正幅度"/>
      <sheetName val="结果表 (办公)"/>
      <sheetName val="基准地价 (办公)"/>
      <sheetName val="剩余法-待开发 (研发)"/>
      <sheetName val="不动产收益法-满年限"/>
      <sheetName val="不动产比较法-研发租金"/>
      <sheetName val="比较法-地下研发"/>
      <sheetName val="不动产比较法-办公"/>
      <sheetName val="基准地价 地下办公-剩余年限"/>
      <sheetName val="剩余法-待开发办公剩余年限"/>
      <sheetName val="比较法-办公剩余年限"/>
      <sheetName val="办公-案例"/>
      <sheetName val="比较法-地下车库"/>
      <sheetName val="地价"/>
      <sheetName val="基准地价（汇总）"/>
      <sheetName val="收益还原法"/>
      <sheetName val="酒店收入计算"/>
      <sheetName val="成本逼近法"/>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row r="4">
          <cell r="J4">
            <v>6633.04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9">
          <cell r="E9">
            <v>12824</v>
          </cell>
        </row>
        <row r="12">
          <cell r="E12">
            <v>3037</v>
          </cell>
        </row>
        <row r="24">
          <cell r="G24">
            <v>9364</v>
          </cell>
        </row>
        <row r="25">
          <cell r="G25">
            <v>10076</v>
          </cell>
        </row>
        <row r="26">
          <cell r="G26">
            <v>12820</v>
          </cell>
        </row>
      </sheetData>
      <sheetData sheetId="24"/>
      <sheetData sheetId="25">
        <row r="29">
          <cell r="C29">
            <v>0</v>
          </cell>
        </row>
      </sheetData>
      <sheetData sheetId="26">
        <row r="3">
          <cell r="B3" t="e">
            <v>#DIV/0!</v>
          </cell>
        </row>
      </sheetData>
      <sheetData sheetId="27"/>
      <sheetData sheetId="28"/>
      <sheetData sheetId="29"/>
      <sheetData sheetId="30"/>
      <sheetData sheetId="31">
        <row r="5">
          <cell r="C5" t="e">
            <v>#DIV/0!</v>
          </cell>
        </row>
        <row r="29">
          <cell r="C29" t="e">
            <v>#DIV/0!</v>
          </cell>
        </row>
        <row r="34">
          <cell r="C34" t="e">
            <v>#DIV/0!</v>
          </cell>
        </row>
        <row r="38">
          <cell r="C38" t="e">
            <v>#DIV/0!</v>
          </cell>
        </row>
      </sheetData>
      <sheetData sheetId="32">
        <row r="3">
          <cell r="B3" t="e">
            <v>#N/A</v>
          </cell>
        </row>
      </sheetData>
      <sheetData sheetId="33"/>
      <sheetData sheetId="34"/>
      <sheetData sheetId="35">
        <row r="3">
          <cell r="B3" t="e">
            <v>#DIV/0!</v>
          </cell>
        </row>
      </sheetData>
      <sheetData sheetId="36"/>
      <sheetData sheetId="37">
        <row r="7">
          <cell r="T7">
            <v>3659</v>
          </cell>
        </row>
        <row r="14">
          <cell r="T14">
            <v>3551</v>
          </cell>
        </row>
      </sheetData>
      <sheetData sheetId="38"/>
      <sheetData sheetId="39"/>
      <sheetData sheetId="40"/>
      <sheetData sheetId="41"/>
      <sheetData sheetId="42"/>
      <sheetData sheetId="43">
        <row r="29">
          <cell r="C29">
            <v>12659</v>
          </cell>
        </row>
        <row r="38">
          <cell r="C38">
            <v>2926</v>
          </cell>
        </row>
        <row r="41">
          <cell r="C41">
            <v>0.9696</v>
          </cell>
        </row>
      </sheetData>
      <sheetData sheetId="44">
        <row r="3">
          <cell r="B3">
            <v>12988</v>
          </cell>
        </row>
      </sheetData>
      <sheetData sheetId="45"/>
      <sheetData sheetId="46"/>
      <sheetData sheetId="47">
        <row r="49">
          <cell r="C49">
            <v>4041</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面积表"/>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B20">
            <v>1.5</v>
          </cell>
        </row>
        <row r="22">
          <cell r="B22">
            <v>1.5</v>
          </cell>
        </row>
        <row r="36">
          <cell r="B36">
            <v>0.015</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9.xml"/></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0.xml"/></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1.xml"/></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C76"/>
  <sheetViews>
    <sheetView zoomScale="80" zoomScaleNormal="80" topLeftCell="A31" workbookViewId="0">
      <selection activeCell="A76" sqref="A76:B76"/>
    </sheetView>
  </sheetViews>
  <sheetFormatPr defaultColWidth="9" defaultRowHeight="14.25"/>
  <cols>
    <col min="1" max="1" width="36.5" style="3600" customWidth="1"/>
    <col min="2" max="2" width="78.25" style="3601" customWidth="1"/>
    <col min="3" max="18" width="9" style="2713"/>
    <col min="19" max="19" width="17.875" style="2713" customWidth="1"/>
    <col min="20" max="51" width="9" style="2713"/>
    <col min="52" max="52" width="13.25" style="2713" customWidth="1"/>
    <col min="53" max="53" width="13.5" style="2713" customWidth="1"/>
    <col min="54" max="54" width="11.625" style="2713" customWidth="1"/>
    <col min="55" max="55" width="13.5" style="2713" customWidth="1"/>
    <col min="56" max="16384" width="9" style="2713"/>
  </cols>
  <sheetData>
    <row r="1" s="3595" customFormat="1" ht="16.5" spans="1:2">
      <c r="A1" s="3602" t="s">
        <v>0</v>
      </c>
      <c r="B1" s="3603" t="s">
        <v>1</v>
      </c>
    </row>
    <row r="2" s="3596" customFormat="1" ht="15" spans="1:55">
      <c r="A2" s="3604" t="s">
        <v>2</v>
      </c>
      <c r="B2" s="3605" t="str">
        <f>'预评函-封皮'!B37</f>
        <v>北京市出让国有建设用地使用权市场价格预评估</v>
      </c>
      <c r="AX2" s="3616"/>
      <c r="AZ2" s="3616"/>
      <c r="BA2" s="3617"/>
      <c r="BC2" s="3617"/>
    </row>
    <row r="3" s="3597" customFormat="1" spans="1:2">
      <c r="A3" s="3606" t="s">
        <v>3</v>
      </c>
      <c r="B3" s="3607">
        <f>'预评函-封皮'!B40</f>
        <v>0</v>
      </c>
    </row>
    <row r="4" s="3598" customFormat="1" spans="1:14">
      <c r="A4" s="3606" t="s">
        <v>4</v>
      </c>
      <c r="B4" s="3608" t="str">
        <f>'预评函-封皮'!B46</f>
        <v>陈颖、崔锴</v>
      </c>
      <c r="N4" s="3598" t="str">
        <f>'预评函-1'!A28</f>
        <v>——</v>
      </c>
    </row>
    <row r="5" s="3595" customFormat="1" ht="15" spans="1:2">
      <c r="A5" s="3609" t="s">
        <v>5</v>
      </c>
      <c r="B5" s="3610" t="str">
        <f>'预评函-封皮'!B49</f>
        <v>康正预评字号</v>
      </c>
    </row>
    <row r="6" s="3599" customFormat="1" ht="15" spans="1:39">
      <c r="A6" s="3604" t="s">
        <v>6</v>
      </c>
      <c r="B6" s="3605" t="str">
        <f>'预评函-1'!A4</f>
        <v>受贵公司委托，我公司对北京市出让国有建设用地使用权市场价格进行了预评估。</v>
      </c>
      <c r="AM6" s="3614"/>
    </row>
    <row r="7" s="2712" customFormat="1" spans="1:2">
      <c r="A7" s="3606" t="s">
        <v>7</v>
      </c>
      <c r="B7" s="3608" t="str">
        <f>'预评函-1'!A6</f>
        <v>估价对象为使用的、位于北京市出让国有建设用地使用权。根据《国有土地使用证》[]，估价对象（分摊）出让国有建设用地使用权面积为20468.06平方米。根据《建设工程规划许可证》[]、《出让合同》[]，估价对象规划建筑面积为57817.58平方米。</v>
      </c>
    </row>
    <row r="8" s="2712" customFormat="1" spans="1:2">
      <c r="A8" s="3606" t="s">
        <v>8</v>
      </c>
      <c r="B8" s="3608" t="str">
        <f>'预评函-1'!A7</f>
        <v>简述项目推广名，项目类型（用途），估价对象分布，各用途面积明细情况：XX用途建筑面积XX平方米，XX用途建筑面积XX平方米，……。复杂面积清单需设‘附表’列示：抵押物清单详见附表。        </v>
      </c>
    </row>
    <row r="9" s="2712" customFormat="1" spans="1:2">
      <c r="A9" s="3606" t="s">
        <v>9</v>
      </c>
      <c r="B9" s="3608" t="str">
        <f>'预评函-1'!A9</f>
        <v>本次评估为委托估价方了解标的物之市场价格提供参考依据而评估出让国有建设用地使用权市场价格。</v>
      </c>
    </row>
    <row r="10" s="2712" customFormat="1" spans="1:2">
      <c r="A10" s="3606" t="s">
        <v>10</v>
      </c>
      <c r="B10" s="3608" t="str">
        <f>'预评函-1'!A11</f>
        <v>2021年11月19日</v>
      </c>
    </row>
    <row r="11" s="2712" customFormat="1" spans="1:2">
      <c r="A11" s="3606" t="s">
        <v>11</v>
      </c>
      <c r="B11" s="3608" t="str">
        <f>'预评函-1'!A14</f>
        <v>根据《国有土地使用证》[]，本次评估估价对象证载（地类）用途为。</v>
      </c>
    </row>
    <row r="12" s="2712" customFormat="1" spans="1:2">
      <c r="A12" s="3606" t="s">
        <v>12</v>
      </c>
      <c r="B12" s="3608" t="str">
        <f>'预评函-1'!A15</f>
        <v>本次评估设定用途即为证载用途。</v>
      </c>
    </row>
    <row r="13" s="2712" customFormat="1" spans="1:2">
      <c r="A13" s="3606" t="s">
        <v>13</v>
      </c>
      <c r="B13" s="3608" t="str">
        <f>'预评函-1'!A17</f>
        <v>根据委托估价方介绍及评估专业人员现场勘查，本次评估估价对象实际土地开发程度为红线外市政基础设施达“七通”（即、、、、、、）、宗地红线内场地平整。</v>
      </c>
    </row>
    <row r="14" s="2712" customFormat="1" spans="1:2">
      <c r="A14" s="3606" t="s">
        <v>14</v>
      </c>
      <c r="B14" s="3608" t="str">
        <f>'预评函-1'!A18</f>
        <v>。本次评估设定土地开发程度为红线外市政基础设施达“七通”、宗地红线内场地平整。</v>
      </c>
    </row>
    <row r="15" s="2712" customFormat="1" spans="1:2">
      <c r="A15" s="3606" t="s">
        <v>15</v>
      </c>
      <c r="B15" s="3608" t="str">
        <f>'预评函-1'!A20</f>
        <v>根据《国有土地使用证》[]，估价对象（分摊）出让国有建设用地使用权面积为20468.06平方米。根据《建设工程规划许可证》[]、《出让合同》[]，估价对象规划建筑面积为57817.58平方米。</v>
      </c>
    </row>
    <row r="16" s="2712" customFormat="1" spans="1:2">
      <c r="A16" s="3606" t="s">
        <v>16</v>
      </c>
      <c r="B16" s="3608" t="str">
        <f>'预评函-1'!A22</f>
        <v>本次估价对象为出让国有建设用地使用权，《国有土地使用证》[]证载土地终止日期为办公及地下办公2058年12月18日、地下车库2058年12月18日。截至估价期日，出让国有建设用地使用权剩余土地使用年限为。</v>
      </c>
    </row>
    <row r="17" s="2712" customFormat="1" spans="1:2">
      <c r="A17" s="3606" t="s">
        <v>17</v>
      </c>
      <c r="B17" s="3608" t="str">
        <f>'预评函-1'!A23</f>
        <v>本次评估设定估价对象剩余土地使用年限为。</v>
      </c>
    </row>
    <row r="18" s="2712" customFormat="1" spans="1:2">
      <c r="A18" s="3606" t="s">
        <v>18</v>
      </c>
      <c r="B18" s="3608" t="str">
        <f>'预评函-1'!A25</f>
        <v>本次估价的“出让国有建设用地使用权价格”是指在估价对象土地所有权为国家所有，使用权性质为出让，在公开市场条件下、于估价期日2021年11月19日，在规划利用条件下、设定土地开发程度为红线外“七通”、宗地内场地，设定用途为，剩余土地使用年限为的出让国有建设用地使用权价格。</v>
      </c>
    </row>
    <row r="19" s="2712" customFormat="1" spans="1:2">
      <c r="A19" s="3606" t="s">
        <v>19</v>
      </c>
      <c r="B19" s="3608" t="str">
        <f>'预评函-1'!A26</f>
        <v>——</v>
      </c>
    </row>
    <row r="20" s="2712" customFormat="1" spans="1:2">
      <c r="A20" s="3606" t="s">
        <v>20</v>
      </c>
      <c r="B20" s="3608" t="str">
        <f>'预评函-1'!A27</f>
        <v>——</v>
      </c>
    </row>
    <row r="21" s="3595" customFormat="1" ht="15" spans="1:2">
      <c r="A21" s="3609" t="s">
        <v>21</v>
      </c>
      <c r="B21" s="3610" t="str">
        <f>'预评函-1'!A28</f>
        <v>——</v>
      </c>
    </row>
    <row r="22" ht="15" spans="1:2">
      <c r="A22" s="3611" t="s">
        <v>22</v>
      </c>
      <c r="B22" s="3612" t="str">
        <f>'预评函-1'!A30</f>
        <v>评估专业人员根据估价的目的，按照估价的程序，采用科学的估价方法（剩余法、基准地价系数修正法），在认真分析现有资料的基础上，通过仔细测算和认真分析各种影响土地价格的因素，确定估价对象于估价期日的出让国有建设用地使用权预评估价格详见估价结果一览表。</v>
      </c>
    </row>
    <row r="23" spans="1:2">
      <c r="A23" s="3606" t="s">
        <v>23</v>
      </c>
      <c r="B23" s="3608" t="str">
        <f>'预评函-2'!K2</f>
        <v>估价期日：2021年11月19日</v>
      </c>
    </row>
    <row r="24" spans="1:2">
      <c r="A24" s="3606" t="s">
        <v>24</v>
      </c>
      <c r="B24" s="3608" t="str">
        <f>'预评函-2'!R2</f>
        <v>估价期日的国有建设用地使用权性质：出让</v>
      </c>
    </row>
    <row r="25" spans="1:2">
      <c r="A25" s="3606" t="s">
        <v>25</v>
      </c>
      <c r="B25" s="3608" t="str">
        <f>'预评函-2'!A3</f>
        <v>估价期日土地使用者</v>
      </c>
    </row>
    <row r="26" spans="1:2">
      <c r="A26" s="3606" t="s">
        <v>26</v>
      </c>
      <c r="B26" s="3608" t="str">
        <f>'预评函-2'!A5</f>
        <v>中信开发</v>
      </c>
    </row>
    <row r="27" spans="1:2">
      <c r="A27" s="3606" t="s">
        <v>27</v>
      </c>
      <c r="B27" s="3608" t="str">
        <f>'预评函-2'!B3</f>
        <v>宗地编号/不动产单元号</v>
      </c>
    </row>
    <row r="28" spans="1:2">
      <c r="A28" s="3606" t="s">
        <v>28</v>
      </c>
      <c r="B28" s="3608" t="str">
        <f>'预评函-2'!B5</f>
        <v>11111111111</v>
      </c>
    </row>
    <row r="29" spans="1:2">
      <c r="A29" s="3606" t="s">
        <v>29</v>
      </c>
      <c r="B29" s="3608">
        <f>'预评函-2'!C5</f>
        <v>22</v>
      </c>
    </row>
    <row r="30" spans="1:2">
      <c r="A30" s="3606" t="s">
        <v>30</v>
      </c>
      <c r="B30" s="3608" t="str">
        <f>'预评函-2'!D3</f>
        <v>土地使用证编号/不动产权证书编号</v>
      </c>
    </row>
    <row r="31" spans="1:2">
      <c r="A31" s="3606" t="s">
        <v>31</v>
      </c>
      <c r="B31" s="3608" t="str">
        <f>'预评函-2'!D5</f>
        <v>京国土字第111号</v>
      </c>
    </row>
    <row r="32" spans="1:48">
      <c r="A32" s="3606" t="s">
        <v>32</v>
      </c>
      <c r="B32" s="3608">
        <f>'预评函-2'!E5</f>
        <v>0</v>
      </c>
      <c r="AV32" s="3615"/>
    </row>
    <row r="33" spans="1:2">
      <c r="A33" s="3606" t="s">
        <v>33</v>
      </c>
      <c r="B33" s="3608">
        <f>'预评函-2'!F5</f>
        <v>258</v>
      </c>
    </row>
    <row r="34" spans="1:2">
      <c r="A34" s="3606" t="s">
        <v>34</v>
      </c>
      <c r="B34" s="3608">
        <f>'预评函-2'!G5</f>
        <v>0</v>
      </c>
    </row>
    <row r="35" spans="1:2">
      <c r="A35" s="3606" t="s">
        <v>35</v>
      </c>
      <c r="B35" s="3608">
        <f>'预评函-2'!H5</f>
        <v>1.5</v>
      </c>
    </row>
    <row r="36" spans="1:2">
      <c r="A36" s="3606" t="s">
        <v>36</v>
      </c>
      <c r="B36" s="3608">
        <f>'预评函-2'!I5</f>
        <v>1.5</v>
      </c>
    </row>
    <row r="37" spans="1:2">
      <c r="A37" s="3606" t="s">
        <v>37</v>
      </c>
      <c r="B37" s="3608">
        <f>'预评函-2'!J5</f>
        <v>1.5</v>
      </c>
    </row>
    <row r="38" spans="1:2">
      <c r="A38" s="3606" t="s">
        <v>38</v>
      </c>
      <c r="B38" s="3608" t="str">
        <f>'预评函-2'!K5</f>
        <v>红线外七通、宗地红线内</v>
      </c>
    </row>
    <row r="39" spans="1:2">
      <c r="A39" s="3606" t="s">
        <v>39</v>
      </c>
      <c r="B39" s="3608" t="str">
        <f>'预评函-2'!L5</f>
        <v>红线外七通、宗地红线内场地</v>
      </c>
    </row>
    <row r="40" spans="1:2">
      <c r="A40" s="3606" t="s">
        <v>40</v>
      </c>
      <c r="B40" s="3608" t="str">
        <f>'预评函-2'!M3</f>
        <v>（剩余）土地使用年限/年</v>
      </c>
    </row>
    <row r="41" spans="1:2">
      <c r="A41" s="3606" t="s">
        <v>41</v>
      </c>
      <c r="B41" s="3608">
        <f>'预评函-2'!M5</f>
        <v>0</v>
      </c>
    </row>
    <row r="42" spans="1:2">
      <c r="A42" s="3606" t="s">
        <v>42</v>
      </c>
      <c r="B42" s="3608" t="str">
        <f>'预评函-2'!N3</f>
        <v>（分摊）出让国有建设用地使用权面积/㎡</v>
      </c>
    </row>
    <row r="43" spans="1:2">
      <c r="A43" s="3606" t="s">
        <v>43</v>
      </c>
      <c r="B43" s="3608">
        <f>'预评函-2'!N5</f>
        <v>20468.06</v>
      </c>
    </row>
    <row r="44" spans="1:2">
      <c r="A44" s="3606" t="s">
        <v>44</v>
      </c>
      <c r="B44" s="3608" t="str">
        <f>'预评函-2'!O3</f>
        <v>规划建筑面积/㎡</v>
      </c>
    </row>
    <row r="45" spans="1:2">
      <c r="A45" s="3606" t="s">
        <v>45</v>
      </c>
      <c r="B45" s="3608">
        <f>'预评函-2'!O5</f>
        <v>57817.58</v>
      </c>
    </row>
    <row r="46" spans="1:2">
      <c r="A46" s="3606" t="s">
        <v>46</v>
      </c>
      <c r="B46" s="3608">
        <f ca="1">'预评函-2'!P5</f>
        <v>10953</v>
      </c>
    </row>
    <row r="47" spans="1:2">
      <c r="A47" s="3606" t="s">
        <v>47</v>
      </c>
      <c r="B47" s="3608">
        <f ca="1">'预评函-2'!Q5</f>
        <v>3877</v>
      </c>
    </row>
    <row r="48" spans="1:2">
      <c r="A48" s="3606" t="s">
        <v>48</v>
      </c>
      <c r="B48" s="3608">
        <f ca="1">'预评函-2'!R5</f>
        <v>22418</v>
      </c>
    </row>
    <row r="49" spans="1:2">
      <c r="A49" s="3606" t="s">
        <v>49</v>
      </c>
      <c r="B49" s="3608" t="str">
        <f>'预评函-2'!A6</f>
        <v>——</v>
      </c>
    </row>
    <row r="50" spans="1:2">
      <c r="A50" s="3606" t="s">
        <v>50</v>
      </c>
      <c r="B50" s="3608" t="str">
        <f ca="1">'预评函-2'!R6</f>
        <v>——</v>
      </c>
    </row>
    <row r="51" spans="1:2">
      <c r="A51" s="3606" t="s">
        <v>51</v>
      </c>
      <c r="B51" s="3608" t="str">
        <f>'预评函-2'!A7</f>
        <v>——</v>
      </c>
    </row>
    <row r="52" spans="1:2">
      <c r="A52" s="3606" t="s">
        <v>52</v>
      </c>
      <c r="B52" s="3608" t="str">
        <f ca="1">'预评函-2'!R7</f>
        <v>——</v>
      </c>
    </row>
    <row r="53" spans="1:2">
      <c r="A53" s="3606" t="s">
        <v>53</v>
      </c>
      <c r="B53" s="3608" t="str">
        <f>'预评函-2'!A8</f>
        <v>——</v>
      </c>
    </row>
    <row r="54" s="3595" customFormat="1" ht="15" spans="1:2">
      <c r="A54" s="3609" t="s">
        <v>54</v>
      </c>
      <c r="B54" s="3610" t="str">
        <f ca="1">'预评函-2'!R8</f>
        <v>——</v>
      </c>
    </row>
    <row r="55" ht="15" spans="1:2">
      <c r="A55" s="3611" t="s">
        <v>55</v>
      </c>
      <c r="B55" s="3612" t="str">
        <f>'预评函-3'!A2</f>
        <v>1.权利限制：根据估价对象《不动产权证书》原件、《国有土地使用权》复印件，截至估价期日，估价对象抵押权未见登记。未设定租赁等其他他项权利。</v>
      </c>
    </row>
    <row r="56" spans="1:2">
      <c r="A56" s="3606" t="s">
        <v>56</v>
      </c>
      <c r="B56" s="3608" t="str">
        <f>'预评函-3'!A3</f>
        <v>2.基础设施条件：估价对象实际开发程度为红线外七通、宗地红线内；本次评估设定开发程度为红线外七通、宗地红线内场地。</v>
      </c>
    </row>
    <row r="57" spans="1:2">
      <c r="A57" s="3606" t="s">
        <v>57</v>
      </c>
      <c r="B57" s="3608" t="str">
        <f>'预评函-3'!A4</f>
        <v>3.估价规划限制条件：详见《建设工程规划许可证》[]、《出让合同》[]。</v>
      </c>
    </row>
    <row r="58" s="3595" customFormat="1" ht="15" spans="1:2">
      <c r="A58" s="3609" t="s">
        <v>58</v>
      </c>
      <c r="B58" s="3610" t="str">
        <f>'预评函-3'!A5</f>
        <v>4.影响价格的其他限定条件：无。</v>
      </c>
    </row>
    <row r="59" ht="15" spans="1:2">
      <c r="A59" s="3611" t="s">
        <v>59</v>
      </c>
      <c r="B59" s="3612" t="str">
        <f>'预评函-3'!A8</f>
        <v>2.本次评估设定估价对象宗地权属无争议，未被查封或者以其他形式限制其房地产权利，未设定抵押权等他项权利，不涉及第三方权利义务。</v>
      </c>
    </row>
    <row r="60" spans="1:2">
      <c r="A60" s="3606" t="s">
        <v>60</v>
      </c>
      <c r="B60" s="3608" t="str">
        <f>'预评函-3'!A9</f>
        <v>——</v>
      </c>
    </row>
    <row r="61" spans="1:2">
      <c r="A61" s="3606" t="s">
        <v>61</v>
      </c>
      <c r="B61" s="3608" t="str">
        <f>'预评函-3'!A10</f>
        <v>——</v>
      </c>
    </row>
    <row r="62" spans="1:2">
      <c r="A62" s="3606" t="s">
        <v>62</v>
      </c>
      <c r="B62" s="3608" t="str">
        <f>'预评函-3'!A11</f>
        <v>——</v>
      </c>
    </row>
    <row r="63" spans="1:2">
      <c r="A63" s="3606" t="s">
        <v>63</v>
      </c>
      <c r="B63" s="3608" t="str">
        <f>'预评函-3'!A12</f>
        <v>（2）根据委托估价方提供的《国有建设用地使用权出让合同》及附件[]以及相关款项支付凭证，截至估价期日，委托估价方依据合同已缴纳全部土地成交价款及契税。根据委托估价方提供的《建设工程规划许可证》[]，估价对象规划建筑面积未超过《国有建设用地使用权出让合同》及附件的约定，不存在需补缴政府土地收益。OR根据委托估价方提供的《建设工程规划许可证》[]，估价对象规划建筑面积超出《国有建设用地使用权出让合同》及附件的约定，新增地上经营性商业用房及地下车库规划建筑面积为XX平方米。根据上述《国有建设用地使用权出让合同》及附件约定的计算标准，该部分需补缴的政府土地收益为XX万元。上述应补缴的政府土地收益金额仅为测算值，最终应补缴的金额应以土地管理部门的审定结果为准。如上述情况发生变化，估价结果需做相应调整。</v>
      </c>
    </row>
    <row r="64" spans="1:2">
      <c r="A64" s="3606" t="s">
        <v>64</v>
      </c>
      <c r="B64" s="3613" t="str">
        <f>'预评函-3'!A13</f>
        <v>（3）。</v>
      </c>
    </row>
    <row r="65" spans="1:2">
      <c r="A65" s="3606" t="s">
        <v>65</v>
      </c>
      <c r="B65" s="3618" t="str">
        <f>'预评函-3'!A14</f>
        <v>——</v>
      </c>
    </row>
    <row r="66" spans="1:2">
      <c r="A66" s="3606" t="s">
        <v>66</v>
      </c>
      <c r="B66" s="3618" t="str">
        <f>'预评函-3'!A15</f>
        <v>3.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67" spans="1:2">
      <c r="A67" s="3606" t="s">
        <v>67</v>
      </c>
      <c r="B67" s="3618" t="str">
        <f>'预评函-3'!A16</f>
        <v>4.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68" s="3595" customFormat="1" ht="15" spans="1:2">
      <c r="A68" s="3609" t="s">
        <v>68</v>
      </c>
      <c r="B68" s="3619">
        <f>'预评函-3'!D30</f>
        <v>42558</v>
      </c>
    </row>
    <row r="69" ht="15" spans="1:2">
      <c r="A69" s="3611" t="s">
        <v>69</v>
      </c>
      <c r="B69" s="3612" t="str">
        <f>'预评函-3'!A20</f>
        <v>陈颖</v>
      </c>
    </row>
    <row r="70" spans="1:2">
      <c r="A70" s="3606" t="s">
        <v>69</v>
      </c>
      <c r="B70" s="3618">
        <f ca="1">'预评函-3'!B20</f>
        <v>2004110096</v>
      </c>
    </row>
    <row r="71" spans="1:2">
      <c r="A71" s="3606" t="s">
        <v>70</v>
      </c>
      <c r="B71" s="3608" t="str">
        <f>'预评函-3'!A21</f>
        <v>崔锴</v>
      </c>
    </row>
    <row r="72" s="3595" customFormat="1" ht="15" spans="1:2">
      <c r="A72" s="3609" t="s">
        <v>70</v>
      </c>
      <c r="B72" s="3620">
        <f ca="1">'预评函-3'!B21</f>
        <v>2010110070</v>
      </c>
    </row>
    <row r="73" ht="15" spans="1:2">
      <c r="A73" s="3611" t="s">
        <v>71</v>
      </c>
      <c r="B73" s="3621" t="str">
        <f>'预评函-1 (储备)'!A7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4" spans="1:2">
      <c r="A74" s="3606" t="s">
        <v>72</v>
      </c>
      <c r="B74" s="3622" t="str">
        <f>'预评函-1 (储备)'!A18</f>
        <v>由于本次评估估价目的是评估储备国有建设用地使用权的“抵押价格”，因此本次评估设定土地开发程度为红线外市政基础设施达“七通”、宗地红线内场地平整。</v>
      </c>
    </row>
    <row r="75" s="3595" customFormat="1" ht="15" spans="1:2">
      <c r="A75" s="3609" t="s">
        <v>73</v>
      </c>
      <c r="B75" s="3623" t="str">
        <f>'预评函-1 (储备)'!A21</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76" ht="15" spans="1:2">
      <c r="A76" s="3600" t="s">
        <v>74</v>
      </c>
      <c r="B76" s="3601" t="str">
        <f>'预评函-3'!A25</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B58"/>
  <sheetViews>
    <sheetView view="pageBreakPreview" zoomScale="70" zoomScaleNormal="100" workbookViewId="0">
      <selection activeCell="C44" sqref="C44"/>
    </sheetView>
  </sheetViews>
  <sheetFormatPr defaultColWidth="10" defaultRowHeight="14.25"/>
  <cols>
    <col min="1" max="1" width="15.375" style="3250" customWidth="1"/>
    <col min="2" max="2" width="11.375" style="3250" customWidth="1"/>
    <col min="3" max="3" width="12.625" style="3250" customWidth="1"/>
    <col min="4" max="4" width="11.875" style="3250" customWidth="1"/>
    <col min="5" max="5" width="12.5" style="3250" customWidth="1"/>
    <col min="6" max="6" width="11.375" style="3250" customWidth="1"/>
    <col min="7" max="7" width="12.375" style="3250" customWidth="1"/>
    <col min="8" max="8" width="10" style="3250" customWidth="1"/>
    <col min="9" max="9" width="12.5" style="3251" customWidth="1"/>
    <col min="10" max="10" width="10" style="3250" customWidth="1"/>
    <col min="11" max="11" width="10" style="3252" customWidth="1"/>
    <col min="12" max="13" width="10" style="3253" customWidth="1"/>
    <col min="14" max="14" width="10" style="3254" customWidth="1"/>
    <col min="15" max="15" width="10" style="3255" customWidth="1"/>
    <col min="16" max="17" width="10" style="3254"/>
    <col min="18" max="18" width="10" style="3254" customWidth="1"/>
    <col min="19" max="28" width="10" style="3254"/>
    <col min="29" max="16384" width="10" style="3250"/>
  </cols>
  <sheetData>
    <row r="1" ht="15" spans="1:21">
      <c r="A1" s="3256" t="s">
        <v>351</v>
      </c>
      <c r="B1" s="3257" t="str">
        <f>IF(B10="北京市","北京市",C10)&amp;F10&amp;B16&amp;"国有建设用地使用权"&amp;B9&amp;"预评估"</f>
        <v>北京市出让国有建设用地使用权市场价格预评估</v>
      </c>
      <c r="C1" s="3258"/>
      <c r="D1" s="3258"/>
      <c r="E1" s="3258"/>
      <c r="F1" s="3258"/>
      <c r="G1" s="3258"/>
      <c r="H1" s="3258"/>
      <c r="I1" s="3411"/>
      <c r="J1" s="3261"/>
      <c r="K1" s="3412" t="str">
        <f>IF(B10="北京市","北京市",C10)&amp;F10&amp;B16&amp;"国有建设用地使用权"&amp;B9</f>
        <v>北京市出让国有建设用地使用权市场价格</v>
      </c>
      <c r="L1" s="3413"/>
      <c r="M1" s="3413"/>
      <c r="N1" s="3414"/>
      <c r="O1" s="3415"/>
      <c r="P1" s="3414"/>
      <c r="Q1" s="3414"/>
      <c r="R1" s="3414"/>
      <c r="S1" s="3414"/>
      <c r="T1" s="3414"/>
      <c r="U1" s="3414"/>
    </row>
    <row r="2" spans="1:21">
      <c r="A2" s="3259" t="s">
        <v>352</v>
      </c>
      <c r="B2" s="3260"/>
      <c r="D2" s="3261"/>
      <c r="E2" s="3261"/>
      <c r="F2" s="3261"/>
      <c r="G2" s="3261"/>
      <c r="H2" s="3262"/>
      <c r="I2" s="3416"/>
      <c r="J2" s="3261"/>
      <c r="K2" s="3412" t="str">
        <f>IF(B10="北京市","北京市",C10)&amp;F10&amp;B16&amp;"国有建设用地使用权"</f>
        <v>北京市出让国有建设用地使用权</v>
      </c>
      <c r="L2" s="3413"/>
      <c r="M2" s="3413"/>
      <c r="N2" s="3414"/>
      <c r="O2" s="3415"/>
      <c r="P2" s="3414"/>
      <c r="Q2" s="3414"/>
      <c r="R2" s="3414"/>
      <c r="S2" s="3414"/>
      <c r="T2" s="3414"/>
      <c r="U2" s="3414"/>
    </row>
    <row r="3" spans="1:21">
      <c r="A3" s="3263" t="s">
        <v>353</v>
      </c>
      <c r="B3" s="3264">
        <v>44522</v>
      </c>
      <c r="C3" s="3265" t="s">
        <v>354</v>
      </c>
      <c r="D3" s="3264">
        <v>44519</v>
      </c>
      <c r="E3" s="3261"/>
      <c r="F3" s="3261"/>
      <c r="G3" s="3261"/>
      <c r="H3" s="3262"/>
      <c r="I3" s="3416"/>
      <c r="J3" s="3261"/>
      <c r="K3" s="3417"/>
      <c r="L3" s="3413"/>
      <c r="M3" s="3413"/>
      <c r="N3" s="3414"/>
      <c r="O3" s="3415"/>
      <c r="P3" s="3414"/>
      <c r="Q3" s="3414"/>
      <c r="R3" s="3414"/>
      <c r="S3" s="3414"/>
      <c r="T3" s="3414"/>
      <c r="U3" s="3414"/>
    </row>
    <row r="4" ht="15" spans="1:21">
      <c r="A4" s="3266" t="s">
        <v>355</v>
      </c>
      <c r="B4" s="3267" t="s">
        <v>196</v>
      </c>
      <c r="C4" s="3268">
        <f ca="1">SUMIF(土地估价师,B4,估价师及机构信息!E3:E16)</f>
        <v>2004110096</v>
      </c>
      <c r="D4" s="3267" t="s">
        <v>197</v>
      </c>
      <c r="E4" s="3268">
        <f ca="1">SUMIF(土地估价师,D4,估价师及机构信息!E3:E16)</f>
        <v>2010110070</v>
      </c>
      <c r="F4" s="3267" t="s">
        <v>138</v>
      </c>
      <c r="G4" s="3268">
        <f ca="1">SUMIF(土地估价师,F4,估价师及机构信息!E3:E16)</f>
        <v>0</v>
      </c>
      <c r="H4" s="3267" t="s">
        <v>138</v>
      </c>
      <c r="I4" s="3268">
        <f ca="1">SUMIF(土地估价师,H4,估价师及机构信息!E3:E16)</f>
        <v>0</v>
      </c>
      <c r="J4" s="3261"/>
      <c r="K4" s="3412" t="str">
        <f>IF(AND(F4="——",H4="——"),B4&amp;"、"&amp;D4,IF(AND(F4&lt;&gt;"——",H4="——"),B4&amp;"、"&amp;D4&amp;"、"&amp;F4,B4&amp;"、"&amp;D4&amp;"、"&amp;F4&amp;"、"&amp;H4))</f>
        <v>陈颖、崔锴</v>
      </c>
      <c r="L4" s="3413"/>
      <c r="M4" s="3413"/>
      <c r="N4" s="3414"/>
      <c r="O4" s="3415"/>
      <c r="P4" s="3414"/>
      <c r="Q4" s="3414"/>
      <c r="R4" s="3414"/>
      <c r="S4" s="3414"/>
      <c r="T4" s="3414"/>
      <c r="U4" s="3414"/>
    </row>
    <row r="5" ht="15" spans="1:21">
      <c r="A5" s="3269" t="s">
        <v>356</v>
      </c>
      <c r="B5" s="3270"/>
      <c r="C5" s="3271"/>
      <c r="D5" s="3272"/>
      <c r="E5" s="3261"/>
      <c r="F5" s="3261"/>
      <c r="G5" s="3261"/>
      <c r="H5" s="3262"/>
      <c r="I5" s="3416"/>
      <c r="J5" s="3261"/>
      <c r="K5" s="3417"/>
      <c r="L5" s="3413"/>
      <c r="M5" s="3413"/>
      <c r="N5" s="3414"/>
      <c r="O5" s="3415"/>
      <c r="P5" s="3414"/>
      <c r="Q5" s="3414"/>
      <c r="R5" s="3414"/>
      <c r="S5" s="3414"/>
      <c r="T5" s="3414"/>
      <c r="U5" s="3414"/>
    </row>
    <row r="6" spans="1:21">
      <c r="A6" s="3273" t="s">
        <v>357</v>
      </c>
      <c r="B6" s="3270"/>
      <c r="C6" s="3274"/>
      <c r="D6" s="3275"/>
      <c r="E6" s="3261"/>
      <c r="F6" s="3261"/>
      <c r="G6" s="3261"/>
      <c r="H6" s="3262"/>
      <c r="I6" s="3416"/>
      <c r="J6" s="3261"/>
      <c r="K6" s="3418" t="str">
        <f>IF(COUNTIF(B6,"*上海银行*"),"上海银行","")</f>
        <v/>
      </c>
      <c r="L6" s="3413"/>
      <c r="M6" s="3413"/>
      <c r="N6" s="3414"/>
      <c r="O6" s="3415"/>
      <c r="P6" s="3414"/>
      <c r="Q6" s="3414"/>
      <c r="R6" s="3414"/>
      <c r="S6" s="3414"/>
      <c r="T6" s="3414"/>
      <c r="U6" s="3414"/>
    </row>
    <row r="7" spans="1:21">
      <c r="A7" s="3276" t="s">
        <v>358</v>
      </c>
      <c r="B7" s="3270"/>
      <c r="C7" s="3274"/>
      <c r="D7" s="3275"/>
      <c r="E7" s="3261"/>
      <c r="F7" s="3261"/>
      <c r="G7" s="3261"/>
      <c r="H7" s="3262"/>
      <c r="I7" s="3416"/>
      <c r="J7" s="3261"/>
      <c r="K7" s="3417"/>
      <c r="L7" s="3413"/>
      <c r="M7" s="3413"/>
      <c r="N7" s="3414"/>
      <c r="O7" s="3415"/>
      <c r="P7" s="3414"/>
      <c r="Q7" s="3414"/>
      <c r="R7" s="3414"/>
      <c r="S7" s="3414"/>
      <c r="T7" s="3414"/>
      <c r="U7" s="3414"/>
    </row>
    <row r="8" spans="1:21">
      <c r="A8" s="3277" t="s">
        <v>336</v>
      </c>
      <c r="B8" s="3278" t="s">
        <v>359</v>
      </c>
      <c r="C8" s="3279"/>
      <c r="D8" s="3280" t="s">
        <v>360</v>
      </c>
      <c r="E8" s="3281"/>
      <c r="F8" s="3282"/>
      <c r="G8" s="3262"/>
      <c r="H8" s="3262"/>
      <c r="I8" s="3419"/>
      <c r="J8" s="3261"/>
      <c r="K8" s="3417"/>
      <c r="L8" s="3413"/>
      <c r="M8" s="3413"/>
      <c r="N8" s="3414"/>
      <c r="O8" s="3415"/>
      <c r="P8" s="3414"/>
      <c r="Q8" s="3414"/>
      <c r="R8" s="3414"/>
      <c r="S8" s="3414"/>
      <c r="T8" s="3414"/>
      <c r="U8" s="3414"/>
    </row>
    <row r="9" ht="15" spans="1:21">
      <c r="A9" s="3283" t="s">
        <v>361</v>
      </c>
      <c r="B9" s="3284" t="s">
        <v>342</v>
      </c>
      <c r="C9" s="3285"/>
      <c r="D9" s="3286"/>
      <c r="E9" s="3284"/>
      <c r="F9" s="3287"/>
      <c r="G9" s="3288"/>
      <c r="H9" s="3288"/>
      <c r="I9" s="3420"/>
      <c r="J9" s="3261"/>
      <c r="K9" s="3417"/>
      <c r="L9" s="3413"/>
      <c r="M9" s="3413"/>
      <c r="N9" s="3414"/>
      <c r="O9" s="3415"/>
      <c r="P9" s="3414"/>
      <c r="Q9" s="3414"/>
      <c r="R9" s="3414"/>
      <c r="S9" s="3414"/>
      <c r="T9" s="3414"/>
      <c r="U9" s="3414"/>
    </row>
    <row r="10" ht="15" spans="1:21">
      <c r="A10" s="3289" t="s">
        <v>362</v>
      </c>
      <c r="B10" s="3290" t="s">
        <v>363</v>
      </c>
      <c r="C10" s="3291"/>
      <c r="D10" s="3272"/>
      <c r="E10" s="3292" t="s">
        <v>364</v>
      </c>
      <c r="F10" s="3293"/>
      <c r="G10" s="3294"/>
      <c r="H10" s="3295"/>
      <c r="I10" s="3272"/>
      <c r="J10" s="3261"/>
      <c r="K10" s="3417"/>
      <c r="L10" s="3413"/>
      <c r="M10" s="3413"/>
      <c r="N10" s="3414"/>
      <c r="O10" s="3415"/>
      <c r="P10" s="3414"/>
      <c r="Q10" s="3414"/>
      <c r="R10" s="3414"/>
      <c r="S10" s="3414"/>
      <c r="T10" s="3414"/>
      <c r="U10" s="3414"/>
    </row>
    <row r="11" spans="1:21">
      <c r="A11" s="3296" t="s">
        <v>365</v>
      </c>
      <c r="B11" s="3297" t="s">
        <v>366</v>
      </c>
      <c r="C11" s="3298"/>
      <c r="D11" s="3299"/>
      <c r="E11" s="3300"/>
      <c r="F11" s="3300"/>
      <c r="G11" s="3300"/>
      <c r="H11" s="3300"/>
      <c r="I11" s="3300"/>
      <c r="J11" s="3261"/>
      <c r="K11" s="3417"/>
      <c r="L11" s="3413"/>
      <c r="M11" s="3413"/>
      <c r="N11" s="3414"/>
      <c r="O11" s="3415"/>
      <c r="P11" s="3414"/>
      <c r="Q11" s="3414"/>
      <c r="R11" s="3414"/>
      <c r="S11" s="3414"/>
      <c r="T11" s="3414"/>
      <c r="U11" s="3414"/>
    </row>
    <row r="12" spans="1:21">
      <c r="A12" s="3301" t="s">
        <v>367</v>
      </c>
      <c r="B12" s="3302"/>
      <c r="C12" s="3303"/>
      <c r="D12" s="3304"/>
      <c r="E12" s="3305" t="s">
        <v>368</v>
      </c>
      <c r="F12" s="3306" t="s">
        <v>369</v>
      </c>
      <c r="G12" s="3307"/>
      <c r="H12" s="3307"/>
      <c r="I12" s="3421"/>
      <c r="J12" s="3261"/>
      <c r="K12" s="3417"/>
      <c r="L12" s="3413"/>
      <c r="M12" s="3413"/>
      <c r="N12" s="3414"/>
      <c r="O12" s="3415"/>
      <c r="P12" s="3414"/>
      <c r="Q12" s="3414"/>
      <c r="R12" s="3414"/>
      <c r="S12" s="3414"/>
      <c r="T12" s="3414"/>
      <c r="U12" s="3414"/>
    </row>
    <row r="13" spans="1:21">
      <c r="A13" s="3308" t="s">
        <v>370</v>
      </c>
      <c r="B13" s="3302"/>
      <c r="C13" s="3303"/>
      <c r="D13" s="3304"/>
      <c r="E13" s="3305" t="s">
        <v>368</v>
      </c>
      <c r="F13" s="3306" t="s">
        <v>371</v>
      </c>
      <c r="G13" s="3307"/>
      <c r="H13" s="3307"/>
      <c r="I13" s="3421"/>
      <c r="J13" s="3261"/>
      <c r="K13" s="3417"/>
      <c r="L13" s="3413"/>
      <c r="M13" s="3413"/>
      <c r="N13" s="3414"/>
      <c r="O13" s="3415"/>
      <c r="P13" s="3414"/>
      <c r="Q13" s="3414"/>
      <c r="R13" s="3414"/>
      <c r="S13" s="3414"/>
      <c r="T13" s="3414"/>
      <c r="U13" s="3414"/>
    </row>
    <row r="14" spans="1:21">
      <c r="A14" s="3263" t="s">
        <v>372</v>
      </c>
      <c r="B14" s="3305"/>
      <c r="C14" s="3309" t="s">
        <v>373</v>
      </c>
      <c r="D14" s="3310" t="str">
        <f>IF(C14="不一致","是否符合证载地类范围","")</f>
        <v/>
      </c>
      <c r="E14" s="3305"/>
      <c r="F14" s="3311" t="s">
        <v>374</v>
      </c>
      <c r="G14" s="3312"/>
      <c r="H14" s="3312"/>
      <c r="I14" s="3422"/>
      <c r="J14" s="3261"/>
      <c r="K14" s="3417"/>
      <c r="L14" s="3413"/>
      <c r="M14" s="3413"/>
      <c r="N14" s="3414"/>
      <c r="O14" s="3415"/>
      <c r="P14" s="3414"/>
      <c r="Q14" s="3414"/>
      <c r="R14" s="3414"/>
      <c r="S14" s="3414"/>
      <c r="T14" s="3414"/>
      <c r="U14" s="3414"/>
    </row>
    <row r="15" hidden="1" spans="1:21">
      <c r="A15" s="3313"/>
      <c r="B15" s="3273"/>
      <c r="C15" s="3273"/>
      <c r="D15" s="3314" t="s">
        <v>375</v>
      </c>
      <c r="E15" s="3314" t="s">
        <v>376</v>
      </c>
      <c r="F15" s="3314" t="s">
        <v>377</v>
      </c>
      <c r="G15" s="3315" t="s">
        <v>378</v>
      </c>
      <c r="H15" s="3315" t="s">
        <v>379</v>
      </c>
      <c r="I15" s="3315" t="s">
        <v>164</v>
      </c>
      <c r="J15" s="3261"/>
      <c r="K15" s="3417"/>
      <c r="L15" s="3413"/>
      <c r="M15" s="3413"/>
      <c r="N15" s="3414"/>
      <c r="O15" s="3415"/>
      <c r="P15" s="3414"/>
      <c r="Q15" s="3414"/>
      <c r="R15" s="3414"/>
      <c r="S15" s="3414"/>
      <c r="T15" s="3414"/>
      <c r="U15" s="3414"/>
    </row>
    <row r="16" ht="57" spans="1:21">
      <c r="A16" s="3316" t="s">
        <v>380</v>
      </c>
      <c r="B16" s="3317" t="s">
        <v>381</v>
      </c>
      <c r="C16" s="3305" t="s">
        <v>348</v>
      </c>
      <c r="D16" s="3314" t="s">
        <v>375</v>
      </c>
      <c r="E16" s="3318"/>
      <c r="F16" s="3318" t="s">
        <v>382</v>
      </c>
      <c r="G16" s="3318" t="s">
        <v>383</v>
      </c>
      <c r="H16" s="3318"/>
      <c r="I16" s="3315" t="s">
        <v>164</v>
      </c>
      <c r="J16" s="3261"/>
      <c r="K16" s="3423" t="str">
        <f>IF(D17="","",D16&amp;TEXT(D17,"yyyy年m月d日;;"))</f>
        <v/>
      </c>
      <c r="L16" s="3305" t="str">
        <f>IF(OR(K16="",M16=""),"","、")</f>
        <v/>
      </c>
      <c r="M16" s="3423" t="str">
        <f>IF(E17="","",E16&amp;TEXT(E17,"yyyy年m月d日;;"))</f>
        <v/>
      </c>
      <c r="N16" s="3305" t="str">
        <f>IF(OR(M16="",O16=""),"","、")</f>
        <v/>
      </c>
      <c r="O16" s="3423" t="str">
        <f>IF(F17="","",F16&amp;TEXT(F17,"yyyy年m月d日;;"))</f>
        <v>办公及地下办公2058年12月18日</v>
      </c>
      <c r="P16" s="3305" t="str">
        <f>IF(OR(O16="",Q16=""),"","、")</f>
        <v>、</v>
      </c>
      <c r="Q16" s="3423" t="str">
        <f>IF(G17="","",G16&amp;TEXT(G17,"yyyy年m月d日;;"))</f>
        <v>地下车库2058年12月18日</v>
      </c>
      <c r="R16" s="3305" t="str">
        <f>IF(OR(Q16="",S16=""),"","、")</f>
        <v/>
      </c>
      <c r="S16" s="3423" t="str">
        <f>IF(H17="","",H16&amp;TEXT(H17,"yyyy年m月d日;;"))</f>
        <v/>
      </c>
      <c r="T16" s="3305" t="str">
        <f>IF(OR(S16="",U16=""),"","、")</f>
        <v/>
      </c>
      <c r="U16" s="3423" t="str">
        <f>IF(I17="","",I16&amp;TEXT(I17,"yyyy年m月d日;;"))</f>
        <v/>
      </c>
    </row>
    <row r="17" spans="1:21">
      <c r="A17" s="3319"/>
      <c r="B17" s="3320"/>
      <c r="C17" s="3321" t="s">
        <v>384</v>
      </c>
      <c r="D17" s="3322"/>
      <c r="E17" s="3322"/>
      <c r="F17" s="3322">
        <v>58062</v>
      </c>
      <c r="G17" s="3322">
        <f>F17</f>
        <v>58062</v>
      </c>
      <c r="H17" s="3322"/>
      <c r="I17" s="3322"/>
      <c r="J17" s="3261"/>
      <c r="K17" s="3424" t="str">
        <f>CONCATENATE(K16,L16,M16,N16,O16,P16,Q16,R16,S16,T16,,U16)</f>
        <v>办公及地下办公2058年12月18日、地下车库2058年12月18日</v>
      </c>
      <c r="L17" s="3413"/>
      <c r="M17" s="3413"/>
      <c r="N17" s="3414"/>
      <c r="O17" s="3415"/>
      <c r="P17" s="3414"/>
      <c r="Q17" s="3414"/>
      <c r="R17" s="3414"/>
      <c r="S17" s="3414"/>
      <c r="T17" s="3414"/>
      <c r="U17" s="3414"/>
    </row>
    <row r="18" spans="1:21">
      <c r="A18" s="3319"/>
      <c r="B18" s="3320"/>
      <c r="C18" s="3321" t="s">
        <v>385</v>
      </c>
      <c r="D18" s="3323"/>
      <c r="E18" s="3323"/>
      <c r="F18" s="3323">
        <v>50</v>
      </c>
      <c r="G18" s="3323">
        <v>50</v>
      </c>
      <c r="H18" s="3323"/>
      <c r="I18" s="3323"/>
      <c r="J18" s="3261"/>
      <c r="K18" s="3417"/>
      <c r="L18" s="3413"/>
      <c r="M18" s="3413"/>
      <c r="N18" s="3414"/>
      <c r="O18" s="3415"/>
      <c r="P18" s="3414"/>
      <c r="Q18" s="3414"/>
      <c r="R18" s="3414"/>
      <c r="S18" s="3414"/>
      <c r="T18" s="3414"/>
      <c r="U18" s="3414"/>
    </row>
    <row r="19" spans="1:21">
      <c r="A19" s="3319"/>
      <c r="B19" s="3320"/>
      <c r="C19" s="3259" t="s">
        <v>386</v>
      </c>
      <c r="D19" s="3324" t="str">
        <f>IF(B16="出让",IF(D17="","",ROUNDDOWN(MIN((D17-$D$3)/365,D18),2)),D18)</f>
        <v/>
      </c>
      <c r="E19" s="3325" t="str">
        <f>IF(B16="出让",IF(E17="","",ROUNDDOWN(MIN((E17-$D$3)/365,E18),2)),E18)</f>
        <v/>
      </c>
      <c r="F19" s="3325">
        <f>IF(B16="出让",IF(F17="","",ROUNDDOWN(MIN((F17-$D$3)/365,F18),2)),F18)</f>
        <v>37.1</v>
      </c>
      <c r="G19" s="3325">
        <f>IF(B16="出让",IF(G17="","",ROUNDDOWN(MIN((G17-$D$3)/365,G18),2)),G18)</f>
        <v>37.1</v>
      </c>
      <c r="H19" s="3325" t="str">
        <f>IF(B16="出让",IF(H17="","",ROUNDDOWN(MIN((H17-$D$3)/365,H18),2)),H18)</f>
        <v/>
      </c>
      <c r="I19" s="3325" t="str">
        <f>IF(B16="出让",IF(I17="","",ROUNDDOWN(MIN((I17-$D$3)/365,I18),2)),I18)</f>
        <v/>
      </c>
      <c r="J19" s="3261"/>
      <c r="K19" s="3417"/>
      <c r="L19" s="3413"/>
      <c r="M19" s="3413"/>
      <c r="N19" s="3414"/>
      <c r="O19" s="3415"/>
      <c r="P19" s="3414"/>
      <c r="Q19" s="3414"/>
      <c r="R19" s="3414"/>
      <c r="S19" s="3414"/>
      <c r="T19" s="3414"/>
      <c r="U19" s="3414"/>
    </row>
    <row r="20" spans="1:21">
      <c r="A20" s="3326"/>
      <c r="B20" s="3327"/>
      <c r="C20" s="3328" t="s">
        <v>387</v>
      </c>
      <c r="D20" s="3329"/>
      <c r="E20" s="3330"/>
      <c r="F20" s="3330"/>
      <c r="G20" s="3330"/>
      <c r="H20" s="3330"/>
      <c r="I20" s="3425"/>
      <c r="J20" s="3261"/>
      <c r="K20" s="3417"/>
      <c r="L20" s="3413"/>
      <c r="M20" s="3413"/>
      <c r="N20" s="3414"/>
      <c r="O20" s="3415"/>
      <c r="P20" s="3414"/>
      <c r="Q20" s="3414"/>
      <c r="R20" s="3414"/>
      <c r="S20" s="3414"/>
      <c r="T20" s="3414"/>
      <c r="U20" s="3414"/>
    </row>
    <row r="21" spans="1:21">
      <c r="A21" s="3319" t="s">
        <v>388</v>
      </c>
      <c r="B21" s="3331" t="s">
        <v>389</v>
      </c>
      <c r="C21" s="3332">
        <f>'数据-汇总表'!E3</f>
        <v>57817.58</v>
      </c>
      <c r="D21" s="3333" t="s">
        <v>390</v>
      </c>
      <c r="E21" s="3334" t="s">
        <v>391</v>
      </c>
      <c r="F21" s="3335"/>
      <c r="G21" s="3335"/>
      <c r="H21" s="3335"/>
      <c r="I21" s="3426"/>
      <c r="J21" s="3261"/>
      <c r="K21" s="3417"/>
      <c r="L21" s="3413"/>
      <c r="M21" s="3413"/>
      <c r="N21" s="3414"/>
      <c r="O21" s="3415"/>
      <c r="P21" s="3414"/>
      <c r="Q21" s="3414"/>
      <c r="R21" s="3414"/>
      <c r="S21" s="3414"/>
      <c r="T21" s="3414"/>
      <c r="U21" s="3414"/>
    </row>
    <row r="22" spans="1:21">
      <c r="A22" s="3336" t="s">
        <v>138</v>
      </c>
      <c r="B22" s="3263" t="s">
        <v>392</v>
      </c>
      <c r="C22" s="3315">
        <f>'数据-汇总表'!D3</f>
        <v>20468.06</v>
      </c>
      <c r="D22" s="3308" t="s">
        <v>390</v>
      </c>
      <c r="E22" s="3334" t="s">
        <v>369</v>
      </c>
      <c r="F22" s="3335"/>
      <c r="G22" s="3335"/>
      <c r="H22" s="3335"/>
      <c r="I22" s="3426"/>
      <c r="J22" s="3261"/>
      <c r="K22" s="3417"/>
      <c r="L22" s="3413"/>
      <c r="M22" s="3413"/>
      <c r="N22" s="3414"/>
      <c r="O22" s="3415"/>
      <c r="P22" s="3414"/>
      <c r="Q22" s="3414"/>
      <c r="R22" s="3414"/>
      <c r="S22" s="3414"/>
      <c r="T22" s="3414"/>
      <c r="U22" s="3414"/>
    </row>
    <row r="23" ht="43.5" spans="1:21">
      <c r="A23" s="3337" t="s">
        <v>393</v>
      </c>
      <c r="B23" s="3338" t="s">
        <v>394</v>
      </c>
      <c r="C23" s="3339"/>
      <c r="D23" s="3340" t="s">
        <v>395</v>
      </c>
      <c r="E23" s="3341"/>
      <c r="F23" s="3342" t="str">
        <f>IF(AND(C23="是",E23="否"),"是否提供他项权证或相关说明","")</f>
        <v/>
      </c>
      <c r="G23" s="3343"/>
      <c r="H23" s="3261"/>
      <c r="I23" s="3419"/>
      <c r="J23" s="3261"/>
      <c r="K23" s="3417"/>
      <c r="L23" s="3413"/>
      <c r="M23" s="3413"/>
      <c r="N23" s="3414"/>
      <c r="O23" s="3415"/>
      <c r="P23" s="3414"/>
      <c r="Q23" s="3414"/>
      <c r="R23" s="3414"/>
      <c r="S23" s="3414"/>
      <c r="T23" s="3414"/>
      <c r="U23" s="3414"/>
    </row>
    <row r="24" spans="1:21">
      <c r="A24" s="3344" t="s">
        <v>368</v>
      </c>
      <c r="B24" s="3345" t="s">
        <v>396</v>
      </c>
      <c r="C24" s="3346"/>
      <c r="D24" s="3347" t="s">
        <v>397</v>
      </c>
      <c r="E24" s="3348"/>
      <c r="F24" s="3349" t="s">
        <v>398</v>
      </c>
      <c r="G24" s="3261"/>
      <c r="H24" s="3261"/>
      <c r="I24" s="3419"/>
      <c r="J24" s="3261"/>
      <c r="K24" s="3427" t="s">
        <v>399</v>
      </c>
      <c r="L24" s="3428" t="str">
        <f>"根据估价对象"&amp;IF(B26="——",B25&amp;C25,B25&amp;C25&amp;"、"&amp;B26&amp;C26)&amp;"，"&amp;IF(C23="是","截至估价期日，估价对象已设定抵押。","截至估价期日，估价对象抵押权未见登记。")</f>
        <v>根据估价对象《不动产权证书》原件、《国有土地使用权》复印件，截至估价期日，估价对象抵押权未见登记。</v>
      </c>
      <c r="M24" s="3429"/>
      <c r="N24" s="3414"/>
      <c r="O24" s="3415"/>
      <c r="P24" s="3414"/>
      <c r="Q24" s="3414"/>
      <c r="R24" s="3414"/>
      <c r="S24" s="3414"/>
      <c r="T24" s="3414"/>
      <c r="U24" s="3414"/>
    </row>
    <row r="25" ht="28.5" spans="1:21">
      <c r="A25" s="3350"/>
      <c r="B25" s="3351" t="s">
        <v>400</v>
      </c>
      <c r="C25" s="3352" t="s">
        <v>401</v>
      </c>
      <c r="D25" s="3353"/>
      <c r="E25" s="3354" t="s">
        <v>138</v>
      </c>
      <c r="F25" s="3355"/>
      <c r="G25" s="3261"/>
      <c r="H25" s="3261"/>
      <c r="I25" s="3419"/>
      <c r="J25" s="3261"/>
      <c r="K25" s="3427"/>
      <c r="L25" s="3428" t="str">
        <f>IF(C23="否","",IF(E23="是","上述抵押权设定日期为"&amp;TEXT(C27,"yyyy年m月d日;;")&amp;"，权利人为"&amp;C28&amp;"，权利范围为"&amp;C29&amp;"，权利价值为"&amp;C30&amp;"。",IF(AND(E23="否",G23="是"),"上述权属证件中未登记该抵押权的具体情况（债权数额、期限等）。根据"&amp;IF(D25="","土地使用权人（权利人）出具的"&amp;F25,D25&amp;E25)&amp;"，估价对象已抵押给"&amp;E28&amp;"，权利范围为"&amp;E29&amp;"，权利价值为"&amp;E30&amp;"。","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f>
        <v>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v>
      </c>
      <c r="M25" s="3429"/>
      <c r="N25" s="3414"/>
      <c r="O25" s="3415"/>
      <c r="P25" s="3414"/>
      <c r="Q25" s="3414"/>
      <c r="R25" s="3414"/>
      <c r="S25" s="3414"/>
      <c r="T25" s="3414"/>
      <c r="U25" s="3414"/>
    </row>
    <row r="26" ht="29.25" spans="1:21">
      <c r="A26" s="3356"/>
      <c r="B26" s="3357" t="s">
        <v>402</v>
      </c>
      <c r="C26" s="3352" t="s">
        <v>403</v>
      </c>
      <c r="D26" s="3262"/>
      <c r="E26" s="3262"/>
      <c r="F26" s="3358"/>
      <c r="G26" s="3261"/>
      <c r="H26" s="3261"/>
      <c r="I26" s="3419"/>
      <c r="J26" s="3261"/>
      <c r="K26" s="3427"/>
      <c r="L26" s="3428" t="str">
        <f>IF(E24="否","",IF(结果表!H33="同一抵押权人同一抵押物续贷","由于本次评估为同一抵押权人的续贷土地抵押估价，故未将已抵押担保的债权数额（"&amp;C31&amp;"）作为法定优先受偿款予以扣减。",IF(结果表!H33="注销后放款","根据土地使用权人（权利人）介绍，土地使用权人（权利人）将在办理本次抵押登记手续前先办理上述抵押登记注销手续。因此，本次评估以在办理本次抵押登记手续前先办理上述抵押登记注销手续为假设前提，估价结果为设定上述抵押担保权已注销时的抵押价格。","")))</f>
        <v/>
      </c>
      <c r="M26" s="3429"/>
      <c r="N26" s="3414"/>
      <c r="O26" s="3415"/>
      <c r="P26" s="3414"/>
      <c r="Q26" s="3414"/>
      <c r="R26" s="3414"/>
      <c r="S26" s="3414"/>
      <c r="T26" s="3414"/>
      <c r="U26" s="3414"/>
    </row>
    <row r="27" spans="1:21">
      <c r="A27" s="3359" t="s">
        <v>404</v>
      </c>
      <c r="B27" s="3360" t="s">
        <v>405</v>
      </c>
      <c r="C27" s="3361"/>
      <c r="D27" s="3362" t="s">
        <v>405</v>
      </c>
      <c r="E27" s="3363"/>
      <c r="F27" s="3358"/>
      <c r="G27" s="3261"/>
      <c r="H27" s="3261"/>
      <c r="I27" s="3419"/>
      <c r="J27" s="3261"/>
      <c r="K27" s="3417"/>
      <c r="L27" s="3413"/>
      <c r="M27" s="3413"/>
      <c r="N27" s="3414"/>
      <c r="O27" s="3415"/>
      <c r="P27" s="3414"/>
      <c r="Q27" s="3414"/>
      <c r="R27" s="3414"/>
      <c r="S27" s="3414"/>
      <c r="T27" s="3414"/>
      <c r="U27" s="3414"/>
    </row>
    <row r="28" spans="1:21">
      <c r="A28" s="3364"/>
      <c r="B28" s="3360" t="s">
        <v>406</v>
      </c>
      <c r="C28" s="3365"/>
      <c r="D28" s="3366" t="s">
        <v>406</v>
      </c>
      <c r="E28" s="3367"/>
      <c r="F28" s="3358"/>
      <c r="G28" s="3261"/>
      <c r="H28" s="3261"/>
      <c r="I28" s="3419"/>
      <c r="J28" s="3261"/>
      <c r="K28" s="3417"/>
      <c r="L28" s="3413"/>
      <c r="M28" s="3413"/>
      <c r="N28" s="3414"/>
      <c r="O28" s="3415"/>
      <c r="P28" s="3414"/>
      <c r="Q28" s="3414"/>
      <c r="R28" s="3414"/>
      <c r="S28" s="3414"/>
      <c r="T28" s="3414"/>
      <c r="U28" s="3414"/>
    </row>
    <row r="29" spans="1:21">
      <c r="A29" s="3364"/>
      <c r="B29" s="3360" t="s">
        <v>407</v>
      </c>
      <c r="C29" s="3365"/>
      <c r="D29" s="3366" t="s">
        <v>407</v>
      </c>
      <c r="E29" s="3367"/>
      <c r="F29" s="3358"/>
      <c r="G29" s="3261"/>
      <c r="H29" s="3261"/>
      <c r="I29" s="3419"/>
      <c r="J29" s="3261"/>
      <c r="K29" s="3417"/>
      <c r="L29" s="3413"/>
      <c r="M29" s="3413"/>
      <c r="N29" s="3414"/>
      <c r="O29" s="3415"/>
      <c r="P29" s="3414"/>
      <c r="Q29" s="3414"/>
      <c r="R29" s="3414"/>
      <c r="S29" s="3414"/>
      <c r="T29" s="3414"/>
      <c r="U29" s="3414"/>
    </row>
    <row r="30" ht="15" spans="1:21">
      <c r="A30" s="3368"/>
      <c r="B30" s="3369" t="s">
        <v>408</v>
      </c>
      <c r="C30" s="3370"/>
      <c r="D30" s="3371" t="s">
        <v>408</v>
      </c>
      <c r="E30" s="3372"/>
      <c r="F30" s="3373"/>
      <c r="G30" s="3288"/>
      <c r="H30" s="3288"/>
      <c r="I30" s="3420"/>
      <c r="J30" s="3261"/>
      <c r="K30" s="3417"/>
      <c r="L30" s="3413"/>
      <c r="M30" s="3413"/>
      <c r="N30" s="3414"/>
      <c r="O30" s="3415"/>
      <c r="P30" s="3414"/>
      <c r="Q30" s="3414"/>
      <c r="R30" s="3414"/>
      <c r="S30" s="3414"/>
      <c r="T30" s="3414"/>
      <c r="U30" s="3414"/>
    </row>
    <row r="31" ht="15" spans="1:21">
      <c r="A31" s="3319" t="s">
        <v>409</v>
      </c>
      <c r="B31" s="3331" t="s">
        <v>410</v>
      </c>
      <c r="C31" s="3374"/>
      <c r="D31" s="3290"/>
      <c r="E31" s="3261"/>
      <c r="F31" s="3261"/>
      <c r="G31" s="3261"/>
      <c r="H31" s="3261"/>
      <c r="I31" s="3419"/>
      <c r="J31" s="3261"/>
      <c r="K31" s="3430"/>
      <c r="L31" s="3414"/>
      <c r="M31" s="3414"/>
      <c r="N31" s="3414"/>
      <c r="O31" s="3414"/>
      <c r="P31" s="3414"/>
      <c r="Q31" s="3414"/>
      <c r="R31" s="3414"/>
      <c r="S31" s="3414"/>
      <c r="T31" s="3414"/>
      <c r="U31" s="3414"/>
    </row>
    <row r="32" spans="1:21">
      <c r="A32" s="3319"/>
      <c r="B32" s="3263" t="s">
        <v>411</v>
      </c>
      <c r="C32" s="3290"/>
      <c r="D32" s="3375"/>
      <c r="E32" s="3261"/>
      <c r="F32" s="3261"/>
      <c r="G32" s="3261"/>
      <c r="H32" s="3261"/>
      <c r="I32" s="3419"/>
      <c r="J32" s="3261"/>
      <c r="K32" s="3430"/>
      <c r="L32" s="3414"/>
      <c r="M32" s="3414"/>
      <c r="N32" s="3414"/>
      <c r="O32" s="3414"/>
      <c r="P32" s="3414"/>
      <c r="Q32" s="3414"/>
      <c r="R32" s="3414"/>
      <c r="S32" s="3414"/>
      <c r="T32" s="3414"/>
      <c r="U32" s="3414"/>
    </row>
    <row r="33" spans="1:21">
      <c r="A33" s="3319"/>
      <c r="B33" s="3263" t="s">
        <v>412</v>
      </c>
      <c r="C33" s="3376"/>
      <c r="D33" s="3377"/>
      <c r="E33" s="3261"/>
      <c r="F33" s="3261"/>
      <c r="G33" s="3261"/>
      <c r="H33" s="3261"/>
      <c r="I33" s="3419"/>
      <c r="J33" s="3261"/>
      <c r="K33" s="3430"/>
      <c r="L33" s="3414"/>
      <c r="M33" s="3414"/>
      <c r="N33" s="3414"/>
      <c r="O33" s="3414"/>
      <c r="P33" s="3414"/>
      <c r="Q33" s="3414"/>
      <c r="R33" s="3414"/>
      <c r="S33" s="3414"/>
      <c r="T33" s="3414"/>
      <c r="U33" s="3414"/>
    </row>
    <row r="34" spans="1:21">
      <c r="A34" s="3331"/>
      <c r="B34" s="3263" t="s">
        <v>413</v>
      </c>
      <c r="C34" s="3378"/>
      <c r="D34" s="3379"/>
      <c r="E34" s="3261"/>
      <c r="F34" s="3261"/>
      <c r="G34" s="3261"/>
      <c r="H34" s="3261"/>
      <c r="I34" s="3419"/>
      <c r="J34" s="3261"/>
      <c r="K34" s="3430"/>
      <c r="L34" s="3414"/>
      <c r="M34" s="3414"/>
      <c r="N34" s="3414"/>
      <c r="O34" s="3414"/>
      <c r="P34" s="3414"/>
      <c r="Q34" s="3414"/>
      <c r="R34" s="3414"/>
      <c r="S34" s="3414"/>
      <c r="T34" s="3414"/>
      <c r="U34" s="3414"/>
    </row>
    <row r="35" spans="1:21">
      <c r="A35" s="3313" t="s">
        <v>414</v>
      </c>
      <c r="B35" s="3318"/>
      <c r="C35" s="3380" t="str">
        <f>IF(B35="场地平整","——","具体情况：")</f>
        <v>具体情况：</v>
      </c>
      <c r="D35" s="3381"/>
      <c r="E35" s="3382"/>
      <c r="F35" s="3382"/>
      <c r="G35" s="3382"/>
      <c r="H35" s="3382"/>
      <c r="I35" s="3431"/>
      <c r="J35" s="3261"/>
      <c r="K35" s="3432"/>
      <c r="L35" s="3413"/>
      <c r="M35" s="3413"/>
      <c r="N35" s="3414"/>
      <c r="O35" s="3415"/>
      <c r="P35" s="3414"/>
      <c r="Q35" s="3414"/>
      <c r="R35" s="3414"/>
      <c r="S35" s="3414"/>
      <c r="T35" s="3414"/>
      <c r="U35" s="3414"/>
    </row>
    <row r="36" spans="1:21">
      <c r="A36" s="3319"/>
      <c r="B36" s="3380" t="s">
        <v>415</v>
      </c>
      <c r="C36" s="3383"/>
      <c r="D36" s="3384"/>
      <c r="E36" s="3385"/>
      <c r="F36" s="3385"/>
      <c r="G36" s="3308" t="str">
        <f>IF(B35="场地未平整","估价结果处理","")</f>
        <v/>
      </c>
      <c r="H36" s="3386"/>
      <c r="I36" s="3386"/>
      <c r="J36" s="3261"/>
      <c r="K36" s="3432"/>
      <c r="L36" s="3413"/>
      <c r="M36" s="3413"/>
      <c r="N36" s="3414"/>
      <c r="O36" s="3415"/>
      <c r="P36" s="3414"/>
      <c r="Q36" s="3414"/>
      <c r="R36" s="3414"/>
      <c r="S36" s="3414"/>
      <c r="T36" s="3414"/>
      <c r="U36" s="3414"/>
    </row>
    <row r="37" ht="28.5" spans="1:21">
      <c r="A37" s="3319"/>
      <c r="B37" s="3337" t="s">
        <v>416</v>
      </c>
      <c r="C37" s="3387" t="s">
        <v>417</v>
      </c>
      <c r="D37" s="3388"/>
      <c r="E37" s="3389"/>
      <c r="F37" s="3261"/>
      <c r="G37" s="3261"/>
      <c r="H37" s="3261"/>
      <c r="I37" s="3419"/>
      <c r="J37" s="3261"/>
      <c r="K37" s="3432"/>
      <c r="L37" s="3414"/>
      <c r="M37" s="3414"/>
      <c r="N37" s="3414"/>
      <c r="O37" s="3414"/>
      <c r="P37" s="3414"/>
      <c r="Q37" s="3414"/>
      <c r="R37" s="3414"/>
      <c r="S37" s="3414"/>
      <c r="T37" s="3414"/>
      <c r="U37" s="3414"/>
    </row>
    <row r="38" spans="1:21">
      <c r="A38" s="3319"/>
      <c r="B38" s="3390"/>
      <c r="C38" s="3276" t="s">
        <v>418</v>
      </c>
      <c r="D38" s="3391">
        <f>ROUNDDOWN(MIN(('数据-取费表'!$B$2-D37)/365,D34),1)</f>
        <v>121.9</v>
      </c>
      <c r="E38" s="3392" t="s">
        <v>419</v>
      </c>
      <c r="F38" s="3261"/>
      <c r="G38" s="3261"/>
      <c r="H38" s="3261"/>
      <c r="I38" s="3419"/>
      <c r="J38" s="3261"/>
      <c r="K38" s="3432"/>
      <c r="L38" s="3414"/>
      <c r="M38" s="3414"/>
      <c r="N38" s="3414"/>
      <c r="O38" s="3414"/>
      <c r="P38" s="3414"/>
      <c r="Q38" s="3414"/>
      <c r="R38" s="3414"/>
      <c r="S38" s="3414"/>
      <c r="T38" s="3414"/>
      <c r="U38" s="3414"/>
    </row>
    <row r="39" spans="1:21">
      <c r="A39" s="3331"/>
      <c r="B39" s="3393"/>
      <c r="C39" s="3394" t="str">
        <f>IF(D38&lt;1,"不存在土地闲置",IF(B35="宗地内已开工建设","已开工，不存在土地闲置","估价对象已涉嫌土地闲置"))</f>
        <v>估价对象已涉嫌土地闲置</v>
      </c>
      <c r="D39" s="3312"/>
      <c r="E39" s="3395"/>
      <c r="F39" s="3261"/>
      <c r="G39" s="3261"/>
      <c r="H39" s="3261"/>
      <c r="I39" s="3419"/>
      <c r="J39" s="3261"/>
      <c r="K39" s="3417"/>
      <c r="L39" s="3413"/>
      <c r="M39" s="3413"/>
      <c r="N39" s="3414"/>
      <c r="O39" s="3415"/>
      <c r="P39" s="3414"/>
      <c r="Q39" s="3414"/>
      <c r="R39" s="3414"/>
      <c r="S39" s="3414"/>
      <c r="T39" s="3414"/>
      <c r="U39" s="3414"/>
    </row>
    <row r="40" spans="1:21">
      <c r="A40" s="3308" t="s">
        <v>420</v>
      </c>
      <c r="B40" s="3396"/>
      <c r="C40" s="3396"/>
      <c r="D40" s="3396"/>
      <c r="E40" s="3396"/>
      <c r="F40" s="3396"/>
      <c r="G40" s="3396"/>
      <c r="H40" s="3396"/>
      <c r="I40" s="3419"/>
      <c r="J40" s="3261"/>
      <c r="K40" s="3410">
        <f>COUNTIF(B40:H40,"——")</f>
        <v>0</v>
      </c>
      <c r="L40" s="3305" t="s">
        <v>421</v>
      </c>
      <c r="M40" s="3409" t="s">
        <v>422</v>
      </c>
      <c r="N40" s="3409" t="s">
        <v>288</v>
      </c>
      <c r="O40" s="3409" t="s">
        <v>280</v>
      </c>
      <c r="P40" s="3409" t="s">
        <v>270</v>
      </c>
      <c r="Q40" s="3409" t="s">
        <v>259</v>
      </c>
      <c r="R40" s="3409" t="s">
        <v>247</v>
      </c>
      <c r="S40" s="3410" t="s">
        <v>423</v>
      </c>
      <c r="T40" s="3446" t="str">
        <f>NUMBERSTRING(7-K40,1)&amp;"通"</f>
        <v>七通</v>
      </c>
      <c r="U40" s="3414"/>
    </row>
    <row r="41" spans="1:21">
      <c r="A41" s="3273"/>
      <c r="B41" s="3314" t="s">
        <v>363</v>
      </c>
      <c r="C41" s="3314"/>
      <c r="D41" s="3314"/>
      <c r="E41" s="3314"/>
      <c r="F41" s="3397">
        <f>C10</f>
        <v>0</v>
      </c>
      <c r="G41" s="3261"/>
      <c r="H41" s="3261"/>
      <c r="I41" s="3419"/>
      <c r="J41" s="3261"/>
      <c r="K41" s="3305"/>
      <c r="L41" s="3409">
        <f>B40</f>
        <v>0</v>
      </c>
      <c r="M41" s="3310" t="str">
        <f>B40&amp;"、"&amp;C40</f>
        <v>、</v>
      </c>
      <c r="N41" s="3433" t="str">
        <f>B40&amp;"、"&amp;C40&amp;"、"&amp;D40</f>
        <v>、、</v>
      </c>
      <c r="O41" s="3433" t="str">
        <f>B40&amp;"、"&amp;C40&amp;"、"&amp;D40&amp;"、"&amp;E40</f>
        <v>、、、</v>
      </c>
      <c r="P41" s="3433" t="str">
        <f>B40&amp;"、"&amp;C40&amp;"、"&amp;D40&amp;"、"&amp;E40&amp;"、"&amp;F40</f>
        <v>、、、、</v>
      </c>
      <c r="Q41" s="3433" t="str">
        <f>B40&amp;"、"&amp;C40&amp;"、"&amp;D40&amp;"、"&amp;E40&amp;"、"&amp;F40&amp;"、"&amp;G40</f>
        <v>、、、、、</v>
      </c>
      <c r="R41" s="3433" t="str">
        <f>B40&amp;"、"&amp;C40&amp;"、"&amp;D40&amp;"、"&amp;E40&amp;"、"&amp;F40&amp;"、"&amp;G40&amp;"、"&amp;H40</f>
        <v>、、、、、、</v>
      </c>
      <c r="S41" s="3410"/>
      <c r="T41" s="3310" t="str">
        <f>IF(T40="一通",L41,IF(T40="二通",M41,IF(T40="三通",N41,IF(T40="四通",O41,IF(T40="五通",P41,IF(T40="六通",Q41,R41))))))</f>
        <v>、、、、、、</v>
      </c>
      <c r="U41" s="3414"/>
    </row>
    <row r="42" spans="1:21">
      <c r="A42" s="3398"/>
      <c r="B42" s="3314" t="s">
        <v>376</v>
      </c>
      <c r="C42" s="3314" t="s">
        <v>377</v>
      </c>
      <c r="D42" s="3314" t="s">
        <v>375</v>
      </c>
      <c r="E42" s="3305" t="s">
        <v>164</v>
      </c>
      <c r="F42" s="3399"/>
      <c r="G42" s="3261"/>
      <c r="H42" s="3261"/>
      <c r="I42" s="3419"/>
      <c r="J42" s="3261"/>
      <c r="K42" s="3417"/>
      <c r="L42" s="3413"/>
      <c r="M42" s="3413"/>
      <c r="N42" s="3414"/>
      <c r="O42" s="3415"/>
      <c r="P42" s="3414"/>
      <c r="Q42" s="3414"/>
      <c r="R42" s="3414"/>
      <c r="S42" s="3414"/>
      <c r="T42" s="3414"/>
      <c r="U42" s="3414"/>
    </row>
    <row r="43" spans="1:21">
      <c r="A43" s="3400" t="s">
        <v>217</v>
      </c>
      <c r="B43" s="3401"/>
      <c r="C43" s="3401" t="s">
        <v>302</v>
      </c>
      <c r="D43" s="3401"/>
      <c r="E43" s="3401"/>
      <c r="F43" s="3402"/>
      <c r="G43" s="3261"/>
      <c r="H43" s="3261"/>
      <c r="I43" s="3419"/>
      <c r="J43" s="3261"/>
      <c r="K43" s="3417"/>
      <c r="L43" s="3413"/>
      <c r="M43" s="3413"/>
      <c r="N43" s="3414"/>
      <c r="O43" s="3415"/>
      <c r="P43" s="3414"/>
      <c r="Q43" s="3414"/>
      <c r="R43" s="3414"/>
      <c r="S43" s="3414"/>
      <c r="T43" s="3414"/>
      <c r="U43" s="3414"/>
    </row>
    <row r="44" spans="1:21">
      <c r="A44" s="3400" t="s">
        <v>424</v>
      </c>
      <c r="B44" s="3401"/>
      <c r="C44" s="3401" t="s">
        <v>425</v>
      </c>
      <c r="D44" s="3401"/>
      <c r="E44" s="3384"/>
      <c r="F44" s="3402"/>
      <c r="G44" s="3261"/>
      <c r="H44" s="3261"/>
      <c r="I44" s="3419"/>
      <c r="J44" s="3261"/>
      <c r="K44" s="3417"/>
      <c r="L44" s="3413"/>
      <c r="M44" s="3413"/>
      <c r="N44" s="3414"/>
      <c r="O44" s="3415"/>
      <c r="P44" s="3414"/>
      <c r="Q44" s="3414"/>
      <c r="R44" s="3414"/>
      <c r="S44" s="3414"/>
      <c r="T44" s="3414"/>
      <c r="U44" s="3414"/>
    </row>
    <row r="45" s="3249" customFormat="1" ht="21" spans="1:28">
      <c r="A45" s="3403" t="s">
        <v>426</v>
      </c>
      <c r="B45" s="3404"/>
      <c r="C45" s="3404"/>
      <c r="D45" s="3404"/>
      <c r="E45" s="3404"/>
      <c r="F45" s="3404"/>
      <c r="G45" s="3405"/>
      <c r="H45" s="3405"/>
      <c r="I45" s="3434"/>
      <c r="J45" s="3435"/>
      <c r="K45" s="3436"/>
      <c r="L45" s="3437"/>
      <c r="M45" s="3437"/>
      <c r="N45" s="3405"/>
      <c r="O45" s="3434"/>
      <c r="P45" s="3405"/>
      <c r="Q45" s="3405"/>
      <c r="R45" s="3405"/>
      <c r="S45" s="3405"/>
      <c r="T45" s="3405"/>
      <c r="U45" s="3405"/>
      <c r="V45" s="3447"/>
      <c r="W45" s="3447"/>
      <c r="X45" s="3447"/>
      <c r="Y45" s="3447"/>
      <c r="Z45" s="3447"/>
      <c r="AA45" s="3447"/>
      <c r="AB45" s="3447"/>
    </row>
    <row r="46" spans="1:21">
      <c r="A46" s="3406"/>
      <c r="B46" s="3406"/>
      <c r="C46" s="3406"/>
      <c r="D46" s="3406"/>
      <c r="E46" s="3406"/>
      <c r="F46" s="3406"/>
      <c r="G46" s="3406"/>
      <c r="H46" s="3406"/>
      <c r="I46" s="3438"/>
      <c r="J46" s="3406"/>
      <c r="K46" s="3417"/>
      <c r="L46" s="3413"/>
      <c r="M46" s="3413"/>
      <c r="N46" s="3414"/>
      <c r="O46" s="3415"/>
      <c r="P46" s="3414"/>
      <c r="Q46" s="3414"/>
      <c r="R46" s="3414"/>
      <c r="S46" s="3414"/>
      <c r="T46" s="3414"/>
      <c r="U46" s="3414"/>
    </row>
    <row r="47" spans="1:21">
      <c r="A47" s="3407" t="s">
        <v>427</v>
      </c>
      <c r="B47" s="3408"/>
      <c r="C47" s="3395"/>
      <c r="D47" s="3406"/>
      <c r="E47" s="3406"/>
      <c r="F47" s="3406"/>
      <c r="G47" s="3406"/>
      <c r="H47" s="3406"/>
      <c r="I47" s="3439"/>
      <c r="J47" s="3406"/>
      <c r="K47" s="3417"/>
      <c r="L47" s="3413"/>
      <c r="M47" s="3413"/>
      <c r="N47" s="3414"/>
      <c r="O47" s="3415"/>
      <c r="P47" s="3414"/>
      <c r="Q47" s="3414"/>
      <c r="R47" s="3414"/>
      <c r="S47" s="3414"/>
      <c r="T47" s="3414"/>
      <c r="U47" s="3414"/>
    </row>
    <row r="48" ht="28.5" spans="1:21">
      <c r="A48" s="3305" t="s">
        <v>428</v>
      </c>
      <c r="B48" s="3315" t="s">
        <v>429</v>
      </c>
      <c r="C48" s="3315" t="s">
        <v>430</v>
      </c>
      <c r="D48" s="3315" t="s">
        <v>431</v>
      </c>
      <c r="E48" s="3315" t="s">
        <v>432</v>
      </c>
      <c r="F48" s="3315" t="s">
        <v>433</v>
      </c>
      <c r="G48" s="3315" t="s">
        <v>434</v>
      </c>
      <c r="H48" s="3315" t="s">
        <v>435</v>
      </c>
      <c r="I48" s="3315" t="s">
        <v>436</v>
      </c>
      <c r="J48" s="3440" t="s">
        <v>437</v>
      </c>
      <c r="K48" s="3441" t="s">
        <v>438</v>
      </c>
      <c r="L48" s="3441" t="s">
        <v>439</v>
      </c>
      <c r="M48" s="3441" t="s">
        <v>440</v>
      </c>
      <c r="N48" s="3442" t="s">
        <v>441</v>
      </c>
      <c r="O48" s="3442" t="s">
        <v>442</v>
      </c>
      <c r="P48" s="3442" t="s">
        <v>443</v>
      </c>
      <c r="Q48" s="3448" t="s">
        <v>444</v>
      </c>
      <c r="R48" s="3448" t="s">
        <v>445</v>
      </c>
      <c r="S48" s="3414"/>
      <c r="T48" s="3414"/>
      <c r="U48" s="3414"/>
    </row>
    <row r="49" spans="1:21">
      <c r="A49" s="3409"/>
      <c r="B49" s="3410"/>
      <c r="C49" s="3410"/>
      <c r="D49" s="3410"/>
      <c r="E49" s="3410"/>
      <c r="F49" s="3410"/>
      <c r="G49" s="3410"/>
      <c r="H49" s="3410"/>
      <c r="I49" s="3410"/>
      <c r="J49" s="3443"/>
      <c r="K49" s="3444"/>
      <c r="L49" s="3444"/>
      <c r="M49" s="3399"/>
      <c r="N49" s="3399"/>
      <c r="O49" s="3399"/>
      <c r="P49" s="3399"/>
      <c r="Q49" s="3399"/>
      <c r="R49" s="3399"/>
      <c r="S49" s="3414"/>
      <c r="T49" s="3414"/>
      <c r="U49" s="3414"/>
    </row>
    <row r="50" spans="1:21">
      <c r="A50" s="3409"/>
      <c r="B50" s="3409"/>
      <c r="C50" s="3410"/>
      <c r="D50" s="3410"/>
      <c r="E50" s="3410"/>
      <c r="F50" s="3410"/>
      <c r="G50" s="3410"/>
      <c r="H50" s="3410"/>
      <c r="I50" s="3410"/>
      <c r="J50" s="3443"/>
      <c r="K50" s="3444"/>
      <c r="L50" s="3444"/>
      <c r="M50" s="3399"/>
      <c r="N50" s="3399"/>
      <c r="O50" s="3399"/>
      <c r="P50" s="3399"/>
      <c r="Q50" s="3399"/>
      <c r="R50" s="3399"/>
      <c r="S50" s="3414"/>
      <c r="T50" s="3414"/>
      <c r="U50" s="3414"/>
    </row>
    <row r="51" spans="1:21">
      <c r="A51" s="3409"/>
      <c r="B51" s="3409"/>
      <c r="C51" s="3410"/>
      <c r="D51" s="3410"/>
      <c r="E51" s="3410"/>
      <c r="F51" s="3410"/>
      <c r="G51" s="3410"/>
      <c r="H51" s="3410"/>
      <c r="I51" s="3410"/>
      <c r="J51" s="3443"/>
      <c r="K51" s="3444"/>
      <c r="L51" s="3444"/>
      <c r="M51" s="3399"/>
      <c r="N51" s="3399"/>
      <c r="O51" s="3399"/>
      <c r="P51" s="3399"/>
      <c r="Q51" s="3399"/>
      <c r="R51" s="3399"/>
      <c r="S51" s="3414"/>
      <c r="T51" s="3414"/>
      <c r="U51" s="3414"/>
    </row>
    <row r="52" spans="1:21">
      <c r="A52" s="3409"/>
      <c r="B52" s="3409"/>
      <c r="C52" s="3410"/>
      <c r="D52" s="3410"/>
      <c r="E52" s="3410"/>
      <c r="F52" s="3410"/>
      <c r="G52" s="3410"/>
      <c r="H52" s="3410"/>
      <c r="I52" s="3410"/>
      <c r="J52" s="3443"/>
      <c r="K52" s="3444"/>
      <c r="L52" s="3444"/>
      <c r="M52" s="3399"/>
      <c r="N52" s="3399"/>
      <c r="O52" s="3399"/>
      <c r="P52" s="3399"/>
      <c r="Q52" s="3399"/>
      <c r="R52" s="3399"/>
      <c r="S52" s="3414"/>
      <c r="T52" s="3414"/>
      <c r="U52" s="3414"/>
    </row>
    <row r="53" spans="1:21">
      <c r="A53" s="3409"/>
      <c r="B53" s="3409"/>
      <c r="C53" s="3410"/>
      <c r="D53" s="3410"/>
      <c r="E53" s="3410"/>
      <c r="F53" s="3410"/>
      <c r="G53" s="3410"/>
      <c r="H53" s="3410"/>
      <c r="I53" s="3410"/>
      <c r="J53" s="3443"/>
      <c r="K53" s="3444"/>
      <c r="L53" s="3444"/>
      <c r="M53" s="3399"/>
      <c r="N53" s="3399"/>
      <c r="O53" s="3399"/>
      <c r="P53" s="3399"/>
      <c r="Q53" s="3399"/>
      <c r="R53" s="3399"/>
      <c r="S53" s="3414"/>
      <c r="T53" s="3414"/>
      <c r="U53" s="3414"/>
    </row>
    <row r="54" spans="1:21">
      <c r="A54" s="3409"/>
      <c r="B54" s="3409"/>
      <c r="C54" s="3409"/>
      <c r="D54" s="3409"/>
      <c r="E54" s="3409"/>
      <c r="F54" s="3410"/>
      <c r="G54" s="3409"/>
      <c r="H54" s="3409"/>
      <c r="I54" s="3409"/>
      <c r="J54" s="3445"/>
      <c r="K54" s="3444"/>
      <c r="L54" s="3444"/>
      <c r="M54" s="3444"/>
      <c r="N54" s="3386"/>
      <c r="O54" s="3386"/>
      <c r="P54" s="3386"/>
      <c r="Q54" s="3386"/>
      <c r="R54" s="3386"/>
      <c r="S54" s="3414"/>
      <c r="T54" s="3414"/>
      <c r="U54" s="3414"/>
    </row>
    <row r="55" spans="1:21">
      <c r="A55" s="3409"/>
      <c r="B55" s="3409"/>
      <c r="C55" s="3409"/>
      <c r="D55" s="3409"/>
      <c r="E55" s="3409"/>
      <c r="F55" s="3410"/>
      <c r="G55" s="3409"/>
      <c r="H55" s="3409"/>
      <c r="I55" s="3409"/>
      <c r="J55" s="3445"/>
      <c r="K55" s="3444"/>
      <c r="L55" s="3444"/>
      <c r="M55" s="3444"/>
      <c r="N55" s="3386"/>
      <c r="O55" s="3386"/>
      <c r="P55" s="3386"/>
      <c r="Q55" s="3386"/>
      <c r="R55" s="3386"/>
      <c r="S55" s="3414"/>
      <c r="T55" s="3414"/>
      <c r="U55" s="3414"/>
    </row>
    <row r="56" spans="1:21">
      <c r="A56" s="3409"/>
      <c r="B56" s="3409"/>
      <c r="C56" s="3409"/>
      <c r="D56" s="3409"/>
      <c r="E56" s="3409"/>
      <c r="F56" s="3410"/>
      <c r="G56" s="3409"/>
      <c r="H56" s="3409"/>
      <c r="I56" s="3409"/>
      <c r="J56" s="3445"/>
      <c r="K56" s="3444"/>
      <c r="L56" s="3444"/>
      <c r="M56" s="3444"/>
      <c r="N56" s="3386"/>
      <c r="O56" s="3386"/>
      <c r="P56" s="3386"/>
      <c r="Q56" s="3386"/>
      <c r="R56" s="3386"/>
      <c r="S56" s="3414"/>
      <c r="T56" s="3414"/>
      <c r="U56" s="3414"/>
    </row>
    <row r="57" spans="1:21">
      <c r="A57" s="3409"/>
      <c r="B57" s="3409"/>
      <c r="C57" s="3409"/>
      <c r="D57" s="3409"/>
      <c r="E57" s="3409"/>
      <c r="F57" s="3410"/>
      <c r="G57" s="3409"/>
      <c r="H57" s="3409"/>
      <c r="I57" s="3409"/>
      <c r="J57" s="3445"/>
      <c r="K57" s="3444"/>
      <c r="L57" s="3444"/>
      <c r="M57" s="3444"/>
      <c r="N57" s="3386"/>
      <c r="O57" s="3386"/>
      <c r="P57" s="3386"/>
      <c r="Q57" s="3386"/>
      <c r="R57" s="3386"/>
      <c r="S57" s="3414"/>
      <c r="T57" s="3414"/>
      <c r="U57" s="3414"/>
    </row>
    <row r="58" spans="1:21">
      <c r="A58" s="3409"/>
      <c r="B58" s="3409"/>
      <c r="C58" s="3409"/>
      <c r="D58" s="3409"/>
      <c r="E58" s="3409"/>
      <c r="F58" s="3410"/>
      <c r="G58" s="3409"/>
      <c r="H58" s="3409"/>
      <c r="I58" s="3409"/>
      <c r="J58" s="3445"/>
      <c r="K58" s="3444"/>
      <c r="L58" s="3444"/>
      <c r="M58" s="3444"/>
      <c r="N58" s="3386"/>
      <c r="O58" s="3386"/>
      <c r="P58" s="3386"/>
      <c r="Q58" s="3386"/>
      <c r="R58" s="3386"/>
      <c r="S58" s="3414"/>
      <c r="T58" s="3414"/>
      <c r="U58" s="3414"/>
    </row>
  </sheetData>
  <sheetProtection password="CEE9" sheet="1" formatCells="0" formatColumns="0" formatRows="0" objects="1" scenarios="1"/>
  <mergeCells count="23">
    <mergeCell ref="B1:I1"/>
    <mergeCell ref="B12:D12"/>
    <mergeCell ref="F12:I12"/>
    <mergeCell ref="B13:D13"/>
    <mergeCell ref="F13:I13"/>
    <mergeCell ref="D20:I20"/>
    <mergeCell ref="E21:I21"/>
    <mergeCell ref="E22:I22"/>
    <mergeCell ref="B24:C24"/>
    <mergeCell ref="D24:E24"/>
    <mergeCell ref="C31:D31"/>
    <mergeCell ref="C34:D34"/>
    <mergeCell ref="D35:I35"/>
    <mergeCell ref="B36:C36"/>
    <mergeCell ref="E36:F36"/>
    <mergeCell ref="H36:I36"/>
    <mergeCell ref="B41:E41"/>
    <mergeCell ref="A31:A34"/>
    <mergeCell ref="A35:A39"/>
    <mergeCell ref="B37:B39"/>
    <mergeCell ref="D8:D9"/>
    <mergeCell ref="K24:K26"/>
    <mergeCell ref="S40:S41"/>
  </mergeCells>
  <dataValidations count="30">
    <dataValidation type="list" allowBlank="1" showInputMessage="1" showErrorMessage="1" sqref="B43:E43">
      <formula1>土地级别</formula1>
    </dataValidation>
    <dataValidation type="list" allowBlank="1" showInputMessage="1" showErrorMessage="1" sqref="H16">
      <formula1>"仓储,地下仓储"</formula1>
    </dataValidation>
    <dataValidation type="list" allowBlank="1" showInputMessage="1" showErrorMessage="1" sqref="B4 D4 F4 H4">
      <formula1>土地估价师</formula1>
    </dataValidation>
    <dataValidation type="list" allowBlank="1" showInputMessage="1" showErrorMessage="1" sqref="B35">
      <formula1>"场地平整,宗地内已开工建设,场地未平整"</formula1>
    </dataValidation>
    <dataValidation type="list" allowBlank="1" showInputMessage="1" showErrorMessage="1" sqref="B8">
      <formula1>"抵押,核定资产,出让"</formula1>
    </dataValidation>
    <dataValidation type="list" allowBlank="1" showInputMessage="1" showErrorMessage="1" sqref="E9">
      <formula1>"抵押净值,——"</formula1>
    </dataValidation>
    <dataValidation type="list" allowBlank="1" showInputMessage="1" showErrorMessage="1" sqref="E8">
      <formula1>价值类型2</formula1>
    </dataValidation>
    <dataValidation type="list" allowBlank="1" showInputMessage="1" showErrorMessage="1" sqref="B10">
      <formula1>"北京市,其他："</formula1>
    </dataValidation>
    <dataValidation type="list" allowBlank="1" showInputMessage="1" showErrorMessage="1" sqref="C23 E23 G23">
      <formula1>判定</formula1>
    </dataValidation>
    <dataValidation type="list" allowBlank="1" showInputMessage="1" showErrorMessage="1" sqref="B9">
      <formula1>"抵押价格,市场价格"</formula1>
    </dataValidation>
    <dataValidation type="list" showInputMessage="1" showErrorMessage="1" sqref="B11">
      <formula1>"自然人,企业"</formula1>
    </dataValidation>
    <dataValidation type="list" allowBlank="1" showInputMessage="1" showErrorMessage="1" sqref="E44">
      <formula1>INDIRECT($E$43)</formula1>
    </dataValidation>
    <dataValidation type="list" allowBlank="1" showInputMessage="1" showErrorMessage="1" sqref="C14">
      <formula1>"一致,不一致"</formula1>
    </dataValidation>
    <dataValidation type="list" allowBlank="1" showInputMessage="1" showErrorMessage="1" sqref="F14">
      <formula1>"符合,不符合,——"</formula1>
    </dataValidation>
    <dataValidation type="list" allowBlank="1" showInputMessage="1" showErrorMessage="1" sqref="B16">
      <formula1>"出让,储备,划拨"</formula1>
    </dataValidation>
    <dataValidation type="list" allowBlank="1" showInputMessage="1" showErrorMessage="1" sqref="E25 C25:C26">
      <formula1>"原件,复印件,——"</formula1>
    </dataValidation>
    <dataValidation type="list" allowBlank="1" showInputMessage="1" showErrorMessage="1" sqref="E16">
      <formula1>"商业,地上商业,地下商业,商业及地下商业,旅游"</formula1>
    </dataValidation>
    <dataValidation type="list" allowBlank="1" showInputMessage="1" showErrorMessage="1" sqref="A22">
      <formula1>"建筑与土地面积依据相同,——"</formula1>
    </dataValidation>
    <dataValidation type="list" allowBlank="1" showInputMessage="1" showErrorMessage="1" sqref="F16">
      <formula1>"办公,地上办公,地下办公,办公及地下办公"</formula1>
    </dataValidation>
    <dataValidation type="list" allowBlank="1" showInputMessage="1" showErrorMessage="1" sqref="G16">
      <formula1>"车库,地下车库"</formula1>
    </dataValidation>
    <dataValidation type="list" allowBlank="1" showInputMessage="1" showErrorMessage="1" sqref="C31">
      <formula1>"居住项目,商业项目,办公项目,工业项目,综合项目（居住、综合）,综合项目（商业、办公）"</formula1>
    </dataValidation>
    <dataValidation type="list" allowBlank="1" showInputMessage="1" showErrorMessage="1" sqref="D18:I18">
      <formula1>法定最高年限</formula1>
    </dataValidation>
    <dataValidation type="list" allowBlank="1" showInputMessage="1" showErrorMessage="1" sqref="B25 B26">
      <formula1>"《房屋所有权证》,《国有土地使用证》,《不动产权证书》,——"</formula1>
    </dataValidation>
    <dataValidation type="list" allowBlank="1" showInputMessage="1" showErrorMessage="1" sqref="C32">
      <formula1>"无,低密度住宅,商场,酒店,旅游地产,仓储物流,高新技术产业用地,其他特殊："</formula1>
    </dataValidation>
    <dataValidation type="list" allowBlank="1" showInputMessage="1" showErrorMessage="1" sqref="C33">
      <formula1>"否,全部为保障性住房,含保障性住房"</formula1>
    </dataValidation>
    <dataValidation type="list" allowBlank="1" showInputMessage="1" showErrorMessage="1" sqref="D36">
      <formula1>"平整,未平整,——"</formula1>
    </dataValidation>
    <dataValidation type="list" allowBlank="1" showInputMessage="1" showErrorMessage="1" sqref="B40:H40">
      <formula1>七通一平</formula1>
    </dataValidation>
    <dataValidation type="list" allowBlank="1" showInputMessage="1" showErrorMessage="1" sqref="B44">
      <formula1>INDIRECT($B$43)</formula1>
    </dataValidation>
    <dataValidation type="list" allowBlank="1" showInputMessage="1" showErrorMessage="1" sqref="C44">
      <formula1>INDIRECT($C$43)</formula1>
    </dataValidation>
    <dataValidation type="list" allowBlank="1" showInputMessage="1" showErrorMessage="1" sqref="D44">
      <formula1>INDIRECT($D$43)</formula1>
    </dataValidation>
  </dataValidations>
  <pageMargins left="0.25" right="0.25" top="0.75" bottom="0.75" header="0.3" footer="0.3"/>
  <pageSetup paperSize="9" scale="84" fitToHeight="0"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K40"/>
  <sheetViews>
    <sheetView topLeftCell="D1" workbookViewId="0">
      <selection activeCell="L15" sqref="L15"/>
    </sheetView>
  </sheetViews>
  <sheetFormatPr defaultColWidth="9" defaultRowHeight="13.5"/>
  <cols>
    <col min="1" max="3" width="9" style="3126"/>
    <col min="4" max="4" width="11.25" style="3126" customWidth="1"/>
    <col min="5" max="5" width="10.375" style="3126"/>
    <col min="6" max="6" width="11.125" style="3126" customWidth="1"/>
    <col min="7" max="7" width="8.125" style="3126" customWidth="1"/>
    <col min="8" max="8" width="9.375" style="3126"/>
    <col min="9" max="9" width="8.375" style="3126" customWidth="1"/>
    <col min="10" max="10" width="9" style="3126"/>
    <col min="11" max="11" width="12.625" style="3126"/>
    <col min="12" max="16384" width="9" style="3126"/>
  </cols>
  <sheetData>
    <row r="3" ht="27" spans="3:9">
      <c r="C3" s="3126" t="s">
        <v>446</v>
      </c>
      <c r="F3" s="3126" t="s">
        <v>447</v>
      </c>
      <c r="H3" s="3126" t="s">
        <v>448</v>
      </c>
      <c r="I3" s="3126" t="s">
        <v>449</v>
      </c>
    </row>
    <row r="4" spans="3:9">
      <c r="C4" s="3126" t="s">
        <v>392</v>
      </c>
      <c r="D4" s="3126">
        <v>20471.2</v>
      </c>
      <c r="E4" s="3126">
        <v>20468.06</v>
      </c>
      <c r="H4" s="3126">
        <f>E4-D4</f>
        <v>-3.13999999999942</v>
      </c>
      <c r="I4" s="3126">
        <f>H4/D4</f>
        <v>-0.000153386220641654</v>
      </c>
    </row>
    <row r="5" spans="3:9">
      <c r="C5" s="3126" t="s">
        <v>389</v>
      </c>
      <c r="D5" s="3126" t="s">
        <v>450</v>
      </c>
      <c r="E5" s="3126">
        <v>57817.58</v>
      </c>
      <c r="F5" s="3126" t="s">
        <v>450</v>
      </c>
      <c r="G5" s="3126">
        <v>58356</v>
      </c>
      <c r="H5" s="3126">
        <f t="shared" ref="H5:H11" si="0">E5-G5</f>
        <v>-538.419999999998</v>
      </c>
      <c r="I5" s="3248">
        <f t="shared" ref="I5:I11" si="1">H5/G5</f>
        <v>-0.00922647199945161</v>
      </c>
    </row>
    <row r="6" spans="4:9">
      <c r="D6" s="3126" t="s">
        <v>451</v>
      </c>
      <c r="E6" s="3126">
        <v>25022.71</v>
      </c>
      <c r="F6" s="3126" t="s">
        <v>451</v>
      </c>
      <c r="G6" s="3126">
        <v>24964</v>
      </c>
      <c r="H6" s="3126">
        <f t="shared" si="0"/>
        <v>58.7099999999991</v>
      </c>
      <c r="I6" s="3248">
        <f t="shared" si="1"/>
        <v>0.0023517865726646</v>
      </c>
    </row>
    <row r="7" s="3247" customFormat="1" spans="4:9">
      <c r="D7" s="3247" t="s">
        <v>452</v>
      </c>
      <c r="E7" s="3247">
        <f>SUM(E6)</f>
        <v>25022.71</v>
      </c>
      <c r="F7" s="3247" t="s">
        <v>452</v>
      </c>
      <c r="G7" s="3247">
        <f>SUM(G6)</f>
        <v>24964</v>
      </c>
      <c r="H7" s="3126">
        <f t="shared" si="0"/>
        <v>58.7099999999991</v>
      </c>
      <c r="I7" s="3248">
        <f t="shared" si="1"/>
        <v>0.0023517865726646</v>
      </c>
    </row>
    <row r="8" spans="4:9">
      <c r="D8" s="3126" t="s">
        <v>453</v>
      </c>
      <c r="E8" s="3126">
        <v>26429.67</v>
      </c>
      <c r="F8" s="3126" t="s">
        <v>453</v>
      </c>
      <c r="G8" s="3126">
        <v>22117</v>
      </c>
      <c r="H8" s="3126">
        <f t="shared" si="0"/>
        <v>4312.67</v>
      </c>
      <c r="I8" s="3248">
        <f t="shared" si="1"/>
        <v>0.194993443957137</v>
      </c>
    </row>
    <row r="9" spans="4:11">
      <c r="D9" s="3126" t="s">
        <v>383</v>
      </c>
      <c r="E9" s="3126">
        <v>2196.98</v>
      </c>
      <c r="F9" s="3126" t="s">
        <v>383</v>
      </c>
      <c r="G9" s="3126">
        <v>5730</v>
      </c>
      <c r="H9" s="3126">
        <f t="shared" si="0"/>
        <v>-3533.02</v>
      </c>
      <c r="I9" s="3248">
        <f t="shared" si="1"/>
        <v>-0.616582897033159</v>
      </c>
      <c r="J9" s="3126">
        <f>H8+H9</f>
        <v>779.65</v>
      </c>
      <c r="K9" s="3248">
        <f>J9/G8</f>
        <v>0.0352511642627843</v>
      </c>
    </row>
    <row r="10" spans="4:9">
      <c r="D10" s="3126" t="s">
        <v>454</v>
      </c>
      <c r="E10" s="3126">
        <v>4168.22</v>
      </c>
      <c r="F10" s="3126" t="s">
        <v>454</v>
      </c>
      <c r="G10" s="3126">
        <f>G11-G8-G9</f>
        <v>5545</v>
      </c>
      <c r="H10" s="3126">
        <f t="shared" si="0"/>
        <v>-1376.78</v>
      </c>
      <c r="I10" s="3248">
        <f t="shared" si="1"/>
        <v>-0.24829215509468</v>
      </c>
    </row>
    <row r="11" s="3247" customFormat="1" spans="4:9">
      <c r="D11" s="3247" t="s">
        <v>455</v>
      </c>
      <c r="E11" s="3247">
        <f>SUM(E8:E10)</f>
        <v>32794.87</v>
      </c>
      <c r="F11" s="3247" t="s">
        <v>455</v>
      </c>
      <c r="G11" s="3247">
        <v>33392</v>
      </c>
      <c r="H11" s="3126">
        <f t="shared" si="0"/>
        <v>-597.130000000005</v>
      </c>
      <c r="I11" s="3248">
        <f t="shared" si="1"/>
        <v>-0.0178824269286058</v>
      </c>
    </row>
    <row r="14" spans="8:9">
      <c r="H14" s="3126">
        <f>H8+H9</f>
        <v>779.649999999998</v>
      </c>
      <c r="I14" s="3126">
        <f>H14/G8</f>
        <v>0.0352511642627842</v>
      </c>
    </row>
    <row r="19" spans="3:3">
      <c r="C19" s="3126" t="s">
        <v>456</v>
      </c>
    </row>
    <row r="20" spans="4:5">
      <c r="D20" s="3126" t="s">
        <v>450</v>
      </c>
      <c r="E20" s="3126">
        <v>57817.58</v>
      </c>
    </row>
    <row r="21" ht="27" spans="4:5">
      <c r="D21" s="3126" t="s">
        <v>457</v>
      </c>
      <c r="E21" s="3126">
        <v>24903.66</v>
      </c>
    </row>
    <row r="22" spans="4:5">
      <c r="D22" s="3126" t="s">
        <v>458</v>
      </c>
      <c r="E22" s="3126">
        <v>32794.87</v>
      </c>
    </row>
    <row r="23" ht="27" spans="4:5">
      <c r="D23" s="3126" t="s">
        <v>459</v>
      </c>
      <c r="E23" s="3126">
        <v>119.05</v>
      </c>
    </row>
    <row r="27" spans="3:3">
      <c r="C27" s="3126" t="s">
        <v>460</v>
      </c>
    </row>
    <row r="28" spans="4:8">
      <c r="D28" s="3126">
        <v>-4</v>
      </c>
      <c r="E28" s="3126">
        <v>1327.05</v>
      </c>
      <c r="G28" s="3126" t="s">
        <v>458</v>
      </c>
      <c r="H28" s="3126">
        <f>E28+E29+E30+E31+E32+E33</f>
        <v>32794.87</v>
      </c>
    </row>
    <row r="29" spans="4:5">
      <c r="D29" s="3126">
        <v>-3</v>
      </c>
      <c r="E29" s="3126">
        <v>10860.95</v>
      </c>
    </row>
    <row r="30" spans="4:5">
      <c r="D30" s="3126" t="s">
        <v>461</v>
      </c>
      <c r="E30" s="3126">
        <v>370.33</v>
      </c>
    </row>
    <row r="31" spans="4:5">
      <c r="D31" s="3126">
        <v>-2</v>
      </c>
      <c r="E31" s="3126">
        <v>8828.85</v>
      </c>
    </row>
    <row r="32" spans="4:5">
      <c r="D32" s="3126">
        <v>-1</v>
      </c>
      <c r="E32" s="3126">
        <v>11182.76</v>
      </c>
    </row>
    <row r="33" ht="27" spans="4:5">
      <c r="D33" s="3126" t="s">
        <v>462</v>
      </c>
      <c r="E33" s="3126">
        <v>224.93</v>
      </c>
    </row>
    <row r="34" spans="4:8">
      <c r="D34" s="3126">
        <v>1</v>
      </c>
      <c r="E34" s="3126">
        <v>5971.89</v>
      </c>
      <c r="G34" s="3126" t="s">
        <v>463</v>
      </c>
      <c r="H34" s="3126">
        <f>E34+E35+E36+E37+E38+E39+E40</f>
        <v>25022.71</v>
      </c>
    </row>
    <row r="35" spans="4:5">
      <c r="D35" s="3126">
        <v>2</v>
      </c>
      <c r="E35" s="3126">
        <v>4238.24</v>
      </c>
    </row>
    <row r="36" ht="27" spans="4:4">
      <c r="D36" s="3126" t="s">
        <v>464</v>
      </c>
    </row>
    <row r="37" spans="4:5">
      <c r="D37" s="3126">
        <v>3</v>
      </c>
      <c r="E37" s="3126">
        <v>5522.43</v>
      </c>
    </row>
    <row r="38" spans="4:5">
      <c r="D38" s="3126">
        <v>4</v>
      </c>
      <c r="E38" s="3126">
        <v>5536.6</v>
      </c>
    </row>
    <row r="39" spans="4:5">
      <c r="D39" s="3126">
        <v>5</v>
      </c>
      <c r="E39" s="3126">
        <v>3634.5</v>
      </c>
    </row>
    <row r="40" spans="4:5">
      <c r="D40" s="3126" t="s">
        <v>465</v>
      </c>
      <c r="E40" s="3126">
        <v>119.05</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78"/>
  <sheetViews>
    <sheetView view="pageBreakPreview" zoomScaleNormal="100" workbookViewId="0">
      <pane xSplit="4" ySplit="12" topLeftCell="E13" activePane="bottomRight" state="frozen"/>
      <selection/>
      <selection pane="topRight"/>
      <selection pane="bottomLeft"/>
      <selection pane="bottomRight" activeCell="A3" sqref="A3"/>
    </sheetView>
  </sheetViews>
  <sheetFormatPr defaultColWidth="8.875" defaultRowHeight="14.25"/>
  <cols>
    <col min="1" max="1" width="10.625" style="3134" customWidth="1"/>
    <col min="2" max="2" width="11" style="3134" customWidth="1"/>
    <col min="3" max="3" width="10.375" style="3134" customWidth="1"/>
    <col min="4" max="4" width="9.125" style="3134" customWidth="1"/>
    <col min="5" max="6" width="10" style="3132" customWidth="1"/>
    <col min="7" max="8" width="10" style="3134" customWidth="1"/>
    <col min="9" max="9" width="10.625" style="3134" customWidth="1"/>
    <col min="10" max="10" width="9.5" style="3134" hidden="1" customWidth="1"/>
    <col min="11" max="11" width="11" style="3134" customWidth="1"/>
    <col min="12" max="12" width="9.5" style="3134" hidden="1" customWidth="1"/>
    <col min="13" max="14" width="9.5" style="3134" customWidth="1"/>
    <col min="15" max="15" width="9.875" style="3134" customWidth="1"/>
    <col min="16" max="16" width="9.75" style="3134" customWidth="1"/>
    <col min="17" max="17" width="9.375" style="3134" customWidth="1"/>
    <col min="18" max="18" width="9.25" style="3134" customWidth="1"/>
    <col min="19" max="19" width="10.875" style="3134" customWidth="1"/>
    <col min="20" max="21" width="10.75" style="3134" customWidth="1"/>
    <col min="22" max="22" width="10.875" style="3134" customWidth="1"/>
    <col min="23" max="27" width="10.75" style="3134" customWidth="1"/>
    <col min="28" max="28" width="10.875" style="3134" customWidth="1"/>
    <col min="29" max="29" width="11" style="3134" customWidth="1"/>
    <col min="30" max="30" width="10" style="3134" customWidth="1"/>
    <col min="31" max="31" width="9.75" style="3134" customWidth="1"/>
    <col min="32" max="46" width="9.5" style="3134" customWidth="1"/>
    <col min="47" max="47" width="18.125" style="3134" customWidth="1"/>
    <col min="48" max="50" width="9.75" style="3134" customWidth="1"/>
    <col min="51" max="55" width="10.5" style="3134" customWidth="1"/>
    <col min="56" max="56" width="9.5" style="3134" customWidth="1"/>
    <col min="57" max="63" width="9.125" style="3134" customWidth="1"/>
    <col min="64" max="64" width="9.5" style="3134" customWidth="1"/>
    <col min="65" max="65" width="9.125" style="3134" customWidth="1"/>
    <col min="66" max="66" width="9.5" style="3134" customWidth="1"/>
    <col min="67" max="69" width="9.125" style="3134" customWidth="1"/>
    <col min="70" max="70" width="9.5" style="3134" customWidth="1"/>
    <col min="71" max="71" width="9" style="3134" customWidth="1"/>
    <col min="72" max="72" width="9.125" style="3134" customWidth="1"/>
    <col min="73" max="16384" width="8.875" style="3134"/>
  </cols>
  <sheetData>
    <row r="1" ht="20.25" spans="1:72">
      <c r="A1" s="3135" t="s">
        <v>466</v>
      </c>
      <c r="B1" s="3136"/>
      <c r="C1" s="3136"/>
      <c r="D1" s="3136"/>
      <c r="E1" s="3136"/>
      <c r="F1" s="3136"/>
      <c r="G1" s="3136"/>
      <c r="H1" s="3136"/>
      <c r="I1" s="3136"/>
      <c r="J1" s="3136"/>
      <c r="K1" s="3136"/>
      <c r="L1" s="3136"/>
      <c r="M1" s="3136"/>
      <c r="N1" s="3136"/>
      <c r="O1" s="3136"/>
      <c r="P1" s="3136"/>
      <c r="Q1" s="3136"/>
      <c r="R1" s="3136"/>
      <c r="S1" s="3136"/>
      <c r="T1" s="3136"/>
      <c r="U1" s="3136"/>
      <c r="V1" s="3136"/>
      <c r="W1" s="3136"/>
      <c r="X1" s="3136"/>
      <c r="Y1" s="3136"/>
      <c r="Z1" s="3136"/>
      <c r="AA1" s="3136"/>
      <c r="AB1" s="3136"/>
      <c r="AC1" s="3136"/>
      <c r="AD1" s="3136"/>
      <c r="AE1" s="3136"/>
      <c r="AF1" s="3136"/>
      <c r="AG1" s="3136"/>
      <c r="AH1" s="3136"/>
      <c r="AI1" s="3136"/>
      <c r="AJ1" s="3136"/>
      <c r="AK1" s="3136"/>
      <c r="AL1" s="3136"/>
      <c r="AM1" s="3136"/>
      <c r="AN1" s="3136"/>
      <c r="AO1" s="3136"/>
      <c r="AP1" s="3136"/>
      <c r="AQ1" s="3136"/>
      <c r="AR1" s="3136"/>
      <c r="AS1" s="3136"/>
      <c r="AT1" s="3136"/>
      <c r="AU1" s="3136"/>
      <c r="AV1" s="3203" t="s">
        <v>467</v>
      </c>
      <c r="AW1" s="3136"/>
      <c r="AX1" s="3136"/>
      <c r="AY1" s="3136"/>
      <c r="AZ1" s="3136"/>
      <c r="BA1" s="3136"/>
      <c r="BB1" s="3136"/>
      <c r="BC1" s="3136"/>
      <c r="BD1" s="3136"/>
      <c r="BE1" s="3136"/>
      <c r="BF1" s="3136"/>
      <c r="BG1" s="3136"/>
      <c r="BH1" s="3136"/>
      <c r="BI1" s="3136"/>
      <c r="BJ1" s="3136"/>
      <c r="BK1" s="3136"/>
      <c r="BL1" s="3136"/>
      <c r="BM1" s="3136"/>
      <c r="BN1" s="3136"/>
      <c r="BO1" s="3136"/>
      <c r="BP1" s="3136"/>
      <c r="BQ1" s="3136"/>
      <c r="BR1" s="3136"/>
      <c r="BS1" s="3136"/>
      <c r="BT1" s="3136"/>
    </row>
    <row r="2" s="189" customFormat="1" ht="24" spans="1:72">
      <c r="A2" s="126" t="s">
        <v>468</v>
      </c>
      <c r="B2" s="126" t="s">
        <v>469</v>
      </c>
      <c r="C2" s="126" t="s">
        <v>470</v>
      </c>
      <c r="D2" s="3137"/>
      <c r="E2" s="2463"/>
      <c r="F2" s="2454"/>
      <c r="G2" s="3137"/>
      <c r="H2" s="3137"/>
      <c r="I2" s="3137"/>
      <c r="J2" s="3137"/>
      <c r="K2" s="3137"/>
      <c r="L2" s="3137"/>
      <c r="M2" s="3137"/>
      <c r="N2" s="3137"/>
      <c r="O2" s="3137"/>
      <c r="P2" s="3137"/>
      <c r="Q2" s="3137"/>
      <c r="R2" s="3137"/>
      <c r="S2" s="3137"/>
      <c r="T2" s="3137"/>
      <c r="U2" s="3137"/>
      <c r="V2" s="3137"/>
      <c r="W2" s="3137"/>
      <c r="X2" s="3137"/>
      <c r="Y2" s="3137"/>
      <c r="Z2" s="3137"/>
      <c r="AA2" s="3137"/>
      <c r="AB2" s="3137"/>
      <c r="AC2" s="3137"/>
      <c r="AD2" s="3137"/>
      <c r="AE2" s="3137"/>
      <c r="AF2" s="3137"/>
      <c r="AG2" s="3137"/>
      <c r="AH2" s="3137"/>
      <c r="AI2" s="3137"/>
      <c r="AJ2" s="3137"/>
      <c r="AK2" s="3137"/>
      <c r="AL2" s="3137"/>
      <c r="AM2" s="3137"/>
      <c r="AN2" s="3137"/>
      <c r="AO2" s="3137"/>
      <c r="AP2" s="3137"/>
      <c r="AQ2" s="3137"/>
      <c r="AR2" s="3137"/>
      <c r="AS2" s="3137"/>
      <c r="AT2" s="3137"/>
      <c r="AU2" s="3137"/>
      <c r="AV2" s="3137"/>
      <c r="AW2" s="3137"/>
      <c r="AX2" s="3137"/>
      <c r="AY2" s="3220" t="s">
        <v>471</v>
      </c>
      <c r="AZ2" s="3221" t="s">
        <v>472</v>
      </c>
      <c r="BA2" s="3222" t="s">
        <v>473</v>
      </c>
      <c r="BB2" s="3137"/>
      <c r="BC2" s="3137"/>
      <c r="BD2" s="3137"/>
      <c r="BE2" s="3137"/>
      <c r="BF2" s="3137"/>
      <c r="BG2" s="3137"/>
      <c r="BH2" s="3137"/>
      <c r="BI2" s="3137"/>
      <c r="BJ2" s="3137"/>
      <c r="BK2" s="3137"/>
      <c r="BL2" s="3137"/>
      <c r="BM2" s="3137"/>
      <c r="BN2" s="3137"/>
      <c r="BO2" s="3137"/>
      <c r="BP2" s="3137"/>
      <c r="BQ2" s="3137"/>
      <c r="BR2" s="3137"/>
      <c r="BS2" s="3137"/>
      <c r="BT2" s="3137"/>
    </row>
    <row r="3" s="189" customFormat="1" ht="12.75" spans="1:72">
      <c r="A3" s="3138">
        <v>20468.06</v>
      </c>
      <c r="B3" s="3139">
        <f>IF(C3="否",G5-AT5,G5)</f>
        <v>57817.58</v>
      </c>
      <c r="C3" s="3140"/>
      <c r="D3" s="3137"/>
      <c r="E3" s="3137"/>
      <c r="F3" s="3137"/>
      <c r="G3" s="3137"/>
      <c r="H3" s="3137"/>
      <c r="I3" s="3137"/>
      <c r="J3" s="3137"/>
      <c r="K3" s="3137"/>
      <c r="L3" s="3137"/>
      <c r="M3" s="3137"/>
      <c r="N3" s="3137"/>
      <c r="O3" s="3137"/>
      <c r="P3" s="3137"/>
      <c r="Q3" s="3137"/>
      <c r="R3" s="3137"/>
      <c r="S3" s="3137"/>
      <c r="T3" s="3137"/>
      <c r="U3" s="3137"/>
      <c r="V3" s="3137"/>
      <c r="W3" s="3137"/>
      <c r="X3" s="3137"/>
      <c r="Y3" s="3137"/>
      <c r="Z3" s="3137"/>
      <c r="AA3" s="3137"/>
      <c r="AB3" s="3137"/>
      <c r="AC3" s="3137"/>
      <c r="AD3" s="3137"/>
      <c r="AE3" s="3137"/>
      <c r="AF3" s="3137"/>
      <c r="AG3" s="3137"/>
      <c r="AH3" s="3137"/>
      <c r="AI3" s="3137"/>
      <c r="AJ3" s="3137"/>
      <c r="AK3" s="3137"/>
      <c r="AL3" s="3137"/>
      <c r="AM3" s="3137"/>
      <c r="AN3" s="3137"/>
      <c r="AO3" s="3137"/>
      <c r="AP3" s="3137"/>
      <c r="AQ3" s="3137"/>
      <c r="AR3" s="3137"/>
      <c r="AS3" s="3137"/>
      <c r="AT3" s="3137"/>
      <c r="AU3" s="3137"/>
      <c r="AV3" s="3137"/>
      <c r="AW3" s="3137"/>
      <c r="AX3" s="3137"/>
      <c r="AY3" s="3223"/>
      <c r="AZ3" s="3224"/>
      <c r="BA3" s="3225"/>
      <c r="BB3" s="3137"/>
      <c r="BC3" s="3137"/>
      <c r="BD3" s="3137"/>
      <c r="BE3" s="3137"/>
      <c r="BF3" s="3137"/>
      <c r="BG3" s="3137"/>
      <c r="BH3" s="3137"/>
      <c r="BI3" s="3137"/>
      <c r="BJ3" s="3137"/>
      <c r="BK3" s="3137"/>
      <c r="BL3" s="3137"/>
      <c r="BM3" s="3137"/>
      <c r="BN3" s="3137"/>
      <c r="BO3" s="3137"/>
      <c r="BP3" s="3137"/>
      <c r="BQ3" s="3137"/>
      <c r="BR3" s="3137"/>
      <c r="BS3" s="3137"/>
      <c r="BT3" s="3137"/>
    </row>
    <row r="4" s="3130" customFormat="1" ht="13.5" spans="1:72">
      <c r="A4" s="3141"/>
      <c r="B4" s="3142"/>
      <c r="C4" s="3143"/>
      <c r="D4" s="3137"/>
      <c r="E4" s="3137"/>
      <c r="F4" s="3137"/>
      <c r="G4" s="3137"/>
      <c r="H4" s="3137"/>
      <c r="I4" s="3137"/>
      <c r="J4" s="3137"/>
      <c r="K4" s="3137"/>
      <c r="L4" s="3137"/>
      <c r="M4" s="3137"/>
      <c r="N4" s="3137"/>
      <c r="O4" s="3137"/>
      <c r="P4" s="3137"/>
      <c r="Q4" s="3137"/>
      <c r="R4" s="3137"/>
      <c r="S4" s="3137"/>
      <c r="T4" s="3137"/>
      <c r="U4" s="3137"/>
      <c r="V4" s="3137"/>
      <c r="W4" s="3137"/>
      <c r="X4" s="3137"/>
      <c r="Y4" s="3137"/>
      <c r="Z4" s="3137"/>
      <c r="AA4" s="3137"/>
      <c r="AB4" s="3137"/>
      <c r="AC4" s="3137"/>
      <c r="AD4" s="3137"/>
      <c r="AE4" s="3137"/>
      <c r="AF4" s="3137"/>
      <c r="AG4" s="3137"/>
      <c r="AH4" s="3137"/>
      <c r="AI4" s="3137"/>
      <c r="AJ4" s="3137"/>
      <c r="AK4" s="3137"/>
      <c r="AL4" s="3137"/>
      <c r="AM4" s="3137"/>
      <c r="AN4" s="3137"/>
      <c r="AO4" s="3137"/>
      <c r="AP4" s="3137"/>
      <c r="AQ4" s="3137"/>
      <c r="AR4" s="3137"/>
      <c r="AS4" s="3137"/>
      <c r="AT4" s="3137"/>
      <c r="AU4" s="3137"/>
      <c r="AV4" s="3137"/>
      <c r="AW4" s="3137"/>
      <c r="AX4" s="3137"/>
      <c r="AY4" s="3137"/>
      <c r="AZ4" s="3137"/>
      <c r="BA4" s="3226"/>
      <c r="BB4" s="3137"/>
      <c r="BC4" s="3137"/>
      <c r="BD4" s="3137"/>
      <c r="BE4" s="3137"/>
      <c r="BF4" s="3137"/>
      <c r="BG4" s="3137"/>
      <c r="BH4" s="3137"/>
      <c r="BI4" s="3137"/>
      <c r="BJ4" s="3137"/>
      <c r="BK4" s="3137"/>
      <c r="BL4" s="3137"/>
      <c r="BM4" s="3137"/>
      <c r="BN4" s="3137"/>
      <c r="BO4" s="3137"/>
      <c r="BP4" s="3137"/>
      <c r="BQ4" s="3137"/>
      <c r="BR4" s="3137"/>
      <c r="BS4" s="3137"/>
      <c r="BT4" s="3137"/>
    </row>
    <row r="5" s="189" customFormat="1" ht="12.75" spans="1:72">
      <c r="A5" s="1011" t="s">
        <v>474</v>
      </c>
      <c r="B5" s="962"/>
      <c r="C5" s="962"/>
      <c r="D5" s="2363"/>
      <c r="E5" s="3144" t="s">
        <v>138</v>
      </c>
      <c r="F5" s="3144">
        <f>SUM(F13:F572)</f>
        <v>0</v>
      </c>
      <c r="G5" s="3144">
        <f>SUM(G13:G572)</f>
        <v>57817.58</v>
      </c>
      <c r="H5" s="3144">
        <f t="shared" ref="H5:AT5" si="0">SUM(H13:H641)</f>
        <v>53649.36</v>
      </c>
      <c r="I5" s="3144">
        <f t="shared" si="0"/>
        <v>25022.71</v>
      </c>
      <c r="J5" s="3144">
        <f t="shared" si="0"/>
        <v>0</v>
      </c>
      <c r="K5" s="3144">
        <f t="shared" si="0"/>
        <v>26429.67</v>
      </c>
      <c r="L5" s="3144">
        <f t="shared" si="0"/>
        <v>0</v>
      </c>
      <c r="M5" s="3144">
        <f t="shared" si="0"/>
        <v>2196.98</v>
      </c>
      <c r="N5" s="3144">
        <f t="shared" si="0"/>
        <v>0</v>
      </c>
      <c r="O5" s="3144">
        <f t="shared" si="0"/>
        <v>0</v>
      </c>
      <c r="P5" s="3144">
        <f t="shared" si="0"/>
        <v>0</v>
      </c>
      <c r="Q5" s="3144">
        <f t="shared" si="0"/>
        <v>0</v>
      </c>
      <c r="R5" s="3144">
        <f t="shared" si="0"/>
        <v>0</v>
      </c>
      <c r="S5" s="3144">
        <f t="shared" si="0"/>
        <v>0</v>
      </c>
      <c r="T5" s="3144">
        <f t="shared" si="0"/>
        <v>0</v>
      </c>
      <c r="U5" s="3144">
        <f t="shared" si="0"/>
        <v>0</v>
      </c>
      <c r="V5" s="3144">
        <f t="shared" si="0"/>
        <v>0</v>
      </c>
      <c r="W5" s="3144">
        <f t="shared" si="0"/>
        <v>0</v>
      </c>
      <c r="X5" s="3144">
        <f t="shared" si="0"/>
        <v>0</v>
      </c>
      <c r="Y5" s="3144">
        <f t="shared" si="0"/>
        <v>0</v>
      </c>
      <c r="Z5" s="3144">
        <f t="shared" si="0"/>
        <v>0</v>
      </c>
      <c r="AA5" s="3144">
        <f t="shared" si="0"/>
        <v>0</v>
      </c>
      <c r="AB5" s="3144">
        <f t="shared" si="0"/>
        <v>0</v>
      </c>
      <c r="AC5" s="3144">
        <f t="shared" si="0"/>
        <v>4168.22</v>
      </c>
      <c r="AD5" s="3144">
        <f t="shared" si="0"/>
        <v>0</v>
      </c>
      <c r="AE5" s="3144">
        <f t="shared" si="0"/>
        <v>0</v>
      </c>
      <c r="AF5" s="3144">
        <f t="shared" si="0"/>
        <v>0</v>
      </c>
      <c r="AG5" s="3144">
        <f t="shared" si="0"/>
        <v>0</v>
      </c>
      <c r="AH5" s="3144">
        <f t="shared" si="0"/>
        <v>0</v>
      </c>
      <c r="AI5" s="3144">
        <f t="shared" si="0"/>
        <v>0</v>
      </c>
      <c r="AJ5" s="3144">
        <f t="shared" si="0"/>
        <v>0</v>
      </c>
      <c r="AK5" s="3144">
        <f t="shared" si="0"/>
        <v>0</v>
      </c>
      <c r="AL5" s="3144">
        <f t="shared" si="0"/>
        <v>0</v>
      </c>
      <c r="AM5" s="3144">
        <f t="shared" si="0"/>
        <v>0</v>
      </c>
      <c r="AN5" s="3144">
        <f t="shared" si="0"/>
        <v>4168.22</v>
      </c>
      <c r="AO5" s="3144">
        <f t="shared" si="0"/>
        <v>0</v>
      </c>
      <c r="AP5" s="3144">
        <f t="shared" si="0"/>
        <v>0</v>
      </c>
      <c r="AQ5" s="3144">
        <f t="shared" si="0"/>
        <v>0</v>
      </c>
      <c r="AR5" s="3144">
        <f t="shared" si="0"/>
        <v>0</v>
      </c>
      <c r="AS5" s="3144">
        <f t="shared" si="0"/>
        <v>0</v>
      </c>
      <c r="AT5" s="3144">
        <f t="shared" si="0"/>
        <v>0</v>
      </c>
      <c r="AU5" s="2227"/>
      <c r="AV5" s="1011" t="s">
        <v>474</v>
      </c>
      <c r="AW5" s="962"/>
      <c r="AX5" s="962"/>
      <c r="AY5" s="3227" t="s">
        <v>138</v>
      </c>
      <c r="AZ5" s="3228">
        <f t="shared" ref="AZ5:BT5" si="1">SUM(AZ13:AZ641)</f>
        <v>57817.58</v>
      </c>
      <c r="BA5" s="3228">
        <f t="shared" si="1"/>
        <v>53649.36</v>
      </c>
      <c r="BB5" s="3228">
        <f t="shared" si="1"/>
        <v>25022.71</v>
      </c>
      <c r="BC5" s="3228">
        <f t="shared" si="1"/>
        <v>26429.67</v>
      </c>
      <c r="BD5" s="3228">
        <f t="shared" si="1"/>
        <v>2196.98</v>
      </c>
      <c r="BE5" s="3228">
        <f t="shared" si="1"/>
        <v>0</v>
      </c>
      <c r="BF5" s="3228">
        <f t="shared" si="1"/>
        <v>0</v>
      </c>
      <c r="BG5" s="3228">
        <f t="shared" si="1"/>
        <v>0</v>
      </c>
      <c r="BH5" s="3228">
        <f t="shared" si="1"/>
        <v>0</v>
      </c>
      <c r="BI5" s="3228">
        <f t="shared" si="1"/>
        <v>0</v>
      </c>
      <c r="BJ5" s="3228">
        <f t="shared" si="1"/>
        <v>0</v>
      </c>
      <c r="BK5" s="3228">
        <f t="shared" si="1"/>
        <v>0</v>
      </c>
      <c r="BL5" s="3228">
        <f t="shared" si="1"/>
        <v>4168.22</v>
      </c>
      <c r="BM5" s="3228">
        <f t="shared" si="1"/>
        <v>0</v>
      </c>
      <c r="BN5" s="3228">
        <f t="shared" si="1"/>
        <v>0</v>
      </c>
      <c r="BO5" s="3228">
        <f t="shared" si="1"/>
        <v>0</v>
      </c>
      <c r="BP5" s="3228">
        <f t="shared" si="1"/>
        <v>0</v>
      </c>
      <c r="BQ5" s="3228">
        <f t="shared" si="1"/>
        <v>0</v>
      </c>
      <c r="BR5" s="3228">
        <f t="shared" si="1"/>
        <v>4168.22</v>
      </c>
      <c r="BS5" s="3228">
        <f t="shared" si="1"/>
        <v>0</v>
      </c>
      <c r="BT5" s="3237">
        <f t="shared" si="1"/>
        <v>0</v>
      </c>
    </row>
    <row r="6" s="3131" customFormat="1" ht="12.75" spans="1:72">
      <c r="A6" s="1011" t="s">
        <v>475</v>
      </c>
      <c r="B6" s="3145"/>
      <c r="C6" s="3145"/>
      <c r="D6" s="3146"/>
      <c r="E6" s="3144">
        <f>H6+AC6+AT6</f>
        <v>20468.06</v>
      </c>
      <c r="F6" s="3144" t="s">
        <v>138</v>
      </c>
      <c r="G6" s="3144" t="s">
        <v>138</v>
      </c>
      <c r="H6" s="3147">
        <f>SUMIF(I$12:AB$12,"总值",I6:AB6)</f>
        <v>18992.46</v>
      </c>
      <c r="I6" s="3144">
        <f t="shared" ref="I6:AB6" si="2">ROUND($A$3*I5/$B$3,2)</f>
        <v>8858.31</v>
      </c>
      <c r="J6" s="3144">
        <f t="shared" si="2"/>
        <v>0</v>
      </c>
      <c r="K6" s="3144">
        <f t="shared" si="2"/>
        <v>9356.39</v>
      </c>
      <c r="L6" s="3144">
        <f t="shared" si="2"/>
        <v>0</v>
      </c>
      <c r="M6" s="3144">
        <f t="shared" si="2"/>
        <v>777.76</v>
      </c>
      <c r="N6" s="3144">
        <f t="shared" si="2"/>
        <v>0</v>
      </c>
      <c r="O6" s="3144">
        <f t="shared" si="2"/>
        <v>0</v>
      </c>
      <c r="P6" s="3144">
        <f t="shared" si="2"/>
        <v>0</v>
      </c>
      <c r="Q6" s="3144">
        <f t="shared" si="2"/>
        <v>0</v>
      </c>
      <c r="R6" s="3144">
        <f t="shared" si="2"/>
        <v>0</v>
      </c>
      <c r="S6" s="3144">
        <f t="shared" si="2"/>
        <v>0</v>
      </c>
      <c r="T6" s="3144">
        <f t="shared" si="2"/>
        <v>0</v>
      </c>
      <c r="U6" s="3144">
        <f t="shared" si="2"/>
        <v>0</v>
      </c>
      <c r="V6" s="3144">
        <f t="shared" si="2"/>
        <v>0</v>
      </c>
      <c r="W6" s="3144">
        <f t="shared" si="2"/>
        <v>0</v>
      </c>
      <c r="X6" s="3144">
        <f t="shared" si="2"/>
        <v>0</v>
      </c>
      <c r="Y6" s="3144">
        <f t="shared" si="2"/>
        <v>0</v>
      </c>
      <c r="Z6" s="3144">
        <f t="shared" si="2"/>
        <v>0</v>
      </c>
      <c r="AA6" s="3144">
        <f t="shared" si="2"/>
        <v>0</v>
      </c>
      <c r="AB6" s="3144">
        <f t="shared" si="2"/>
        <v>0</v>
      </c>
      <c r="AC6" s="3147">
        <f>SUMIF(AD$12:AS$12,"总值",AD6:AS6)</f>
        <v>1475.6</v>
      </c>
      <c r="AD6" s="3144">
        <f t="shared" ref="AD6:AS6" si="3">ROUND($A$3*AD5/$B$3,2)</f>
        <v>0</v>
      </c>
      <c r="AE6" s="3144">
        <f t="shared" si="3"/>
        <v>0</v>
      </c>
      <c r="AF6" s="3144">
        <f t="shared" si="3"/>
        <v>0</v>
      </c>
      <c r="AG6" s="3144">
        <f t="shared" si="3"/>
        <v>0</v>
      </c>
      <c r="AH6" s="3144">
        <f t="shared" si="3"/>
        <v>0</v>
      </c>
      <c r="AI6" s="3144">
        <f t="shared" si="3"/>
        <v>0</v>
      </c>
      <c r="AJ6" s="3144">
        <f t="shared" si="3"/>
        <v>0</v>
      </c>
      <c r="AK6" s="3144">
        <f t="shared" si="3"/>
        <v>0</v>
      </c>
      <c r="AL6" s="3144">
        <f t="shared" si="3"/>
        <v>0</v>
      </c>
      <c r="AM6" s="3144">
        <f t="shared" si="3"/>
        <v>0</v>
      </c>
      <c r="AN6" s="3144">
        <f t="shared" si="3"/>
        <v>1475.6</v>
      </c>
      <c r="AO6" s="3144">
        <f t="shared" si="3"/>
        <v>0</v>
      </c>
      <c r="AP6" s="3144">
        <f t="shared" si="3"/>
        <v>0</v>
      </c>
      <c r="AQ6" s="3144">
        <f t="shared" si="3"/>
        <v>0</v>
      </c>
      <c r="AR6" s="3144">
        <f t="shared" si="3"/>
        <v>0</v>
      </c>
      <c r="AS6" s="3144">
        <f t="shared" si="3"/>
        <v>0</v>
      </c>
      <c r="AT6" s="3147">
        <f>IF(C3="是",ROUND($A$3*AT5/$B$3,2),0)</f>
        <v>0</v>
      </c>
      <c r="AU6" s="3204"/>
      <c r="AV6" s="1011" t="s">
        <v>475</v>
      </c>
      <c r="AW6" s="3145"/>
      <c r="AX6" s="3145"/>
      <c r="AY6" s="3229">
        <f>IF(AY3&gt;0,AY3,ROUND($A$3*AZ5/$B$3,2))</f>
        <v>20468.06</v>
      </c>
      <c r="AZ6" s="3144" t="s">
        <v>138</v>
      </c>
      <c r="BA6" s="3144">
        <f>ROUND($AY$6*BA5/$AZ$5,2)</f>
        <v>18992.46</v>
      </c>
      <c r="BB6" s="3144">
        <f>ROUND($AY$6*BB5/$AZ$5,2)</f>
        <v>8858.31</v>
      </c>
      <c r="BC6" s="3144">
        <f t="shared" ref="BC6:BH6" si="4">ROUND($AY$6*BC5/$AZ$5,2)</f>
        <v>9356.39</v>
      </c>
      <c r="BD6" s="3144">
        <f t="shared" si="4"/>
        <v>777.76</v>
      </c>
      <c r="BE6" s="3144">
        <f t="shared" si="4"/>
        <v>0</v>
      </c>
      <c r="BF6" s="3144">
        <f t="shared" si="4"/>
        <v>0</v>
      </c>
      <c r="BG6" s="3144">
        <f t="shared" si="4"/>
        <v>0</v>
      </c>
      <c r="BH6" s="3144">
        <f t="shared" si="4"/>
        <v>0</v>
      </c>
      <c r="BI6" s="3144">
        <f t="shared" ref="BI6:BT6" si="5">ROUND($AY$6*BI5/$AZ$5,2)</f>
        <v>0</v>
      </c>
      <c r="BJ6" s="3144">
        <f t="shared" si="5"/>
        <v>0</v>
      </c>
      <c r="BK6" s="3144">
        <f t="shared" si="5"/>
        <v>0</v>
      </c>
      <c r="BL6" s="3144">
        <f t="shared" si="5"/>
        <v>1475.6</v>
      </c>
      <c r="BM6" s="3144">
        <f t="shared" si="5"/>
        <v>0</v>
      </c>
      <c r="BN6" s="3144">
        <f t="shared" si="5"/>
        <v>0</v>
      </c>
      <c r="BO6" s="3144">
        <f t="shared" si="5"/>
        <v>0</v>
      </c>
      <c r="BP6" s="3144">
        <f t="shared" si="5"/>
        <v>0</v>
      </c>
      <c r="BQ6" s="3144">
        <f t="shared" si="5"/>
        <v>0</v>
      </c>
      <c r="BR6" s="3144">
        <f t="shared" si="5"/>
        <v>1475.6</v>
      </c>
      <c r="BS6" s="3144">
        <f t="shared" si="5"/>
        <v>0</v>
      </c>
      <c r="BT6" s="3238">
        <f t="shared" si="5"/>
        <v>0</v>
      </c>
    </row>
    <row r="7" s="189" customFormat="1" ht="24.75" spans="1:72">
      <c r="A7" s="3148" t="s">
        <v>476</v>
      </c>
      <c r="B7" s="3148" t="s">
        <v>477</v>
      </c>
      <c r="C7" s="3148" t="s">
        <v>478</v>
      </c>
      <c r="D7" s="3148" t="s">
        <v>479</v>
      </c>
      <c r="E7" s="3148" t="s">
        <v>475</v>
      </c>
      <c r="F7" s="3148" t="s">
        <v>480</v>
      </c>
      <c r="G7" s="3149" t="s">
        <v>481</v>
      </c>
      <c r="H7" s="3150"/>
      <c r="I7" s="3150"/>
      <c r="J7" s="3150"/>
      <c r="K7" s="3150"/>
      <c r="L7" s="3150"/>
      <c r="M7" s="3150"/>
      <c r="N7" s="3150"/>
      <c r="O7" s="3150"/>
      <c r="P7" s="3150"/>
      <c r="Q7" s="3150"/>
      <c r="R7" s="3150"/>
      <c r="S7" s="3150"/>
      <c r="T7" s="3150"/>
      <c r="U7" s="3150"/>
      <c r="V7" s="3150"/>
      <c r="W7" s="3150"/>
      <c r="X7" s="3150"/>
      <c r="Y7" s="3150"/>
      <c r="Z7" s="3150"/>
      <c r="AA7" s="3150"/>
      <c r="AB7" s="3150"/>
      <c r="AC7" s="3150"/>
      <c r="AD7" s="3150"/>
      <c r="AE7" s="3150"/>
      <c r="AF7" s="3150"/>
      <c r="AG7" s="3150"/>
      <c r="AH7" s="3150"/>
      <c r="AI7" s="3150"/>
      <c r="AJ7" s="3150"/>
      <c r="AK7" s="3150"/>
      <c r="AL7" s="3150"/>
      <c r="AM7" s="3150"/>
      <c r="AN7" s="3150"/>
      <c r="AO7" s="3150"/>
      <c r="AP7" s="3150"/>
      <c r="AQ7" s="3150"/>
      <c r="AR7" s="3150"/>
      <c r="AS7" s="3150"/>
      <c r="AT7" s="3205"/>
      <c r="AU7" s="3150" t="s">
        <v>482</v>
      </c>
      <c r="AV7" s="2430" t="s">
        <v>476</v>
      </c>
      <c r="AW7" s="2454" t="s">
        <v>477</v>
      </c>
      <c r="AX7" s="2430" t="s">
        <v>478</v>
      </c>
      <c r="AY7" s="962" t="s">
        <v>483</v>
      </c>
      <c r="AZ7" s="3193"/>
      <c r="BA7" s="3150"/>
      <c r="BB7" s="3150"/>
      <c r="BC7" s="3150"/>
      <c r="BD7" s="3150"/>
      <c r="BE7" s="3150"/>
      <c r="BF7" s="3150"/>
      <c r="BG7" s="3150"/>
      <c r="BH7" s="3150"/>
      <c r="BI7" s="3150"/>
      <c r="BJ7" s="3150"/>
      <c r="BK7" s="3150"/>
      <c r="BL7" s="3150"/>
      <c r="BM7" s="3150"/>
      <c r="BN7" s="3150"/>
      <c r="BO7" s="3150"/>
      <c r="BP7" s="3150"/>
      <c r="BQ7" s="3150"/>
      <c r="BR7" s="3150"/>
      <c r="BS7" s="3150"/>
      <c r="BT7" s="3239"/>
    </row>
    <row r="8" s="193" customFormat="1" ht="24" spans="1:72">
      <c r="A8" s="3151"/>
      <c r="B8" s="3151"/>
      <c r="C8" s="3151"/>
      <c r="D8" s="3151"/>
      <c r="E8" s="3151"/>
      <c r="F8" s="3151"/>
      <c r="G8" s="3152" t="s">
        <v>484</v>
      </c>
      <c r="H8" s="3153" t="s">
        <v>485</v>
      </c>
      <c r="I8" s="3177"/>
      <c r="J8" s="125"/>
      <c r="K8" s="125"/>
      <c r="L8" s="125"/>
      <c r="M8" s="125"/>
      <c r="N8" s="125"/>
      <c r="O8" s="125"/>
      <c r="P8" s="125"/>
      <c r="Q8" s="125"/>
      <c r="R8" s="125"/>
      <c r="S8" s="125"/>
      <c r="T8" s="125"/>
      <c r="U8" s="125"/>
      <c r="V8" s="3189"/>
      <c r="W8" s="125"/>
      <c r="X8" s="125"/>
      <c r="Y8" s="125"/>
      <c r="Z8" s="125"/>
      <c r="AA8" s="3189"/>
      <c r="AB8" s="3191"/>
      <c r="AC8" s="2165" t="s">
        <v>486</v>
      </c>
      <c r="AD8" s="3192"/>
      <c r="AE8" s="3193"/>
      <c r="AF8" s="125"/>
      <c r="AG8" s="125"/>
      <c r="AH8" s="125"/>
      <c r="AI8" s="125"/>
      <c r="AJ8" s="125"/>
      <c r="AK8" s="125"/>
      <c r="AL8" s="125"/>
      <c r="AM8" s="125"/>
      <c r="AN8" s="125"/>
      <c r="AO8" s="125"/>
      <c r="AP8" s="125"/>
      <c r="AQ8" s="125"/>
      <c r="AR8" s="125"/>
      <c r="AS8" s="186"/>
      <c r="AT8" s="3206" t="s">
        <v>487</v>
      </c>
      <c r="AU8" s="3151" t="s">
        <v>488</v>
      </c>
      <c r="AV8" s="1802"/>
      <c r="AW8" s="2463"/>
      <c r="AX8" s="1802"/>
      <c r="AY8" s="2454" t="s">
        <v>475</v>
      </c>
      <c r="AZ8" s="124" t="s">
        <v>469</v>
      </c>
      <c r="BA8" s="125"/>
      <c r="BB8" s="125"/>
      <c r="BC8" s="125"/>
      <c r="BD8" s="125"/>
      <c r="BE8" s="125"/>
      <c r="BF8" s="125"/>
      <c r="BG8" s="125"/>
      <c r="BH8" s="125"/>
      <c r="BI8" s="125"/>
      <c r="BJ8" s="125"/>
      <c r="BK8" s="125"/>
      <c r="BL8" s="125"/>
      <c r="BM8" s="125"/>
      <c r="BN8" s="125"/>
      <c r="BO8" s="125"/>
      <c r="BP8" s="125"/>
      <c r="BQ8" s="125"/>
      <c r="BR8" s="125"/>
      <c r="BS8" s="125"/>
      <c r="BT8" s="920"/>
    </row>
    <row r="9" s="193" customFormat="1" ht="12.75" spans="1:72">
      <c r="A9" s="3151"/>
      <c r="B9" s="3151"/>
      <c r="C9" s="3151"/>
      <c r="D9" s="3151"/>
      <c r="E9" s="3151"/>
      <c r="F9" s="3151"/>
      <c r="G9" s="1802"/>
      <c r="H9" s="3154" t="s">
        <v>489</v>
      </c>
      <c r="I9" s="3178" t="s">
        <v>490</v>
      </c>
      <c r="J9" s="2165"/>
      <c r="K9" s="3178" t="s">
        <v>491</v>
      </c>
      <c r="L9" s="2165"/>
      <c r="M9" s="3178" t="s">
        <v>491</v>
      </c>
      <c r="N9" s="2165"/>
      <c r="O9" s="3179"/>
      <c r="P9" s="2165"/>
      <c r="Q9" s="3179"/>
      <c r="R9" s="2165"/>
      <c r="S9" s="3179"/>
      <c r="T9" s="2165"/>
      <c r="U9" s="3179"/>
      <c r="V9" s="2165"/>
      <c r="W9" s="3179"/>
      <c r="X9" s="3190"/>
      <c r="Y9" s="3179"/>
      <c r="Z9" s="2165"/>
      <c r="AA9" s="3179"/>
      <c r="AB9" s="2165"/>
      <c r="AC9" s="3152" t="s">
        <v>489</v>
      </c>
      <c r="AD9" s="1011" t="s">
        <v>492</v>
      </c>
      <c r="AE9" s="871"/>
      <c r="AF9" s="1011" t="s">
        <v>493</v>
      </c>
      <c r="AG9" s="871"/>
      <c r="AH9" s="1011" t="s">
        <v>492</v>
      </c>
      <c r="AI9" s="871"/>
      <c r="AJ9" s="1011" t="s">
        <v>493</v>
      </c>
      <c r="AK9" s="871"/>
      <c r="AL9" s="1011" t="s">
        <v>492</v>
      </c>
      <c r="AM9" s="871"/>
      <c r="AN9" s="1011" t="s">
        <v>493</v>
      </c>
      <c r="AO9" s="871"/>
      <c r="AP9" s="3207" t="s">
        <v>492</v>
      </c>
      <c r="AQ9" s="3208"/>
      <c r="AR9" s="3207" t="s">
        <v>493</v>
      </c>
      <c r="AS9" s="3209"/>
      <c r="AT9" s="3151"/>
      <c r="AU9" s="3151" t="s">
        <v>494</v>
      </c>
      <c r="AV9" s="1802"/>
      <c r="AW9" s="2463"/>
      <c r="AX9" s="1802"/>
      <c r="AY9" s="2431"/>
      <c r="AZ9" s="2431" t="s">
        <v>484</v>
      </c>
      <c r="BA9" s="3230" t="s">
        <v>495</v>
      </c>
      <c r="BB9" s="3231"/>
      <c r="BC9" s="937"/>
      <c r="BD9" s="937"/>
      <c r="BE9" s="937"/>
      <c r="BF9" s="937"/>
      <c r="BG9" s="937"/>
      <c r="BH9" s="937"/>
      <c r="BI9" s="937"/>
      <c r="BJ9" s="937"/>
      <c r="BK9" s="3236"/>
      <c r="BL9" s="1011" t="s">
        <v>496</v>
      </c>
      <c r="BM9" s="125"/>
      <c r="BN9" s="3177"/>
      <c r="BO9" s="125"/>
      <c r="BP9" s="125"/>
      <c r="BQ9" s="125"/>
      <c r="BR9" s="125"/>
      <c r="BS9" s="125"/>
      <c r="BT9" s="920"/>
    </row>
    <row r="10" s="193" customFormat="1" ht="12.75" spans="1:72">
      <c r="A10" s="3151"/>
      <c r="B10" s="3151"/>
      <c r="C10" s="3151"/>
      <c r="D10" s="3151"/>
      <c r="E10" s="3151"/>
      <c r="F10" s="3151"/>
      <c r="G10" s="1802"/>
      <c r="H10" s="2431"/>
      <c r="I10" s="3178" t="s">
        <v>377</v>
      </c>
      <c r="J10" s="2165"/>
      <c r="K10" s="3180" t="s">
        <v>377</v>
      </c>
      <c r="L10" s="2165"/>
      <c r="M10" s="3180" t="s">
        <v>378</v>
      </c>
      <c r="N10" s="2165"/>
      <c r="O10" s="3181"/>
      <c r="P10" s="2165"/>
      <c r="Q10" s="3181"/>
      <c r="R10" s="2165"/>
      <c r="S10" s="3181"/>
      <c r="T10" s="2165"/>
      <c r="U10" s="3181"/>
      <c r="V10" s="2165"/>
      <c r="W10" s="3181"/>
      <c r="X10" s="2165"/>
      <c r="Y10" s="3181"/>
      <c r="Z10" s="2165"/>
      <c r="AA10" s="3181"/>
      <c r="AB10" s="2165"/>
      <c r="AC10" s="1802"/>
      <c r="AD10" s="2573" t="s">
        <v>231</v>
      </c>
      <c r="AE10" s="3194"/>
      <c r="AF10" s="2573" t="s">
        <v>231</v>
      </c>
      <c r="AG10" s="3194"/>
      <c r="AH10" s="2573" t="s">
        <v>497</v>
      </c>
      <c r="AI10" s="3194"/>
      <c r="AJ10" s="1011" t="s">
        <v>498</v>
      </c>
      <c r="AK10" s="3200"/>
      <c r="AL10" s="2573" t="s">
        <v>499</v>
      </c>
      <c r="AM10" s="3201"/>
      <c r="AN10" s="1011" t="s">
        <v>500</v>
      </c>
      <c r="AO10" s="871"/>
      <c r="AP10" s="3207" t="s">
        <v>501</v>
      </c>
      <c r="AQ10" s="3208"/>
      <c r="AR10" s="3207" t="s">
        <v>501</v>
      </c>
      <c r="AS10" s="3208"/>
      <c r="AT10" s="3151"/>
      <c r="AU10" s="3151"/>
      <c r="AV10" s="1802"/>
      <c r="AW10" s="2463"/>
      <c r="AX10" s="1802"/>
      <c r="AY10" s="2431"/>
      <c r="AZ10" s="2431"/>
      <c r="BA10" s="3155" t="s">
        <v>489</v>
      </c>
      <c r="BB10" s="3232" t="str">
        <f>I9</f>
        <v>地上</v>
      </c>
      <c r="BC10" s="953" t="str">
        <f>K9</f>
        <v>地下</v>
      </c>
      <c r="BD10" s="953" t="str">
        <f>M9</f>
        <v>地下</v>
      </c>
      <c r="BE10" s="953">
        <f>O9</f>
        <v>0</v>
      </c>
      <c r="BF10" s="953">
        <f>Q9</f>
        <v>0</v>
      </c>
      <c r="BG10" s="953">
        <f>S9</f>
        <v>0</v>
      </c>
      <c r="BH10" s="953">
        <f>U9</f>
        <v>0</v>
      </c>
      <c r="BI10" s="953">
        <f>W9</f>
        <v>0</v>
      </c>
      <c r="BJ10" s="953">
        <f>Y9</f>
        <v>0</v>
      </c>
      <c r="BK10" s="953">
        <f>AA9</f>
        <v>0</v>
      </c>
      <c r="BL10" s="949" t="s">
        <v>489</v>
      </c>
      <c r="BM10" s="124" t="str">
        <f>AD9</f>
        <v>地上</v>
      </c>
      <c r="BN10" s="953" t="str">
        <f>AF9</f>
        <v>地下</v>
      </c>
      <c r="BO10" s="124" t="str">
        <f>AH9</f>
        <v>地上</v>
      </c>
      <c r="BP10" s="953" t="str">
        <f>AJ9</f>
        <v>地下</v>
      </c>
      <c r="BQ10" s="124" t="str">
        <f>AL9</f>
        <v>地上</v>
      </c>
      <c r="BR10" s="953" t="str">
        <f>AN9</f>
        <v>地下</v>
      </c>
      <c r="BS10" s="124" t="str">
        <f>AP9</f>
        <v>地上</v>
      </c>
      <c r="BT10" s="2443" t="str">
        <f>AR9</f>
        <v>地下</v>
      </c>
    </row>
    <row r="11" s="193" customFormat="1" ht="12.75" spans="1:72">
      <c r="A11" s="3151"/>
      <c r="B11" s="3151"/>
      <c r="C11" s="3151"/>
      <c r="D11" s="3151"/>
      <c r="E11" s="3151"/>
      <c r="F11" s="3151"/>
      <c r="G11" s="1802"/>
      <c r="H11" s="3155"/>
      <c r="I11" s="3182" t="s">
        <v>502</v>
      </c>
      <c r="J11" s="3183"/>
      <c r="K11" s="3182" t="s">
        <v>502</v>
      </c>
      <c r="L11" s="3183"/>
      <c r="M11" s="3184"/>
      <c r="N11" s="3183"/>
      <c r="O11" s="3184"/>
      <c r="P11" s="3183"/>
      <c r="Q11" s="3184"/>
      <c r="R11" s="3183"/>
      <c r="S11" s="3184"/>
      <c r="T11" s="3183"/>
      <c r="U11" s="3184"/>
      <c r="V11" s="3183"/>
      <c r="W11" s="3184"/>
      <c r="X11" s="3183"/>
      <c r="Y11" s="3184"/>
      <c r="Z11" s="3183"/>
      <c r="AA11" s="3184"/>
      <c r="AB11" s="3183"/>
      <c r="AC11" s="1802"/>
      <c r="AD11" s="3195" t="s">
        <v>503</v>
      </c>
      <c r="AE11" s="186"/>
      <c r="AF11" s="3195" t="s">
        <v>503</v>
      </c>
      <c r="AG11" s="186"/>
      <c r="AH11" s="3195" t="s">
        <v>504</v>
      </c>
      <c r="AI11" s="3202"/>
      <c r="AJ11" s="3195" t="s">
        <v>504</v>
      </c>
      <c r="AK11" s="3200"/>
      <c r="AL11" s="124"/>
      <c r="AM11" s="186"/>
      <c r="AN11" s="124"/>
      <c r="AO11" s="186"/>
      <c r="AP11" s="3210"/>
      <c r="AQ11" s="3211"/>
      <c r="AR11" s="3210"/>
      <c r="AS11" s="3211"/>
      <c r="AT11" s="2463"/>
      <c r="AU11" s="3151"/>
      <c r="AV11" s="1802"/>
      <c r="AW11" s="2463"/>
      <c r="AX11" s="1802"/>
      <c r="AY11" s="2431"/>
      <c r="AZ11" s="2431"/>
      <c r="BA11" s="2431"/>
      <c r="BB11" s="3191" t="str">
        <f>I10</f>
        <v>办公</v>
      </c>
      <c r="BC11" s="3191" t="str">
        <f>K10</f>
        <v>办公</v>
      </c>
      <c r="BD11" s="3191" t="str">
        <f>M10</f>
        <v>车库</v>
      </c>
      <c r="BE11" s="3191">
        <f>O10</f>
        <v>0</v>
      </c>
      <c r="BF11" s="3191">
        <f>Q10</f>
        <v>0</v>
      </c>
      <c r="BG11" s="3191">
        <f>S10</f>
        <v>0</v>
      </c>
      <c r="BH11" s="3191">
        <f>U10</f>
        <v>0</v>
      </c>
      <c r="BI11" s="3191">
        <f>W10</f>
        <v>0</v>
      </c>
      <c r="BJ11" s="3191">
        <f>Y10</f>
        <v>0</v>
      </c>
      <c r="BK11" s="3191">
        <f>AA10</f>
        <v>0</v>
      </c>
      <c r="BL11" s="1802"/>
      <c r="BM11" s="124" t="str">
        <f>AD10</f>
        <v>公共配套设施</v>
      </c>
      <c r="BN11" s="124" t="str">
        <f>AF10</f>
        <v>公共配套设施</v>
      </c>
      <c r="BO11" s="123" t="str">
        <f>AH10</f>
        <v>物业管理用房</v>
      </c>
      <c r="BP11" s="123" t="str">
        <f>AJ10</f>
        <v>物业管理用房</v>
      </c>
      <c r="BQ11" s="123" t="str">
        <f>AL10</f>
        <v>设备及其他</v>
      </c>
      <c r="BR11" s="123" t="str">
        <f>AN10</f>
        <v>设备及其他</v>
      </c>
      <c r="BS11" s="949" t="str">
        <f>AP10</f>
        <v>未注明</v>
      </c>
      <c r="BT11" s="2432" t="str">
        <f>AR10</f>
        <v>未注明</v>
      </c>
    </row>
    <row r="12" s="189" customFormat="1" ht="12.75" spans="1:72">
      <c r="A12" s="3156"/>
      <c r="B12" s="3156"/>
      <c r="C12" s="3156"/>
      <c r="D12" s="3156"/>
      <c r="E12" s="3156"/>
      <c r="F12" s="3156"/>
      <c r="G12" s="2442"/>
      <c r="H12" s="3157"/>
      <c r="I12" s="2363" t="s">
        <v>505</v>
      </c>
      <c r="J12" s="126" t="s">
        <v>506</v>
      </c>
      <c r="K12" s="126" t="s">
        <v>505</v>
      </c>
      <c r="L12" s="126" t="s">
        <v>506</v>
      </c>
      <c r="M12" s="126" t="s">
        <v>505</v>
      </c>
      <c r="N12" s="126" t="s">
        <v>506</v>
      </c>
      <c r="O12" s="126" t="s">
        <v>505</v>
      </c>
      <c r="P12" s="126" t="s">
        <v>506</v>
      </c>
      <c r="Q12" s="126" t="s">
        <v>505</v>
      </c>
      <c r="R12" s="126" t="s">
        <v>506</v>
      </c>
      <c r="S12" s="126" t="s">
        <v>505</v>
      </c>
      <c r="T12" s="126" t="s">
        <v>506</v>
      </c>
      <c r="U12" s="126" t="s">
        <v>505</v>
      </c>
      <c r="V12" s="2227" t="s">
        <v>506</v>
      </c>
      <c r="W12" s="126" t="s">
        <v>505</v>
      </c>
      <c r="X12" s="126" t="s">
        <v>506</v>
      </c>
      <c r="Y12" s="126" t="s">
        <v>505</v>
      </c>
      <c r="Z12" s="126" t="s">
        <v>506</v>
      </c>
      <c r="AA12" s="126" t="s">
        <v>505</v>
      </c>
      <c r="AB12" s="126" t="s">
        <v>506</v>
      </c>
      <c r="AC12" s="3196"/>
      <c r="AD12" s="2363" t="s">
        <v>505</v>
      </c>
      <c r="AE12" s="126" t="s">
        <v>506</v>
      </c>
      <c r="AF12" s="126" t="s">
        <v>505</v>
      </c>
      <c r="AG12" s="126" t="s">
        <v>506</v>
      </c>
      <c r="AH12" s="126" t="s">
        <v>505</v>
      </c>
      <c r="AI12" s="126" t="s">
        <v>506</v>
      </c>
      <c r="AJ12" s="126" t="s">
        <v>505</v>
      </c>
      <c r="AK12" s="126" t="s">
        <v>506</v>
      </c>
      <c r="AL12" s="126" t="s">
        <v>505</v>
      </c>
      <c r="AM12" s="126" t="s">
        <v>506</v>
      </c>
      <c r="AN12" s="126" t="s">
        <v>505</v>
      </c>
      <c r="AO12" s="126" t="s">
        <v>506</v>
      </c>
      <c r="AP12" s="3212" t="s">
        <v>505</v>
      </c>
      <c r="AQ12" s="3212" t="s">
        <v>506</v>
      </c>
      <c r="AR12" s="3213" t="s">
        <v>505</v>
      </c>
      <c r="AS12" s="3214" t="s">
        <v>506</v>
      </c>
      <c r="AT12" s="3215"/>
      <c r="AU12" s="3156"/>
      <c r="AV12" s="2436"/>
      <c r="AW12" s="2454"/>
      <c r="AX12" s="2436"/>
      <c r="AY12" s="3233"/>
      <c r="AZ12" s="2431"/>
      <c r="BA12" s="3155"/>
      <c r="BB12" s="123" t="str">
        <f>I11</f>
        <v>办公楼</v>
      </c>
      <c r="BC12" s="3234" t="str">
        <f>K11</f>
        <v>办公楼</v>
      </c>
      <c r="BD12" s="3234">
        <f>M11</f>
        <v>0</v>
      </c>
      <c r="BE12" s="3191">
        <f>O11</f>
        <v>0</v>
      </c>
      <c r="BF12" s="3191">
        <f>Q11</f>
        <v>0</v>
      </c>
      <c r="BG12" s="3191">
        <f>S11</f>
        <v>0</v>
      </c>
      <c r="BH12" s="3191">
        <f>U11</f>
        <v>0</v>
      </c>
      <c r="BI12" s="3191">
        <f>W11</f>
        <v>0</v>
      </c>
      <c r="BJ12" s="3191">
        <f>Y11</f>
        <v>0</v>
      </c>
      <c r="BK12" s="3191">
        <f>AA11</f>
        <v>0</v>
      </c>
      <c r="BL12" s="1802"/>
      <c r="BM12" s="124" t="str">
        <f>AD11</f>
        <v>（住宅）</v>
      </c>
      <c r="BN12" s="124" t="str">
        <f>AF11</f>
        <v>（住宅）</v>
      </c>
      <c r="BO12" s="123" t="str">
        <f>AH11</f>
        <v>（住宅、计出让金）</v>
      </c>
      <c r="BP12" s="123" t="str">
        <f>AJ11</f>
        <v>（住宅、计出让金）</v>
      </c>
      <c r="BQ12" s="123">
        <f>AL11</f>
        <v>0</v>
      </c>
      <c r="BR12" s="123">
        <f>AN11</f>
        <v>0</v>
      </c>
      <c r="BS12" s="949">
        <f>AP11</f>
        <v>0</v>
      </c>
      <c r="BT12" s="2432">
        <f>AR11</f>
        <v>0</v>
      </c>
    </row>
    <row r="13" s="189" customFormat="1" ht="12.75" spans="1:72">
      <c r="A13" s="3158"/>
      <c r="B13" s="3158"/>
      <c r="C13" s="3158" t="s">
        <v>451</v>
      </c>
      <c r="D13" s="3159" t="s">
        <v>507</v>
      </c>
      <c r="E13" s="3144">
        <f t="shared" ref="E13:E20" si="6">IF($C$3="是",ROUND($A$3*G13/$B$3,2),ROUND($A$3*(G13-AT13)/$B$3,2))</f>
        <v>8858.31</v>
      </c>
      <c r="F13" s="3160"/>
      <c r="G13" s="3161">
        <f t="shared" ref="G13:G20" si="7">H13+AC13+AT13</f>
        <v>25022.71</v>
      </c>
      <c r="H13" s="3147">
        <f t="shared" ref="H13:H20" si="8">SUMIF(I$12:AB$12,"总值",I13:AB13)</f>
        <v>25022.71</v>
      </c>
      <c r="I13" s="3185">
        <f>面积表!E6</f>
        <v>25022.71</v>
      </c>
      <c r="J13" s="3185"/>
      <c r="K13" s="3185"/>
      <c r="L13" s="3185"/>
      <c r="M13" s="3185"/>
      <c r="N13" s="3186"/>
      <c r="O13" s="3186"/>
      <c r="P13" s="3186"/>
      <c r="Q13" s="3186"/>
      <c r="R13" s="3186"/>
      <c r="S13" s="3186"/>
      <c r="T13" s="3186"/>
      <c r="U13" s="3186"/>
      <c r="V13" s="3186"/>
      <c r="W13" s="3186"/>
      <c r="X13" s="3186"/>
      <c r="Y13" s="3186"/>
      <c r="Z13" s="3186"/>
      <c r="AA13" s="3186"/>
      <c r="AB13" s="3186"/>
      <c r="AC13" s="3144">
        <f t="shared" ref="AC13:AC20" si="9">SUMIF(AD$12:AS$12,"总值",AD13:AS13)</f>
        <v>0</v>
      </c>
      <c r="AD13" s="3197"/>
      <c r="AE13" s="3197"/>
      <c r="AF13" s="3197"/>
      <c r="AG13" s="3197"/>
      <c r="AH13" s="3197"/>
      <c r="AI13" s="3197"/>
      <c r="AJ13" s="3197"/>
      <c r="AK13" s="3197"/>
      <c r="AL13" s="3197"/>
      <c r="AM13" s="3197"/>
      <c r="AN13" s="3197"/>
      <c r="AO13" s="3197"/>
      <c r="AP13" s="3197"/>
      <c r="AQ13" s="3197"/>
      <c r="AR13" s="3197"/>
      <c r="AS13" s="3197"/>
      <c r="AT13" s="3216"/>
      <c r="AU13" s="3217"/>
      <c r="AV13" s="126">
        <f t="shared" ref="AV13:AX20" si="10">A13</f>
        <v>0</v>
      </c>
      <c r="AW13" s="126">
        <f t="shared" si="10"/>
        <v>0</v>
      </c>
      <c r="AX13" s="126" t="str">
        <f t="shared" si="10"/>
        <v>地上研发</v>
      </c>
      <c r="AY13" s="2363">
        <f t="shared" ref="AY13:AY20" si="11">ROUND($AY$6*AZ13/$AZ$5,2)</f>
        <v>8858.31</v>
      </c>
      <c r="AZ13" s="3144">
        <f t="shared" ref="AZ13:AZ20" si="12">BA13+BL13</f>
        <v>25022.71</v>
      </c>
      <c r="BA13" s="3144">
        <f t="shared" ref="BA13:BA20" si="13">SUM(BB13:BK13)</f>
        <v>25022.71</v>
      </c>
      <c r="BB13" s="3144">
        <f t="shared" ref="BB13:BB20" si="14">IF($D13="是",I13-J13,0)</f>
        <v>25022.71</v>
      </c>
      <c r="BC13" s="3144">
        <f t="shared" ref="BC13:BC20" si="15">IF($D13="是",K13-L13,0)</f>
        <v>0</v>
      </c>
      <c r="BD13" s="3144">
        <f t="shared" ref="BD13:BD20" si="16">IF($D13="是",M13-N13,0)</f>
        <v>0</v>
      </c>
      <c r="BE13" s="3144">
        <f t="shared" ref="BE13:BE20" si="17">IF($D13="是",O13-P13,0)</f>
        <v>0</v>
      </c>
      <c r="BF13" s="3144">
        <f t="shared" ref="BF13:BF20" si="18">IF($D13="是",Q13-R13,0)</f>
        <v>0</v>
      </c>
      <c r="BG13" s="3144">
        <f t="shared" ref="BG13:BG20" si="19">IF($D13="是",S13-T13,0)</f>
        <v>0</v>
      </c>
      <c r="BH13" s="3144">
        <f t="shared" ref="BH13:BH20" si="20">IF($D13="是",U13-V13,0)</f>
        <v>0</v>
      </c>
      <c r="BI13" s="3144">
        <f t="shared" ref="BI13:BI20" si="21">IF($D13="是",W13-X13,0)</f>
        <v>0</v>
      </c>
      <c r="BJ13" s="3144">
        <f t="shared" ref="BJ13:BJ20" si="22">IF($D13="是",Y13-Z13,0)</f>
        <v>0</v>
      </c>
      <c r="BK13" s="3144">
        <f t="shared" ref="BK13:BK20" si="23">IF($D13="是",AA13-AB13,0)</f>
        <v>0</v>
      </c>
      <c r="BL13" s="3144">
        <f t="shared" ref="BL13:BL20" si="24">SUM(BM13:BT13)</f>
        <v>0</v>
      </c>
      <c r="BM13" s="3144">
        <f t="shared" ref="BM13:BM20" si="25">IF($D13="是",AD13-AE13,0)</f>
        <v>0</v>
      </c>
      <c r="BN13" s="3144">
        <f t="shared" ref="BN13:BN20" si="26">IF($D13="是",AF13-AG13,0)</f>
        <v>0</v>
      </c>
      <c r="BO13" s="3144">
        <f t="shared" ref="BO13:BO20" si="27">IF($D13="是",AH13-AI13,0)</f>
        <v>0</v>
      </c>
      <c r="BP13" s="3144">
        <f t="shared" ref="BP13:BP20" si="28">IF($D13="是",AJ13-AK13,0)</f>
        <v>0</v>
      </c>
      <c r="BQ13" s="3144">
        <f t="shared" ref="BQ13:BQ20" si="29">IF($D13="是",AL13-AM13,0)</f>
        <v>0</v>
      </c>
      <c r="BR13" s="3144">
        <f t="shared" ref="BR13:BR20" si="30">IF($D13="是",AN13-AO13,0)</f>
        <v>0</v>
      </c>
      <c r="BS13" s="3144">
        <f t="shared" ref="BS13:BS20" si="31">IF($D13="是",AP13-AQ13,0)</f>
        <v>0</v>
      </c>
      <c r="BT13" s="3238">
        <f t="shared" ref="BT13:BT20" si="32">IF($D13="是",AR13-AS13,0)</f>
        <v>0</v>
      </c>
    </row>
    <row r="14" s="189" customFormat="1" ht="12.75" hidden="1" spans="1:72">
      <c r="A14" s="3158"/>
      <c r="B14" s="3158"/>
      <c r="C14" s="3162"/>
      <c r="D14" s="3159" t="s">
        <v>507</v>
      </c>
      <c r="E14" s="3144">
        <f t="shared" si="6"/>
        <v>0</v>
      </c>
      <c r="F14" s="3160"/>
      <c r="G14" s="3161">
        <f t="shared" si="7"/>
        <v>0</v>
      </c>
      <c r="H14" s="3147">
        <f t="shared" si="8"/>
        <v>0</v>
      </c>
      <c r="I14" s="3185"/>
      <c r="J14" s="3185"/>
      <c r="K14" s="3185"/>
      <c r="L14" s="3185"/>
      <c r="M14" s="3185"/>
      <c r="N14" s="3186"/>
      <c r="O14" s="3186"/>
      <c r="P14" s="3186"/>
      <c r="Q14" s="3186"/>
      <c r="R14" s="3186"/>
      <c r="S14" s="3186"/>
      <c r="T14" s="3186"/>
      <c r="U14" s="3186"/>
      <c r="V14" s="3186"/>
      <c r="W14" s="3186"/>
      <c r="X14" s="3186"/>
      <c r="Y14" s="3186"/>
      <c r="Z14" s="3186"/>
      <c r="AA14" s="3186"/>
      <c r="AB14" s="3186"/>
      <c r="AC14" s="3144">
        <f t="shared" si="9"/>
        <v>0</v>
      </c>
      <c r="AD14" s="3197"/>
      <c r="AE14" s="3197"/>
      <c r="AF14" s="3197"/>
      <c r="AG14" s="3197"/>
      <c r="AH14" s="3197"/>
      <c r="AI14" s="3197"/>
      <c r="AJ14" s="3197"/>
      <c r="AK14" s="3197"/>
      <c r="AL14" s="3197"/>
      <c r="AM14" s="3197"/>
      <c r="AN14" s="3197"/>
      <c r="AO14" s="3197"/>
      <c r="AP14" s="3197"/>
      <c r="AQ14" s="3197"/>
      <c r="AR14" s="3197"/>
      <c r="AS14" s="3197"/>
      <c r="AT14" s="3216"/>
      <c r="AU14" s="3217"/>
      <c r="AV14" s="126">
        <f t="shared" si="10"/>
        <v>0</v>
      </c>
      <c r="AW14" s="126">
        <f t="shared" si="10"/>
        <v>0</v>
      </c>
      <c r="AX14" s="126">
        <f t="shared" si="10"/>
        <v>0</v>
      </c>
      <c r="AY14" s="2363">
        <f t="shared" si="11"/>
        <v>0</v>
      </c>
      <c r="AZ14" s="3144">
        <f t="shared" si="12"/>
        <v>0</v>
      </c>
      <c r="BA14" s="3144">
        <f t="shared" si="13"/>
        <v>0</v>
      </c>
      <c r="BB14" s="3144">
        <f t="shared" si="14"/>
        <v>0</v>
      </c>
      <c r="BC14" s="3144">
        <f t="shared" si="15"/>
        <v>0</v>
      </c>
      <c r="BD14" s="3144">
        <f t="shared" si="16"/>
        <v>0</v>
      </c>
      <c r="BE14" s="3144">
        <f t="shared" si="17"/>
        <v>0</v>
      </c>
      <c r="BF14" s="3144">
        <f t="shared" si="18"/>
        <v>0</v>
      </c>
      <c r="BG14" s="3144">
        <f t="shared" si="19"/>
        <v>0</v>
      </c>
      <c r="BH14" s="3144">
        <f t="shared" si="20"/>
        <v>0</v>
      </c>
      <c r="BI14" s="3144">
        <f t="shared" si="21"/>
        <v>0</v>
      </c>
      <c r="BJ14" s="3144">
        <f t="shared" si="22"/>
        <v>0</v>
      </c>
      <c r="BK14" s="3144">
        <f t="shared" si="23"/>
        <v>0</v>
      </c>
      <c r="BL14" s="3144">
        <f t="shared" si="24"/>
        <v>0</v>
      </c>
      <c r="BM14" s="3144">
        <f t="shared" si="25"/>
        <v>0</v>
      </c>
      <c r="BN14" s="3144">
        <f t="shared" si="26"/>
        <v>0</v>
      </c>
      <c r="BO14" s="3144">
        <f t="shared" si="27"/>
        <v>0</v>
      </c>
      <c r="BP14" s="3144">
        <f t="shared" si="28"/>
        <v>0</v>
      </c>
      <c r="BQ14" s="3144">
        <f t="shared" si="29"/>
        <v>0</v>
      </c>
      <c r="BR14" s="3144">
        <f t="shared" si="30"/>
        <v>0</v>
      </c>
      <c r="BS14" s="3144">
        <f t="shared" si="31"/>
        <v>0</v>
      </c>
      <c r="BT14" s="3238">
        <f t="shared" si="32"/>
        <v>0</v>
      </c>
    </row>
    <row r="15" s="189" customFormat="1" ht="12.75" spans="1:72">
      <c r="A15" s="3158"/>
      <c r="B15" s="3158"/>
      <c r="C15" s="3162" t="s">
        <v>453</v>
      </c>
      <c r="D15" s="3159" t="s">
        <v>507</v>
      </c>
      <c r="E15" s="3144">
        <f t="shared" si="6"/>
        <v>9356.39</v>
      </c>
      <c r="F15" s="3160"/>
      <c r="G15" s="3161">
        <f t="shared" si="7"/>
        <v>26429.67</v>
      </c>
      <c r="H15" s="3147">
        <f t="shared" si="8"/>
        <v>26429.67</v>
      </c>
      <c r="I15" s="3185"/>
      <c r="J15" s="3185"/>
      <c r="K15" s="3185">
        <f>面积表!E8</f>
        <v>26429.67</v>
      </c>
      <c r="L15" s="3185"/>
      <c r="M15" s="3185"/>
      <c r="N15" s="3186"/>
      <c r="O15" s="3186"/>
      <c r="P15" s="3186"/>
      <c r="Q15" s="3186"/>
      <c r="R15" s="3186"/>
      <c r="S15" s="3186"/>
      <c r="T15" s="3186"/>
      <c r="U15" s="3186"/>
      <c r="V15" s="3186"/>
      <c r="W15" s="3186"/>
      <c r="X15" s="3186"/>
      <c r="Y15" s="3186"/>
      <c r="Z15" s="3186"/>
      <c r="AA15" s="3186"/>
      <c r="AB15" s="3186"/>
      <c r="AC15" s="3144">
        <f t="shared" si="9"/>
        <v>0</v>
      </c>
      <c r="AD15" s="3197"/>
      <c r="AE15" s="3197"/>
      <c r="AF15" s="3197"/>
      <c r="AG15" s="3197"/>
      <c r="AH15" s="3197"/>
      <c r="AI15" s="3197"/>
      <c r="AJ15" s="3197"/>
      <c r="AK15" s="3197"/>
      <c r="AL15" s="3197"/>
      <c r="AM15" s="3197"/>
      <c r="AN15" s="3197"/>
      <c r="AO15" s="3197"/>
      <c r="AP15" s="3197"/>
      <c r="AQ15" s="3197"/>
      <c r="AR15" s="3197"/>
      <c r="AS15" s="3197"/>
      <c r="AT15" s="3216"/>
      <c r="AU15" s="3217"/>
      <c r="AV15" s="126">
        <f t="shared" si="10"/>
        <v>0</v>
      </c>
      <c r="AW15" s="126">
        <f t="shared" si="10"/>
        <v>0</v>
      </c>
      <c r="AX15" s="126" t="str">
        <f t="shared" si="10"/>
        <v>地下研发</v>
      </c>
      <c r="AY15" s="2363">
        <f t="shared" si="11"/>
        <v>9356.39</v>
      </c>
      <c r="AZ15" s="3144">
        <f t="shared" si="12"/>
        <v>26429.67</v>
      </c>
      <c r="BA15" s="3144">
        <f t="shared" si="13"/>
        <v>26429.67</v>
      </c>
      <c r="BB15" s="3144">
        <f t="shared" si="14"/>
        <v>0</v>
      </c>
      <c r="BC15" s="3144">
        <f t="shared" si="15"/>
        <v>26429.67</v>
      </c>
      <c r="BD15" s="3144">
        <f t="shared" si="16"/>
        <v>0</v>
      </c>
      <c r="BE15" s="3144">
        <f t="shared" si="17"/>
        <v>0</v>
      </c>
      <c r="BF15" s="3144">
        <f t="shared" si="18"/>
        <v>0</v>
      </c>
      <c r="BG15" s="3144">
        <f t="shared" si="19"/>
        <v>0</v>
      </c>
      <c r="BH15" s="3144">
        <f t="shared" si="20"/>
        <v>0</v>
      </c>
      <c r="BI15" s="3144">
        <f t="shared" si="21"/>
        <v>0</v>
      </c>
      <c r="BJ15" s="3144">
        <f t="shared" si="22"/>
        <v>0</v>
      </c>
      <c r="BK15" s="3144">
        <f t="shared" si="23"/>
        <v>0</v>
      </c>
      <c r="BL15" s="3144">
        <f t="shared" si="24"/>
        <v>0</v>
      </c>
      <c r="BM15" s="3144">
        <f t="shared" si="25"/>
        <v>0</v>
      </c>
      <c r="BN15" s="3144">
        <f t="shared" si="26"/>
        <v>0</v>
      </c>
      <c r="BO15" s="3144">
        <f t="shared" si="27"/>
        <v>0</v>
      </c>
      <c r="BP15" s="3144">
        <f t="shared" si="28"/>
        <v>0</v>
      </c>
      <c r="BQ15" s="3144">
        <f t="shared" si="29"/>
        <v>0</v>
      </c>
      <c r="BR15" s="3144">
        <f t="shared" si="30"/>
        <v>0</v>
      </c>
      <c r="BS15" s="3144">
        <f t="shared" si="31"/>
        <v>0</v>
      </c>
      <c r="BT15" s="3238">
        <f t="shared" si="32"/>
        <v>0</v>
      </c>
    </row>
    <row r="16" s="189" customFormat="1" ht="12.75" spans="1:72">
      <c r="A16" s="3158"/>
      <c r="B16" s="3158"/>
      <c r="C16" s="3162" t="s">
        <v>383</v>
      </c>
      <c r="D16" s="3159" t="s">
        <v>507</v>
      </c>
      <c r="E16" s="3144">
        <f t="shared" si="6"/>
        <v>777.76</v>
      </c>
      <c r="F16" s="3160"/>
      <c r="G16" s="3161">
        <f t="shared" si="7"/>
        <v>2196.98</v>
      </c>
      <c r="H16" s="3147">
        <f t="shared" si="8"/>
        <v>2196.98</v>
      </c>
      <c r="I16" s="3185"/>
      <c r="J16" s="3185"/>
      <c r="K16" s="3185"/>
      <c r="L16" s="3185"/>
      <c r="M16" s="3185">
        <f>面积表!E9</f>
        <v>2196.98</v>
      </c>
      <c r="N16" s="3186"/>
      <c r="O16" s="3186"/>
      <c r="P16" s="3186"/>
      <c r="Q16" s="3186"/>
      <c r="R16" s="3186"/>
      <c r="S16" s="3186"/>
      <c r="T16" s="3186"/>
      <c r="U16" s="3186"/>
      <c r="V16" s="3186"/>
      <c r="W16" s="3186"/>
      <c r="X16" s="3186"/>
      <c r="Y16" s="3186"/>
      <c r="Z16" s="3186"/>
      <c r="AA16" s="3186"/>
      <c r="AB16" s="3186"/>
      <c r="AC16" s="3144">
        <f t="shared" si="9"/>
        <v>0</v>
      </c>
      <c r="AD16" s="3197"/>
      <c r="AE16" s="3197"/>
      <c r="AF16" s="3197"/>
      <c r="AG16" s="3197"/>
      <c r="AH16" s="3197"/>
      <c r="AI16" s="3197"/>
      <c r="AJ16" s="3197"/>
      <c r="AK16" s="3197"/>
      <c r="AL16" s="3197"/>
      <c r="AM16" s="3197"/>
      <c r="AN16" s="3197"/>
      <c r="AO16" s="3197"/>
      <c r="AP16" s="3197"/>
      <c r="AQ16" s="3197"/>
      <c r="AR16" s="3197"/>
      <c r="AS16" s="3197"/>
      <c r="AT16" s="3216"/>
      <c r="AU16" s="3217"/>
      <c r="AV16" s="126">
        <f t="shared" si="10"/>
        <v>0</v>
      </c>
      <c r="AW16" s="126">
        <f t="shared" si="10"/>
        <v>0</v>
      </c>
      <c r="AX16" s="126" t="str">
        <f t="shared" si="10"/>
        <v>地下车库</v>
      </c>
      <c r="AY16" s="2363">
        <f t="shared" si="11"/>
        <v>777.76</v>
      </c>
      <c r="AZ16" s="3144">
        <f t="shared" si="12"/>
        <v>2196.98</v>
      </c>
      <c r="BA16" s="3144">
        <f t="shared" si="13"/>
        <v>2196.98</v>
      </c>
      <c r="BB16" s="3144">
        <f t="shared" si="14"/>
        <v>0</v>
      </c>
      <c r="BC16" s="3144">
        <f t="shared" si="15"/>
        <v>0</v>
      </c>
      <c r="BD16" s="3144">
        <f t="shared" si="16"/>
        <v>2196.98</v>
      </c>
      <c r="BE16" s="3144">
        <f t="shared" si="17"/>
        <v>0</v>
      </c>
      <c r="BF16" s="3144">
        <f t="shared" si="18"/>
        <v>0</v>
      </c>
      <c r="BG16" s="3144">
        <f t="shared" si="19"/>
        <v>0</v>
      </c>
      <c r="BH16" s="3144">
        <f t="shared" si="20"/>
        <v>0</v>
      </c>
      <c r="BI16" s="3144">
        <f t="shared" si="21"/>
        <v>0</v>
      </c>
      <c r="BJ16" s="3144">
        <f t="shared" si="22"/>
        <v>0</v>
      </c>
      <c r="BK16" s="3144">
        <f t="shared" si="23"/>
        <v>0</v>
      </c>
      <c r="BL16" s="3144">
        <f t="shared" si="24"/>
        <v>0</v>
      </c>
      <c r="BM16" s="3144">
        <f t="shared" si="25"/>
        <v>0</v>
      </c>
      <c r="BN16" s="3144">
        <f t="shared" si="26"/>
        <v>0</v>
      </c>
      <c r="BO16" s="3144">
        <f t="shared" si="27"/>
        <v>0</v>
      </c>
      <c r="BP16" s="3144">
        <f t="shared" si="28"/>
        <v>0</v>
      </c>
      <c r="BQ16" s="3144">
        <f t="shared" si="29"/>
        <v>0</v>
      </c>
      <c r="BR16" s="3144">
        <f t="shared" si="30"/>
        <v>0</v>
      </c>
      <c r="BS16" s="3144">
        <f t="shared" si="31"/>
        <v>0</v>
      </c>
      <c r="BT16" s="3238">
        <f t="shared" si="32"/>
        <v>0</v>
      </c>
    </row>
    <row r="17" s="189" customFormat="1" ht="12.75" spans="1:72">
      <c r="A17" s="3158"/>
      <c r="B17" s="3158"/>
      <c r="C17" s="3162" t="s">
        <v>454</v>
      </c>
      <c r="D17" s="3159" t="s">
        <v>507</v>
      </c>
      <c r="E17" s="3144">
        <f t="shared" si="6"/>
        <v>1475.6</v>
      </c>
      <c r="F17" s="3160"/>
      <c r="G17" s="3161">
        <f t="shared" si="7"/>
        <v>4168.22</v>
      </c>
      <c r="H17" s="3147">
        <f t="shared" si="8"/>
        <v>0</v>
      </c>
      <c r="I17" s="3185"/>
      <c r="J17" s="3185"/>
      <c r="K17" s="3185"/>
      <c r="L17" s="3185"/>
      <c r="M17" s="3185"/>
      <c r="N17" s="3186"/>
      <c r="O17" s="3186"/>
      <c r="P17" s="3186"/>
      <c r="Q17" s="3186"/>
      <c r="R17" s="3186"/>
      <c r="S17" s="3186"/>
      <c r="T17" s="3186"/>
      <c r="U17" s="3186"/>
      <c r="V17" s="3186"/>
      <c r="W17" s="3186"/>
      <c r="X17" s="3186"/>
      <c r="Y17" s="3186"/>
      <c r="Z17" s="3186"/>
      <c r="AA17" s="3186"/>
      <c r="AB17" s="3186"/>
      <c r="AC17" s="3144">
        <f t="shared" si="9"/>
        <v>4168.22</v>
      </c>
      <c r="AD17" s="3197"/>
      <c r="AE17" s="3197"/>
      <c r="AF17" s="3197"/>
      <c r="AG17" s="3197"/>
      <c r="AH17" s="3197"/>
      <c r="AI17" s="3197"/>
      <c r="AJ17" s="3197"/>
      <c r="AK17" s="3197"/>
      <c r="AL17" s="3197"/>
      <c r="AM17" s="3197"/>
      <c r="AN17" s="3197">
        <f>面积表!E10</f>
        <v>4168.22</v>
      </c>
      <c r="AO17" s="3197"/>
      <c r="AP17" s="3197"/>
      <c r="AQ17" s="3197"/>
      <c r="AR17" s="3197"/>
      <c r="AS17" s="3197"/>
      <c r="AT17" s="3216"/>
      <c r="AU17" s="3217"/>
      <c r="AV17" s="126">
        <f t="shared" si="10"/>
        <v>0</v>
      </c>
      <c r="AW17" s="126">
        <f t="shared" si="10"/>
        <v>0</v>
      </c>
      <c r="AX17" s="126" t="str">
        <f t="shared" si="10"/>
        <v>设备用房</v>
      </c>
      <c r="AY17" s="2363">
        <f t="shared" si="11"/>
        <v>1475.6</v>
      </c>
      <c r="AZ17" s="3144">
        <f t="shared" si="12"/>
        <v>4168.22</v>
      </c>
      <c r="BA17" s="3144">
        <f t="shared" si="13"/>
        <v>0</v>
      </c>
      <c r="BB17" s="3144">
        <f t="shared" si="14"/>
        <v>0</v>
      </c>
      <c r="BC17" s="3144">
        <f t="shared" si="15"/>
        <v>0</v>
      </c>
      <c r="BD17" s="3144">
        <f t="shared" si="16"/>
        <v>0</v>
      </c>
      <c r="BE17" s="3144">
        <f t="shared" si="17"/>
        <v>0</v>
      </c>
      <c r="BF17" s="3144">
        <f t="shared" si="18"/>
        <v>0</v>
      </c>
      <c r="BG17" s="3144">
        <f t="shared" si="19"/>
        <v>0</v>
      </c>
      <c r="BH17" s="3144">
        <f t="shared" si="20"/>
        <v>0</v>
      </c>
      <c r="BI17" s="3144">
        <f t="shared" si="21"/>
        <v>0</v>
      </c>
      <c r="BJ17" s="3144">
        <f t="shared" si="22"/>
        <v>0</v>
      </c>
      <c r="BK17" s="3144">
        <f t="shared" si="23"/>
        <v>0</v>
      </c>
      <c r="BL17" s="3144">
        <f t="shared" si="24"/>
        <v>4168.22</v>
      </c>
      <c r="BM17" s="3144">
        <f t="shared" si="25"/>
        <v>0</v>
      </c>
      <c r="BN17" s="3144">
        <f t="shared" si="26"/>
        <v>0</v>
      </c>
      <c r="BO17" s="3144">
        <f t="shared" si="27"/>
        <v>0</v>
      </c>
      <c r="BP17" s="3144">
        <f t="shared" si="28"/>
        <v>0</v>
      </c>
      <c r="BQ17" s="3144">
        <f t="shared" si="29"/>
        <v>0</v>
      </c>
      <c r="BR17" s="3144">
        <f t="shared" si="30"/>
        <v>4168.22</v>
      </c>
      <c r="BS17" s="3144">
        <f t="shared" si="31"/>
        <v>0</v>
      </c>
      <c r="BT17" s="3238">
        <f t="shared" si="32"/>
        <v>0</v>
      </c>
    </row>
    <row r="18" spans="1:72">
      <c r="A18" s="3163"/>
      <c r="B18" s="3164"/>
      <c r="C18" s="3164"/>
      <c r="D18" s="3165"/>
      <c r="E18" s="3166">
        <f t="shared" si="6"/>
        <v>0</v>
      </c>
      <c r="F18" s="3167"/>
      <c r="G18" s="3168">
        <f t="shared" si="7"/>
        <v>0</v>
      </c>
      <c r="H18" s="3169">
        <f t="shared" si="8"/>
        <v>0</v>
      </c>
      <c r="I18" s="3171"/>
      <c r="J18" s="3187"/>
      <c r="K18" s="3171"/>
      <c r="L18" s="3187"/>
      <c r="M18" s="3187"/>
      <c r="N18" s="3187"/>
      <c r="O18" s="3187"/>
      <c r="P18" s="3187"/>
      <c r="Q18" s="3187"/>
      <c r="R18" s="3187"/>
      <c r="S18" s="3187"/>
      <c r="T18" s="3187"/>
      <c r="U18" s="3187"/>
      <c r="V18" s="3187"/>
      <c r="W18" s="3187"/>
      <c r="X18" s="3187"/>
      <c r="Y18" s="3187"/>
      <c r="Z18" s="3187"/>
      <c r="AA18" s="3187"/>
      <c r="AB18" s="3187"/>
      <c r="AC18" s="3166">
        <f t="shared" si="9"/>
        <v>0</v>
      </c>
      <c r="AD18" s="3198"/>
      <c r="AE18" s="3198"/>
      <c r="AF18" s="3171"/>
      <c r="AG18" s="3198"/>
      <c r="AH18" s="3198"/>
      <c r="AI18" s="3198"/>
      <c r="AJ18" s="3198"/>
      <c r="AK18" s="3198"/>
      <c r="AL18" s="3188"/>
      <c r="AM18" s="3198"/>
      <c r="AN18" s="3171"/>
      <c r="AO18" s="3198"/>
      <c r="AP18" s="3198"/>
      <c r="AQ18" s="3198"/>
      <c r="AR18" s="3198"/>
      <c r="AS18" s="3198"/>
      <c r="AT18" s="3218"/>
      <c r="AU18" s="3219"/>
      <c r="AV18" s="488">
        <f t="shared" si="10"/>
        <v>0</v>
      </c>
      <c r="AW18" s="488">
        <f t="shared" si="10"/>
        <v>0</v>
      </c>
      <c r="AX18" s="488">
        <f t="shared" si="10"/>
        <v>0</v>
      </c>
      <c r="AY18" s="3235">
        <f t="shared" si="11"/>
        <v>0</v>
      </c>
      <c r="AZ18" s="3166">
        <f t="shared" si="12"/>
        <v>0</v>
      </c>
      <c r="BA18" s="3166">
        <f t="shared" si="13"/>
        <v>0</v>
      </c>
      <c r="BB18" s="3166">
        <f t="shared" si="14"/>
        <v>0</v>
      </c>
      <c r="BC18" s="3166">
        <f t="shared" si="15"/>
        <v>0</v>
      </c>
      <c r="BD18" s="3166">
        <f t="shared" si="16"/>
        <v>0</v>
      </c>
      <c r="BE18" s="3166">
        <f t="shared" si="17"/>
        <v>0</v>
      </c>
      <c r="BF18" s="3166">
        <f t="shared" si="18"/>
        <v>0</v>
      </c>
      <c r="BG18" s="3166">
        <f t="shared" si="19"/>
        <v>0</v>
      </c>
      <c r="BH18" s="3166">
        <f t="shared" si="20"/>
        <v>0</v>
      </c>
      <c r="BI18" s="3166">
        <f t="shared" si="21"/>
        <v>0</v>
      </c>
      <c r="BJ18" s="3166">
        <f t="shared" si="22"/>
        <v>0</v>
      </c>
      <c r="BK18" s="3166">
        <f t="shared" si="23"/>
        <v>0</v>
      </c>
      <c r="BL18" s="3166">
        <f t="shared" si="24"/>
        <v>0</v>
      </c>
      <c r="BM18" s="3166">
        <f t="shared" si="25"/>
        <v>0</v>
      </c>
      <c r="BN18" s="3166">
        <f t="shared" si="26"/>
        <v>0</v>
      </c>
      <c r="BO18" s="3166">
        <f t="shared" si="27"/>
        <v>0</v>
      </c>
      <c r="BP18" s="3166">
        <f t="shared" si="28"/>
        <v>0</v>
      </c>
      <c r="BQ18" s="3166">
        <f t="shared" si="29"/>
        <v>0</v>
      </c>
      <c r="BR18" s="3166">
        <f t="shared" si="30"/>
        <v>0</v>
      </c>
      <c r="BS18" s="3166">
        <f t="shared" si="31"/>
        <v>0</v>
      </c>
      <c r="BT18" s="3240">
        <f t="shared" si="32"/>
        <v>0</v>
      </c>
    </row>
    <row r="19" spans="1:72">
      <c r="A19" s="3163"/>
      <c r="B19" s="3170"/>
      <c r="C19" s="3171"/>
      <c r="D19" s="3172"/>
      <c r="E19" s="3166">
        <f t="shared" si="6"/>
        <v>0</v>
      </c>
      <c r="F19" s="3167"/>
      <c r="G19" s="3168">
        <f t="shared" si="7"/>
        <v>0</v>
      </c>
      <c r="H19" s="3169">
        <f t="shared" si="8"/>
        <v>0</v>
      </c>
      <c r="I19" s="3171"/>
      <c r="J19" s="3187"/>
      <c r="K19" s="3171"/>
      <c r="L19" s="3187"/>
      <c r="M19" s="3187"/>
      <c r="N19" s="3187"/>
      <c r="O19" s="3187"/>
      <c r="P19" s="3187"/>
      <c r="Q19" s="3187"/>
      <c r="R19" s="3187"/>
      <c r="S19" s="3187"/>
      <c r="T19" s="3187"/>
      <c r="U19" s="3187"/>
      <c r="V19" s="3187"/>
      <c r="W19" s="3187"/>
      <c r="X19" s="3187"/>
      <c r="Y19" s="3187"/>
      <c r="Z19" s="3187"/>
      <c r="AA19" s="3187"/>
      <c r="AB19" s="3187"/>
      <c r="AC19" s="3166">
        <f t="shared" si="9"/>
        <v>0</v>
      </c>
      <c r="AD19" s="3198"/>
      <c r="AE19" s="3198"/>
      <c r="AF19" s="3171"/>
      <c r="AG19" s="3198"/>
      <c r="AH19" s="3198"/>
      <c r="AI19" s="3198"/>
      <c r="AJ19" s="3198"/>
      <c r="AK19" s="3198"/>
      <c r="AL19" s="3198"/>
      <c r="AM19" s="3198"/>
      <c r="AN19" s="3171"/>
      <c r="AO19" s="3198"/>
      <c r="AP19" s="3198"/>
      <c r="AQ19" s="3198"/>
      <c r="AR19" s="3198"/>
      <c r="AS19" s="3198"/>
      <c r="AT19" s="3218"/>
      <c r="AU19" s="3219"/>
      <c r="AV19" s="488">
        <f t="shared" si="10"/>
        <v>0</v>
      </c>
      <c r="AW19" s="488">
        <f t="shared" si="10"/>
        <v>0</v>
      </c>
      <c r="AX19" s="488">
        <f t="shared" si="10"/>
        <v>0</v>
      </c>
      <c r="AY19" s="3235">
        <f t="shared" si="11"/>
        <v>0</v>
      </c>
      <c r="AZ19" s="3166">
        <f t="shared" si="12"/>
        <v>0</v>
      </c>
      <c r="BA19" s="3166">
        <f t="shared" si="13"/>
        <v>0</v>
      </c>
      <c r="BB19" s="3166">
        <f t="shared" si="14"/>
        <v>0</v>
      </c>
      <c r="BC19" s="3166">
        <f t="shared" si="15"/>
        <v>0</v>
      </c>
      <c r="BD19" s="3166">
        <f t="shared" si="16"/>
        <v>0</v>
      </c>
      <c r="BE19" s="3166">
        <f t="shared" si="17"/>
        <v>0</v>
      </c>
      <c r="BF19" s="3166">
        <f t="shared" si="18"/>
        <v>0</v>
      </c>
      <c r="BG19" s="3166">
        <f t="shared" si="19"/>
        <v>0</v>
      </c>
      <c r="BH19" s="3166">
        <f t="shared" si="20"/>
        <v>0</v>
      </c>
      <c r="BI19" s="3166">
        <f t="shared" si="21"/>
        <v>0</v>
      </c>
      <c r="BJ19" s="3166">
        <f t="shared" si="22"/>
        <v>0</v>
      </c>
      <c r="BK19" s="3166">
        <f t="shared" si="23"/>
        <v>0</v>
      </c>
      <c r="BL19" s="3166">
        <f t="shared" si="24"/>
        <v>0</v>
      </c>
      <c r="BM19" s="3166">
        <f t="shared" si="25"/>
        <v>0</v>
      </c>
      <c r="BN19" s="3166">
        <f t="shared" si="26"/>
        <v>0</v>
      </c>
      <c r="BO19" s="3166">
        <f t="shared" si="27"/>
        <v>0</v>
      </c>
      <c r="BP19" s="3166">
        <f t="shared" si="28"/>
        <v>0</v>
      </c>
      <c r="BQ19" s="3166">
        <f t="shared" si="29"/>
        <v>0</v>
      </c>
      <c r="BR19" s="3166">
        <f t="shared" si="30"/>
        <v>0</v>
      </c>
      <c r="BS19" s="3166">
        <f t="shared" si="31"/>
        <v>0</v>
      </c>
      <c r="BT19" s="3240">
        <f t="shared" si="32"/>
        <v>0</v>
      </c>
    </row>
    <row r="20" spans="1:72">
      <c r="A20" s="3163"/>
      <c r="B20" s="3170"/>
      <c r="C20" s="3171"/>
      <c r="D20" s="3172"/>
      <c r="E20" s="3166">
        <f t="shared" si="6"/>
        <v>0</v>
      </c>
      <c r="F20" s="3167"/>
      <c r="G20" s="3168">
        <f t="shared" si="7"/>
        <v>0</v>
      </c>
      <c r="H20" s="3169">
        <f t="shared" si="8"/>
        <v>0</v>
      </c>
      <c r="I20" s="3171"/>
      <c r="J20" s="3187"/>
      <c r="K20" s="3171"/>
      <c r="L20" s="3187"/>
      <c r="M20" s="3187"/>
      <c r="N20" s="3187"/>
      <c r="O20" s="3187"/>
      <c r="P20" s="3187"/>
      <c r="Q20" s="3187"/>
      <c r="R20" s="3187"/>
      <c r="S20" s="3187"/>
      <c r="T20" s="3187"/>
      <c r="U20" s="3187"/>
      <c r="V20" s="3187"/>
      <c r="W20" s="3187"/>
      <c r="X20" s="3187"/>
      <c r="Y20" s="3187"/>
      <c r="Z20" s="3187"/>
      <c r="AA20" s="3187"/>
      <c r="AB20" s="3187"/>
      <c r="AC20" s="3166">
        <f t="shared" si="9"/>
        <v>0</v>
      </c>
      <c r="AD20" s="3198"/>
      <c r="AE20" s="3198"/>
      <c r="AF20" s="3171"/>
      <c r="AG20" s="3198"/>
      <c r="AH20" s="3198"/>
      <c r="AI20" s="3198"/>
      <c r="AJ20" s="3198"/>
      <c r="AK20" s="3198"/>
      <c r="AL20" s="3198"/>
      <c r="AM20" s="3198"/>
      <c r="AN20" s="3171"/>
      <c r="AO20" s="3198"/>
      <c r="AP20" s="3198"/>
      <c r="AQ20" s="3198"/>
      <c r="AR20" s="3198"/>
      <c r="AS20" s="3198"/>
      <c r="AT20" s="3218"/>
      <c r="AU20" s="3219"/>
      <c r="AV20" s="488">
        <f t="shared" si="10"/>
        <v>0</v>
      </c>
      <c r="AW20" s="488">
        <f t="shared" si="10"/>
        <v>0</v>
      </c>
      <c r="AX20" s="488">
        <f t="shared" si="10"/>
        <v>0</v>
      </c>
      <c r="AY20" s="3235">
        <f t="shared" si="11"/>
        <v>0</v>
      </c>
      <c r="AZ20" s="3166">
        <f t="shared" si="12"/>
        <v>0</v>
      </c>
      <c r="BA20" s="3166">
        <f t="shared" si="13"/>
        <v>0</v>
      </c>
      <c r="BB20" s="3166">
        <f t="shared" si="14"/>
        <v>0</v>
      </c>
      <c r="BC20" s="3166">
        <f t="shared" si="15"/>
        <v>0</v>
      </c>
      <c r="BD20" s="3166">
        <f t="shared" si="16"/>
        <v>0</v>
      </c>
      <c r="BE20" s="3166">
        <f t="shared" si="17"/>
        <v>0</v>
      </c>
      <c r="BF20" s="3166">
        <f t="shared" si="18"/>
        <v>0</v>
      </c>
      <c r="BG20" s="3166">
        <f t="shared" si="19"/>
        <v>0</v>
      </c>
      <c r="BH20" s="3166">
        <f t="shared" si="20"/>
        <v>0</v>
      </c>
      <c r="BI20" s="3166">
        <f t="shared" si="21"/>
        <v>0</v>
      </c>
      <c r="BJ20" s="3166">
        <f t="shared" si="22"/>
        <v>0</v>
      </c>
      <c r="BK20" s="3166">
        <f t="shared" si="23"/>
        <v>0</v>
      </c>
      <c r="BL20" s="3166">
        <f t="shared" si="24"/>
        <v>0</v>
      </c>
      <c r="BM20" s="3166">
        <f t="shared" si="25"/>
        <v>0</v>
      </c>
      <c r="BN20" s="3166">
        <f t="shared" si="26"/>
        <v>0</v>
      </c>
      <c r="BO20" s="3166">
        <f t="shared" si="27"/>
        <v>0</v>
      </c>
      <c r="BP20" s="3166">
        <f t="shared" si="28"/>
        <v>0</v>
      </c>
      <c r="BQ20" s="3166">
        <f t="shared" si="29"/>
        <v>0</v>
      </c>
      <c r="BR20" s="3166">
        <f t="shared" si="30"/>
        <v>0</v>
      </c>
      <c r="BS20" s="3166">
        <f t="shared" si="31"/>
        <v>0</v>
      </c>
      <c r="BT20" s="3240">
        <f t="shared" si="32"/>
        <v>0</v>
      </c>
    </row>
    <row r="21" spans="1:72">
      <c r="A21" s="3163"/>
      <c r="B21" s="3173"/>
      <c r="C21" s="3171"/>
      <c r="D21" s="3172"/>
      <c r="E21" s="3166">
        <f t="shared" ref="E21:E112" si="33">IF($C$3="是",ROUND($A$3*G21/$B$3,2),ROUND($A$3*(G21-AT21)/$B$3,2))</f>
        <v>0</v>
      </c>
      <c r="F21" s="3167"/>
      <c r="G21" s="3168">
        <f t="shared" ref="G21:G109" si="34">H21+AC21+AT21</f>
        <v>0</v>
      </c>
      <c r="H21" s="3169">
        <f t="shared" ref="H21:H109" si="35">SUMIF(I$12:AB$12,"总值",I21:AB21)</f>
        <v>0</v>
      </c>
      <c r="I21" s="3175"/>
      <c r="J21" s="3187"/>
      <c r="K21" s="3175"/>
      <c r="L21" s="3187"/>
      <c r="M21" s="3187"/>
      <c r="N21" s="3187"/>
      <c r="O21" s="3187"/>
      <c r="P21" s="3187"/>
      <c r="Q21" s="3187"/>
      <c r="R21" s="3187"/>
      <c r="S21" s="3187"/>
      <c r="T21" s="3187"/>
      <c r="U21" s="3187"/>
      <c r="V21" s="3187"/>
      <c r="W21" s="3187"/>
      <c r="X21" s="3187"/>
      <c r="Y21" s="3187"/>
      <c r="Z21" s="3187"/>
      <c r="AA21" s="3187"/>
      <c r="AB21" s="3187"/>
      <c r="AC21" s="3166">
        <f t="shared" ref="AC21:AC109" si="36">SUMIF(AD$12:AS$12,"总值",AD21:AS21)</f>
        <v>0</v>
      </c>
      <c r="AD21" s="3198"/>
      <c r="AE21" s="3198"/>
      <c r="AF21" s="3199"/>
      <c r="AG21" s="3198"/>
      <c r="AH21" s="3198"/>
      <c r="AI21" s="3198"/>
      <c r="AJ21" s="3198"/>
      <c r="AK21" s="3198"/>
      <c r="AL21" s="3198"/>
      <c r="AM21" s="3198"/>
      <c r="AN21" s="3188"/>
      <c r="AO21" s="3198"/>
      <c r="AP21" s="3198"/>
      <c r="AQ21" s="3198"/>
      <c r="AR21" s="3198"/>
      <c r="AS21" s="3198"/>
      <c r="AT21" s="3218"/>
      <c r="AU21" s="3219"/>
      <c r="AV21" s="488">
        <f t="shared" ref="AV21:AV112" si="37">A21</f>
        <v>0</v>
      </c>
      <c r="AW21" s="488">
        <f t="shared" ref="AW21:AW112" si="38">B21</f>
        <v>0</v>
      </c>
      <c r="AX21" s="488">
        <f t="shared" ref="AX21:AX112" si="39">C21</f>
        <v>0</v>
      </c>
      <c r="AY21" s="3235">
        <f t="shared" ref="AY21:AY109" si="40">ROUND($AY$6*AZ21/$AZ$5,2)</f>
        <v>0</v>
      </c>
      <c r="AZ21" s="3166">
        <f t="shared" ref="AZ21:AZ109" si="41">BA21+BL21</f>
        <v>0</v>
      </c>
      <c r="BA21" s="3166">
        <f t="shared" ref="BA21:BA109" si="42">SUM(BB21:BK21)</f>
        <v>0</v>
      </c>
      <c r="BB21" s="3166">
        <f t="shared" ref="BB21:BB109" si="43">IF($D21="是",I21-J21,0)</f>
        <v>0</v>
      </c>
      <c r="BC21" s="3166">
        <f t="shared" ref="BC21:BC109" si="44">IF($D21="是",K21-L21,0)</f>
        <v>0</v>
      </c>
      <c r="BD21" s="3166">
        <f t="shared" ref="BD21:BD109" si="45">IF($D21="是",M21-N21,0)</f>
        <v>0</v>
      </c>
      <c r="BE21" s="3166">
        <f t="shared" ref="BE21:BE109" si="46">IF($D21="是",O21-P21,0)</f>
        <v>0</v>
      </c>
      <c r="BF21" s="3166">
        <f t="shared" ref="BF21:BF109" si="47">IF($D21="是",Q21-R21,0)</f>
        <v>0</v>
      </c>
      <c r="BG21" s="3166">
        <f t="shared" ref="BG21:BG109" si="48">IF($D21="是",S21-T21,0)</f>
        <v>0</v>
      </c>
      <c r="BH21" s="3166">
        <f t="shared" ref="BH21:BH109" si="49">IF($D21="是",U21-V21,0)</f>
        <v>0</v>
      </c>
      <c r="BI21" s="3166">
        <f t="shared" ref="BI21:BI109" si="50">IF($D21="是",W21-X21,0)</f>
        <v>0</v>
      </c>
      <c r="BJ21" s="3166">
        <f t="shared" ref="BJ21:BJ109" si="51">IF($D21="是",Y21-Z21,0)</f>
        <v>0</v>
      </c>
      <c r="BK21" s="3166">
        <f t="shared" ref="BK21:BK109" si="52">IF($D21="是",AA21-AB21,0)</f>
        <v>0</v>
      </c>
      <c r="BL21" s="3166">
        <f t="shared" ref="BL21:BL109" si="53">SUM(BM21:BT21)</f>
        <v>0</v>
      </c>
      <c r="BM21" s="3166">
        <f t="shared" ref="BM21:BM109" si="54">IF($D21="是",AD21-AE21,0)</f>
        <v>0</v>
      </c>
      <c r="BN21" s="3166">
        <f t="shared" ref="BN21:BN109" si="55">IF($D21="是",AF21-AG21,0)</f>
        <v>0</v>
      </c>
      <c r="BO21" s="3166">
        <f t="shared" ref="BO21:BO109" si="56">IF($D21="是",AH21-AI21,0)</f>
        <v>0</v>
      </c>
      <c r="BP21" s="3166">
        <f t="shared" ref="BP21:BP109" si="57">IF($D21="是",AJ21-AK21,0)</f>
        <v>0</v>
      </c>
      <c r="BQ21" s="3166">
        <f t="shared" ref="BQ21:BQ109" si="58">IF($D21="是",AL21-AM21,0)</f>
        <v>0</v>
      </c>
      <c r="BR21" s="3166">
        <f t="shared" ref="BR21:BR109" si="59">IF($D21="是",AN21-AO21,0)</f>
        <v>0</v>
      </c>
      <c r="BS21" s="3166">
        <f t="shared" ref="BS21:BS109" si="60">IF($D21="是",AP21-AQ21,0)</f>
        <v>0</v>
      </c>
      <c r="BT21" s="3240">
        <f t="shared" ref="BT21:BT109" si="61">IF($D21="是",AR21-AS21,0)</f>
        <v>0</v>
      </c>
    </row>
    <row r="22" spans="1:72">
      <c r="A22" s="3163"/>
      <c r="B22" s="3173"/>
      <c r="C22" s="3171"/>
      <c r="D22" s="3172"/>
      <c r="E22" s="3166">
        <f t="shared" si="33"/>
        <v>0</v>
      </c>
      <c r="F22" s="3167"/>
      <c r="G22" s="3168">
        <f t="shared" si="34"/>
        <v>0</v>
      </c>
      <c r="H22" s="3169">
        <f t="shared" si="35"/>
        <v>0</v>
      </c>
      <c r="I22" s="3175"/>
      <c r="J22" s="3187"/>
      <c r="K22" s="3175"/>
      <c r="L22" s="3187"/>
      <c r="M22" s="3188"/>
      <c r="N22" s="3187"/>
      <c r="O22" s="3187"/>
      <c r="P22" s="3187"/>
      <c r="Q22" s="3187"/>
      <c r="R22" s="3187"/>
      <c r="S22" s="3187"/>
      <c r="T22" s="3187"/>
      <c r="U22" s="3187"/>
      <c r="V22" s="3187"/>
      <c r="W22" s="3187"/>
      <c r="X22" s="3187"/>
      <c r="Y22" s="3187"/>
      <c r="Z22" s="3187"/>
      <c r="AA22" s="3187"/>
      <c r="AB22" s="3187"/>
      <c r="AC22" s="3166">
        <f t="shared" si="36"/>
        <v>0</v>
      </c>
      <c r="AD22" s="3188"/>
      <c r="AE22" s="3198"/>
      <c r="AF22" s="3199"/>
      <c r="AG22" s="3198"/>
      <c r="AH22" s="3198"/>
      <c r="AI22" s="3198"/>
      <c r="AJ22" s="3198"/>
      <c r="AK22" s="3198"/>
      <c r="AL22" s="3188"/>
      <c r="AM22" s="3198"/>
      <c r="AN22" s="3188"/>
      <c r="AO22" s="3198"/>
      <c r="AP22" s="3198"/>
      <c r="AQ22" s="3198"/>
      <c r="AR22" s="3198"/>
      <c r="AS22" s="3198"/>
      <c r="AT22" s="3218"/>
      <c r="AU22" s="3219"/>
      <c r="AV22" s="488">
        <f t="shared" si="37"/>
        <v>0</v>
      </c>
      <c r="AW22" s="488">
        <f t="shared" si="38"/>
        <v>0</v>
      </c>
      <c r="AX22" s="488">
        <f t="shared" si="39"/>
        <v>0</v>
      </c>
      <c r="AY22" s="3235">
        <f t="shared" si="40"/>
        <v>0</v>
      </c>
      <c r="AZ22" s="3166">
        <f t="shared" si="41"/>
        <v>0</v>
      </c>
      <c r="BA22" s="3166">
        <f t="shared" si="42"/>
        <v>0</v>
      </c>
      <c r="BB22" s="3166">
        <f t="shared" si="43"/>
        <v>0</v>
      </c>
      <c r="BC22" s="3166">
        <f t="shared" si="44"/>
        <v>0</v>
      </c>
      <c r="BD22" s="3166">
        <f t="shared" si="45"/>
        <v>0</v>
      </c>
      <c r="BE22" s="3166">
        <f t="shared" si="46"/>
        <v>0</v>
      </c>
      <c r="BF22" s="3166">
        <f t="shared" si="47"/>
        <v>0</v>
      </c>
      <c r="BG22" s="3166">
        <f t="shared" si="48"/>
        <v>0</v>
      </c>
      <c r="BH22" s="3166">
        <f t="shared" si="49"/>
        <v>0</v>
      </c>
      <c r="BI22" s="3166">
        <f t="shared" si="50"/>
        <v>0</v>
      </c>
      <c r="BJ22" s="3166">
        <f t="shared" si="51"/>
        <v>0</v>
      </c>
      <c r="BK22" s="3166">
        <f t="shared" si="52"/>
        <v>0</v>
      </c>
      <c r="BL22" s="3166">
        <f t="shared" si="53"/>
        <v>0</v>
      </c>
      <c r="BM22" s="3166">
        <f t="shared" si="54"/>
        <v>0</v>
      </c>
      <c r="BN22" s="3166">
        <f t="shared" si="55"/>
        <v>0</v>
      </c>
      <c r="BO22" s="3166">
        <f t="shared" si="56"/>
        <v>0</v>
      </c>
      <c r="BP22" s="3166">
        <f t="shared" si="57"/>
        <v>0</v>
      </c>
      <c r="BQ22" s="3166">
        <f t="shared" si="58"/>
        <v>0</v>
      </c>
      <c r="BR22" s="3166">
        <f t="shared" si="59"/>
        <v>0</v>
      </c>
      <c r="BS22" s="3166">
        <f t="shared" si="60"/>
        <v>0</v>
      </c>
      <c r="BT22" s="3240">
        <f t="shared" si="61"/>
        <v>0</v>
      </c>
    </row>
    <row r="23" spans="1:72">
      <c r="A23" s="3163"/>
      <c r="B23" s="3173"/>
      <c r="C23" s="3171"/>
      <c r="D23" s="3172"/>
      <c r="E23" s="3166">
        <f t="shared" si="33"/>
        <v>0</v>
      </c>
      <c r="F23" s="3167"/>
      <c r="G23" s="3168">
        <f t="shared" si="34"/>
        <v>0</v>
      </c>
      <c r="H23" s="3169">
        <f t="shared" si="35"/>
        <v>0</v>
      </c>
      <c r="I23" s="3175"/>
      <c r="J23" s="3187"/>
      <c r="K23" s="3175"/>
      <c r="L23" s="3187"/>
      <c r="M23" s="3188"/>
      <c r="N23" s="3187"/>
      <c r="O23" s="3187"/>
      <c r="P23" s="3187"/>
      <c r="Q23" s="3187"/>
      <c r="R23" s="3187"/>
      <c r="S23" s="3187"/>
      <c r="T23" s="3187"/>
      <c r="U23" s="3187"/>
      <c r="V23" s="3187"/>
      <c r="W23" s="3187"/>
      <c r="X23" s="3187"/>
      <c r="Y23" s="3187"/>
      <c r="Z23" s="3187"/>
      <c r="AA23" s="3187"/>
      <c r="AB23" s="3187"/>
      <c r="AC23" s="3166">
        <f t="shared" si="36"/>
        <v>0</v>
      </c>
      <c r="AD23" s="3198"/>
      <c r="AE23" s="3198"/>
      <c r="AF23" s="3199"/>
      <c r="AG23" s="3198"/>
      <c r="AH23" s="3198"/>
      <c r="AI23" s="3198"/>
      <c r="AJ23" s="3198"/>
      <c r="AK23" s="3198"/>
      <c r="AL23" s="3188"/>
      <c r="AM23" s="3198"/>
      <c r="AN23" s="3188"/>
      <c r="AO23" s="3198"/>
      <c r="AP23" s="3198"/>
      <c r="AQ23" s="3198"/>
      <c r="AR23" s="3198"/>
      <c r="AS23" s="3198"/>
      <c r="AT23" s="3218"/>
      <c r="AU23" s="3219"/>
      <c r="AV23" s="488">
        <f t="shared" si="37"/>
        <v>0</v>
      </c>
      <c r="AW23" s="488">
        <f t="shared" si="38"/>
        <v>0</v>
      </c>
      <c r="AX23" s="488">
        <f t="shared" si="39"/>
        <v>0</v>
      </c>
      <c r="AY23" s="3235">
        <f t="shared" si="40"/>
        <v>0</v>
      </c>
      <c r="AZ23" s="3166">
        <f t="shared" si="41"/>
        <v>0</v>
      </c>
      <c r="BA23" s="3166">
        <f t="shared" si="42"/>
        <v>0</v>
      </c>
      <c r="BB23" s="3166">
        <f t="shared" si="43"/>
        <v>0</v>
      </c>
      <c r="BC23" s="3166">
        <f t="shared" si="44"/>
        <v>0</v>
      </c>
      <c r="BD23" s="3166">
        <f t="shared" si="45"/>
        <v>0</v>
      </c>
      <c r="BE23" s="3166">
        <f t="shared" si="46"/>
        <v>0</v>
      </c>
      <c r="BF23" s="3166">
        <f t="shared" si="47"/>
        <v>0</v>
      </c>
      <c r="BG23" s="3166">
        <f t="shared" si="48"/>
        <v>0</v>
      </c>
      <c r="BH23" s="3166">
        <f t="shared" si="49"/>
        <v>0</v>
      </c>
      <c r="BI23" s="3166">
        <f t="shared" si="50"/>
        <v>0</v>
      </c>
      <c r="BJ23" s="3166">
        <f t="shared" si="51"/>
        <v>0</v>
      </c>
      <c r="BK23" s="3166">
        <f t="shared" si="52"/>
        <v>0</v>
      </c>
      <c r="BL23" s="3166">
        <f t="shared" si="53"/>
        <v>0</v>
      </c>
      <c r="BM23" s="3166">
        <f t="shared" si="54"/>
        <v>0</v>
      </c>
      <c r="BN23" s="3166">
        <f t="shared" si="55"/>
        <v>0</v>
      </c>
      <c r="BO23" s="3166">
        <f t="shared" si="56"/>
        <v>0</v>
      </c>
      <c r="BP23" s="3166">
        <f t="shared" si="57"/>
        <v>0</v>
      </c>
      <c r="BQ23" s="3166">
        <f t="shared" si="58"/>
        <v>0</v>
      </c>
      <c r="BR23" s="3166">
        <f t="shared" si="59"/>
        <v>0</v>
      </c>
      <c r="BS23" s="3166">
        <f t="shared" si="60"/>
        <v>0</v>
      </c>
      <c r="BT23" s="3240">
        <f t="shared" si="61"/>
        <v>0</v>
      </c>
    </row>
    <row r="24" spans="1:72">
      <c r="A24" s="3163"/>
      <c r="B24" s="3173"/>
      <c r="C24" s="3171"/>
      <c r="D24" s="3172"/>
      <c r="E24" s="3166">
        <f t="shared" si="33"/>
        <v>0</v>
      </c>
      <c r="F24" s="3167"/>
      <c r="G24" s="3168">
        <f t="shared" si="34"/>
        <v>0</v>
      </c>
      <c r="H24" s="3169">
        <f t="shared" si="35"/>
        <v>0</v>
      </c>
      <c r="I24" s="3175"/>
      <c r="J24" s="3187"/>
      <c r="K24" s="3175"/>
      <c r="L24" s="3187"/>
      <c r="M24" s="3187"/>
      <c r="N24" s="3187"/>
      <c r="O24" s="3188"/>
      <c r="P24" s="3187"/>
      <c r="Q24" s="3187"/>
      <c r="R24" s="3187"/>
      <c r="S24" s="3187"/>
      <c r="T24" s="3187"/>
      <c r="U24" s="3187"/>
      <c r="V24" s="3187"/>
      <c r="W24" s="3187"/>
      <c r="X24" s="3187"/>
      <c r="Y24" s="3187"/>
      <c r="Z24" s="3187"/>
      <c r="AA24" s="3187"/>
      <c r="AB24" s="3187"/>
      <c r="AC24" s="3166">
        <f t="shared" si="36"/>
        <v>0</v>
      </c>
      <c r="AD24" s="3198"/>
      <c r="AE24" s="3198"/>
      <c r="AF24" s="3199"/>
      <c r="AG24" s="3198"/>
      <c r="AH24" s="3198"/>
      <c r="AI24" s="3198"/>
      <c r="AJ24" s="3198"/>
      <c r="AK24" s="3198"/>
      <c r="AL24" s="3198"/>
      <c r="AM24" s="3198"/>
      <c r="AN24" s="3188"/>
      <c r="AO24" s="3198"/>
      <c r="AP24" s="3198"/>
      <c r="AQ24" s="3198"/>
      <c r="AR24" s="3198"/>
      <c r="AS24" s="3198"/>
      <c r="AT24" s="3218"/>
      <c r="AU24" s="3219"/>
      <c r="AV24" s="488">
        <f t="shared" si="37"/>
        <v>0</v>
      </c>
      <c r="AW24" s="488">
        <f t="shared" si="38"/>
        <v>0</v>
      </c>
      <c r="AX24" s="488">
        <f t="shared" si="39"/>
        <v>0</v>
      </c>
      <c r="AY24" s="3235">
        <f t="shared" si="40"/>
        <v>0</v>
      </c>
      <c r="AZ24" s="3166">
        <f t="shared" si="41"/>
        <v>0</v>
      </c>
      <c r="BA24" s="3166">
        <f t="shared" si="42"/>
        <v>0</v>
      </c>
      <c r="BB24" s="3166">
        <f t="shared" si="43"/>
        <v>0</v>
      </c>
      <c r="BC24" s="3166">
        <f t="shared" si="44"/>
        <v>0</v>
      </c>
      <c r="BD24" s="3166">
        <f t="shared" si="45"/>
        <v>0</v>
      </c>
      <c r="BE24" s="3166">
        <f t="shared" si="46"/>
        <v>0</v>
      </c>
      <c r="BF24" s="3166">
        <f t="shared" si="47"/>
        <v>0</v>
      </c>
      <c r="BG24" s="3166">
        <f t="shared" si="48"/>
        <v>0</v>
      </c>
      <c r="BH24" s="3166">
        <f t="shared" si="49"/>
        <v>0</v>
      </c>
      <c r="BI24" s="3166">
        <f t="shared" si="50"/>
        <v>0</v>
      </c>
      <c r="BJ24" s="3166">
        <f t="shared" si="51"/>
        <v>0</v>
      </c>
      <c r="BK24" s="3166">
        <f t="shared" si="52"/>
        <v>0</v>
      </c>
      <c r="BL24" s="3166">
        <f t="shared" si="53"/>
        <v>0</v>
      </c>
      <c r="BM24" s="3166">
        <f t="shared" si="54"/>
        <v>0</v>
      </c>
      <c r="BN24" s="3166">
        <f t="shared" si="55"/>
        <v>0</v>
      </c>
      <c r="BO24" s="3166">
        <f t="shared" si="56"/>
        <v>0</v>
      </c>
      <c r="BP24" s="3166">
        <f t="shared" si="57"/>
        <v>0</v>
      </c>
      <c r="BQ24" s="3166">
        <f t="shared" si="58"/>
        <v>0</v>
      </c>
      <c r="BR24" s="3166">
        <f t="shared" si="59"/>
        <v>0</v>
      </c>
      <c r="BS24" s="3166">
        <f t="shared" si="60"/>
        <v>0</v>
      </c>
      <c r="BT24" s="3240">
        <f t="shared" si="61"/>
        <v>0</v>
      </c>
    </row>
    <row r="25" spans="1:72">
      <c r="A25" s="3163"/>
      <c r="B25" s="3173"/>
      <c r="C25" s="3171"/>
      <c r="D25" s="3172"/>
      <c r="E25" s="3166">
        <f t="shared" si="33"/>
        <v>0</v>
      </c>
      <c r="F25" s="3167"/>
      <c r="G25" s="3168">
        <f t="shared" si="34"/>
        <v>0</v>
      </c>
      <c r="H25" s="3169">
        <f t="shared" si="35"/>
        <v>0</v>
      </c>
      <c r="I25" s="3175"/>
      <c r="J25" s="3187"/>
      <c r="K25" s="3175"/>
      <c r="L25" s="3187"/>
      <c r="M25" s="3187"/>
      <c r="N25" s="3187"/>
      <c r="O25" s="3187"/>
      <c r="P25" s="3187"/>
      <c r="Q25" s="3187"/>
      <c r="R25" s="3187"/>
      <c r="S25" s="3187"/>
      <c r="T25" s="3187"/>
      <c r="U25" s="3187"/>
      <c r="V25" s="3187"/>
      <c r="W25" s="3187"/>
      <c r="X25" s="3187"/>
      <c r="Y25" s="3187"/>
      <c r="Z25" s="3187"/>
      <c r="AA25" s="3187"/>
      <c r="AB25" s="3187"/>
      <c r="AC25" s="3166">
        <f t="shared" si="36"/>
        <v>0</v>
      </c>
      <c r="AD25" s="3198"/>
      <c r="AE25" s="3198"/>
      <c r="AF25" s="3199"/>
      <c r="AG25" s="3198"/>
      <c r="AH25" s="3198"/>
      <c r="AI25" s="3198"/>
      <c r="AJ25" s="3198"/>
      <c r="AK25" s="3198"/>
      <c r="AL25" s="3198"/>
      <c r="AM25" s="3198"/>
      <c r="AN25" s="3198"/>
      <c r="AO25" s="3198"/>
      <c r="AP25" s="3198"/>
      <c r="AQ25" s="3198"/>
      <c r="AR25" s="3198"/>
      <c r="AS25" s="3198"/>
      <c r="AT25" s="3218"/>
      <c r="AU25" s="3219"/>
      <c r="AV25" s="488">
        <f t="shared" si="37"/>
        <v>0</v>
      </c>
      <c r="AW25" s="488">
        <f t="shared" si="38"/>
        <v>0</v>
      </c>
      <c r="AX25" s="488">
        <f t="shared" si="39"/>
        <v>0</v>
      </c>
      <c r="AY25" s="3235">
        <f t="shared" si="40"/>
        <v>0</v>
      </c>
      <c r="AZ25" s="3166">
        <f t="shared" si="41"/>
        <v>0</v>
      </c>
      <c r="BA25" s="3166">
        <f t="shared" si="42"/>
        <v>0</v>
      </c>
      <c r="BB25" s="3166">
        <f t="shared" si="43"/>
        <v>0</v>
      </c>
      <c r="BC25" s="3166">
        <f t="shared" si="44"/>
        <v>0</v>
      </c>
      <c r="BD25" s="3166">
        <f t="shared" si="45"/>
        <v>0</v>
      </c>
      <c r="BE25" s="3166">
        <f t="shared" si="46"/>
        <v>0</v>
      </c>
      <c r="BF25" s="3166">
        <f t="shared" si="47"/>
        <v>0</v>
      </c>
      <c r="BG25" s="3166">
        <f t="shared" si="48"/>
        <v>0</v>
      </c>
      <c r="BH25" s="3166">
        <f t="shared" si="49"/>
        <v>0</v>
      </c>
      <c r="BI25" s="3166">
        <f t="shared" si="50"/>
        <v>0</v>
      </c>
      <c r="BJ25" s="3166">
        <f t="shared" si="51"/>
        <v>0</v>
      </c>
      <c r="BK25" s="3166">
        <f t="shared" si="52"/>
        <v>0</v>
      </c>
      <c r="BL25" s="3166">
        <f t="shared" si="53"/>
        <v>0</v>
      </c>
      <c r="BM25" s="3166">
        <f t="shared" si="54"/>
        <v>0</v>
      </c>
      <c r="BN25" s="3166">
        <f t="shared" si="55"/>
        <v>0</v>
      </c>
      <c r="BO25" s="3166">
        <f t="shared" si="56"/>
        <v>0</v>
      </c>
      <c r="BP25" s="3166">
        <f t="shared" si="57"/>
        <v>0</v>
      </c>
      <c r="BQ25" s="3166">
        <f t="shared" si="58"/>
        <v>0</v>
      </c>
      <c r="BR25" s="3166">
        <f t="shared" si="59"/>
        <v>0</v>
      </c>
      <c r="BS25" s="3166">
        <f t="shared" si="60"/>
        <v>0</v>
      </c>
      <c r="BT25" s="3240">
        <f t="shared" si="61"/>
        <v>0</v>
      </c>
    </row>
    <row r="26" spans="1:72">
      <c r="A26" s="3163"/>
      <c r="B26" s="3173"/>
      <c r="C26" s="3171"/>
      <c r="D26" s="3172"/>
      <c r="E26" s="3166">
        <f t="shared" si="33"/>
        <v>0</v>
      </c>
      <c r="F26" s="3167"/>
      <c r="G26" s="3168">
        <f t="shared" si="34"/>
        <v>0</v>
      </c>
      <c r="H26" s="3169">
        <f t="shared" si="35"/>
        <v>0</v>
      </c>
      <c r="I26" s="3175"/>
      <c r="J26" s="3187"/>
      <c r="K26" s="3175"/>
      <c r="L26" s="3187"/>
      <c r="M26" s="3187"/>
      <c r="N26" s="3187"/>
      <c r="O26" s="3187"/>
      <c r="P26" s="3187"/>
      <c r="Q26" s="3187"/>
      <c r="R26" s="3187"/>
      <c r="S26" s="3187"/>
      <c r="T26" s="3187"/>
      <c r="U26" s="3187"/>
      <c r="V26" s="3187"/>
      <c r="W26" s="3187"/>
      <c r="X26" s="3187"/>
      <c r="Y26" s="3187"/>
      <c r="Z26" s="3187"/>
      <c r="AA26" s="3187"/>
      <c r="AB26" s="3187"/>
      <c r="AC26" s="3166">
        <f t="shared" si="36"/>
        <v>0</v>
      </c>
      <c r="AD26" s="3198"/>
      <c r="AE26" s="3198"/>
      <c r="AF26" s="3199"/>
      <c r="AG26" s="3198"/>
      <c r="AH26" s="3198"/>
      <c r="AI26" s="3198"/>
      <c r="AJ26" s="3198"/>
      <c r="AK26" s="3198"/>
      <c r="AL26" s="3198"/>
      <c r="AM26" s="3198"/>
      <c r="AN26" s="3198"/>
      <c r="AO26" s="3198"/>
      <c r="AP26" s="3198"/>
      <c r="AQ26" s="3198"/>
      <c r="AR26" s="3198"/>
      <c r="AS26" s="3198"/>
      <c r="AT26" s="3218"/>
      <c r="AU26" s="3219"/>
      <c r="AV26" s="488">
        <f t="shared" si="37"/>
        <v>0</v>
      </c>
      <c r="AW26" s="488">
        <f t="shared" si="38"/>
        <v>0</v>
      </c>
      <c r="AX26" s="488">
        <f t="shared" si="39"/>
        <v>0</v>
      </c>
      <c r="AY26" s="3235">
        <f t="shared" si="40"/>
        <v>0</v>
      </c>
      <c r="AZ26" s="3166">
        <f t="shared" si="41"/>
        <v>0</v>
      </c>
      <c r="BA26" s="3166">
        <f t="shared" si="42"/>
        <v>0</v>
      </c>
      <c r="BB26" s="3166">
        <f t="shared" si="43"/>
        <v>0</v>
      </c>
      <c r="BC26" s="3166">
        <f t="shared" si="44"/>
        <v>0</v>
      </c>
      <c r="BD26" s="3166">
        <f t="shared" si="45"/>
        <v>0</v>
      </c>
      <c r="BE26" s="3166">
        <f t="shared" si="46"/>
        <v>0</v>
      </c>
      <c r="BF26" s="3166">
        <f t="shared" si="47"/>
        <v>0</v>
      </c>
      <c r="BG26" s="3166">
        <f t="shared" si="48"/>
        <v>0</v>
      </c>
      <c r="BH26" s="3166">
        <f t="shared" si="49"/>
        <v>0</v>
      </c>
      <c r="BI26" s="3166">
        <f t="shared" si="50"/>
        <v>0</v>
      </c>
      <c r="BJ26" s="3166">
        <f t="shared" si="51"/>
        <v>0</v>
      </c>
      <c r="BK26" s="3166">
        <f t="shared" si="52"/>
        <v>0</v>
      </c>
      <c r="BL26" s="3166">
        <f t="shared" si="53"/>
        <v>0</v>
      </c>
      <c r="BM26" s="3166">
        <f t="shared" si="54"/>
        <v>0</v>
      </c>
      <c r="BN26" s="3166">
        <f t="shared" si="55"/>
        <v>0</v>
      </c>
      <c r="BO26" s="3166">
        <f t="shared" si="56"/>
        <v>0</v>
      </c>
      <c r="BP26" s="3166">
        <f t="shared" si="57"/>
        <v>0</v>
      </c>
      <c r="BQ26" s="3166">
        <f t="shared" si="58"/>
        <v>0</v>
      </c>
      <c r="BR26" s="3166">
        <f t="shared" si="59"/>
        <v>0</v>
      </c>
      <c r="BS26" s="3166">
        <f t="shared" si="60"/>
        <v>0</v>
      </c>
      <c r="BT26" s="3240">
        <f t="shared" si="61"/>
        <v>0</v>
      </c>
    </row>
    <row r="27" spans="1:72">
      <c r="A27" s="3163"/>
      <c r="B27" s="3173"/>
      <c r="C27" s="3171"/>
      <c r="D27" s="3172"/>
      <c r="E27" s="3166">
        <f t="shared" si="33"/>
        <v>0</v>
      </c>
      <c r="F27" s="3167"/>
      <c r="G27" s="3168">
        <f t="shared" si="34"/>
        <v>0</v>
      </c>
      <c r="H27" s="3169">
        <f t="shared" si="35"/>
        <v>0</v>
      </c>
      <c r="I27" s="3175"/>
      <c r="J27" s="3187"/>
      <c r="K27" s="3175"/>
      <c r="L27" s="3187"/>
      <c r="M27" s="3187"/>
      <c r="N27" s="3187"/>
      <c r="O27" s="3187"/>
      <c r="P27" s="3187"/>
      <c r="Q27" s="3187"/>
      <c r="R27" s="3187"/>
      <c r="S27" s="3187"/>
      <c r="T27" s="3187"/>
      <c r="U27" s="3187"/>
      <c r="V27" s="3187"/>
      <c r="W27" s="3187"/>
      <c r="X27" s="3187"/>
      <c r="Y27" s="3187"/>
      <c r="Z27" s="3187"/>
      <c r="AA27" s="3187"/>
      <c r="AB27" s="3187"/>
      <c r="AC27" s="3166">
        <f t="shared" si="36"/>
        <v>0</v>
      </c>
      <c r="AD27" s="3198"/>
      <c r="AE27" s="3198"/>
      <c r="AF27" s="3199"/>
      <c r="AG27" s="3198"/>
      <c r="AH27" s="3198"/>
      <c r="AI27" s="3198"/>
      <c r="AJ27" s="3198"/>
      <c r="AK27" s="3198"/>
      <c r="AL27" s="3198"/>
      <c r="AM27" s="3198"/>
      <c r="AN27" s="3198"/>
      <c r="AO27" s="3198"/>
      <c r="AP27" s="3198"/>
      <c r="AQ27" s="3198"/>
      <c r="AR27" s="3198"/>
      <c r="AS27" s="3198"/>
      <c r="AT27" s="3218"/>
      <c r="AU27" s="3219"/>
      <c r="AV27" s="488">
        <f t="shared" si="37"/>
        <v>0</v>
      </c>
      <c r="AW27" s="488">
        <f t="shared" si="38"/>
        <v>0</v>
      </c>
      <c r="AX27" s="488">
        <f t="shared" si="39"/>
        <v>0</v>
      </c>
      <c r="AY27" s="3235">
        <f t="shared" si="40"/>
        <v>0</v>
      </c>
      <c r="AZ27" s="3166">
        <f t="shared" si="41"/>
        <v>0</v>
      </c>
      <c r="BA27" s="3166">
        <f t="shared" si="42"/>
        <v>0</v>
      </c>
      <c r="BB27" s="3166">
        <f t="shared" si="43"/>
        <v>0</v>
      </c>
      <c r="BC27" s="3166">
        <f t="shared" si="44"/>
        <v>0</v>
      </c>
      <c r="BD27" s="3166">
        <f t="shared" si="45"/>
        <v>0</v>
      </c>
      <c r="BE27" s="3166">
        <f t="shared" si="46"/>
        <v>0</v>
      </c>
      <c r="BF27" s="3166">
        <f t="shared" si="47"/>
        <v>0</v>
      </c>
      <c r="BG27" s="3166">
        <f t="shared" si="48"/>
        <v>0</v>
      </c>
      <c r="BH27" s="3166">
        <f t="shared" si="49"/>
        <v>0</v>
      </c>
      <c r="BI27" s="3166">
        <f t="shared" si="50"/>
        <v>0</v>
      </c>
      <c r="BJ27" s="3166">
        <f t="shared" si="51"/>
        <v>0</v>
      </c>
      <c r="BK27" s="3166">
        <f t="shared" si="52"/>
        <v>0</v>
      </c>
      <c r="BL27" s="3166">
        <f t="shared" si="53"/>
        <v>0</v>
      </c>
      <c r="BM27" s="3166">
        <f t="shared" si="54"/>
        <v>0</v>
      </c>
      <c r="BN27" s="3166">
        <f t="shared" si="55"/>
        <v>0</v>
      </c>
      <c r="BO27" s="3166">
        <f t="shared" si="56"/>
        <v>0</v>
      </c>
      <c r="BP27" s="3166">
        <f t="shared" si="57"/>
        <v>0</v>
      </c>
      <c r="BQ27" s="3166">
        <f t="shared" si="58"/>
        <v>0</v>
      </c>
      <c r="BR27" s="3166">
        <f t="shared" si="59"/>
        <v>0</v>
      </c>
      <c r="BS27" s="3166">
        <f t="shared" si="60"/>
        <v>0</v>
      </c>
      <c r="BT27" s="3240">
        <f t="shared" si="61"/>
        <v>0</v>
      </c>
    </row>
    <row r="28" spans="1:72">
      <c r="A28" s="3163"/>
      <c r="B28" s="3173"/>
      <c r="C28" s="3171"/>
      <c r="D28" s="3172"/>
      <c r="E28" s="3166">
        <f t="shared" si="33"/>
        <v>0</v>
      </c>
      <c r="F28" s="3167"/>
      <c r="G28" s="3168">
        <f t="shared" si="34"/>
        <v>0</v>
      </c>
      <c r="H28" s="3169">
        <f t="shared" si="35"/>
        <v>0</v>
      </c>
      <c r="I28" s="3175"/>
      <c r="J28" s="3187"/>
      <c r="K28" s="3175"/>
      <c r="L28" s="3187"/>
      <c r="M28" s="3187"/>
      <c r="N28" s="3187"/>
      <c r="O28" s="3187"/>
      <c r="P28" s="3187"/>
      <c r="Q28" s="3187"/>
      <c r="R28" s="3187"/>
      <c r="S28" s="3187"/>
      <c r="T28" s="3187"/>
      <c r="U28" s="3187"/>
      <c r="V28" s="3187"/>
      <c r="W28" s="3187"/>
      <c r="X28" s="3187"/>
      <c r="Y28" s="3187"/>
      <c r="Z28" s="3187"/>
      <c r="AA28" s="3187"/>
      <c r="AB28" s="3187"/>
      <c r="AC28" s="3166">
        <f t="shared" si="36"/>
        <v>0</v>
      </c>
      <c r="AD28" s="3198"/>
      <c r="AE28" s="3198"/>
      <c r="AF28" s="3175"/>
      <c r="AG28" s="3198"/>
      <c r="AH28" s="3198"/>
      <c r="AI28" s="3198"/>
      <c r="AJ28" s="3198"/>
      <c r="AK28" s="3198"/>
      <c r="AL28" s="3198"/>
      <c r="AM28" s="3198"/>
      <c r="AN28" s="3198"/>
      <c r="AO28" s="3198"/>
      <c r="AP28" s="3198"/>
      <c r="AQ28" s="3198"/>
      <c r="AR28" s="3198"/>
      <c r="AS28" s="3198"/>
      <c r="AT28" s="3218"/>
      <c r="AU28" s="3219"/>
      <c r="AV28" s="488">
        <f t="shared" si="37"/>
        <v>0</v>
      </c>
      <c r="AW28" s="488">
        <f t="shared" si="38"/>
        <v>0</v>
      </c>
      <c r="AX28" s="488">
        <f t="shared" si="39"/>
        <v>0</v>
      </c>
      <c r="AY28" s="3235">
        <f t="shared" si="40"/>
        <v>0</v>
      </c>
      <c r="AZ28" s="3166">
        <f t="shared" si="41"/>
        <v>0</v>
      </c>
      <c r="BA28" s="3166">
        <f t="shared" si="42"/>
        <v>0</v>
      </c>
      <c r="BB28" s="3166">
        <f t="shared" si="43"/>
        <v>0</v>
      </c>
      <c r="BC28" s="3166">
        <f t="shared" si="44"/>
        <v>0</v>
      </c>
      <c r="BD28" s="3166">
        <f t="shared" si="45"/>
        <v>0</v>
      </c>
      <c r="BE28" s="3166">
        <f t="shared" si="46"/>
        <v>0</v>
      </c>
      <c r="BF28" s="3166">
        <f t="shared" si="47"/>
        <v>0</v>
      </c>
      <c r="BG28" s="3166">
        <f t="shared" si="48"/>
        <v>0</v>
      </c>
      <c r="BH28" s="3166">
        <f t="shared" si="49"/>
        <v>0</v>
      </c>
      <c r="BI28" s="3166">
        <f t="shared" si="50"/>
        <v>0</v>
      </c>
      <c r="BJ28" s="3166">
        <f t="shared" si="51"/>
        <v>0</v>
      </c>
      <c r="BK28" s="3166">
        <f t="shared" si="52"/>
        <v>0</v>
      </c>
      <c r="BL28" s="3166">
        <f t="shared" si="53"/>
        <v>0</v>
      </c>
      <c r="BM28" s="3166">
        <f t="shared" si="54"/>
        <v>0</v>
      </c>
      <c r="BN28" s="3166">
        <f t="shared" si="55"/>
        <v>0</v>
      </c>
      <c r="BO28" s="3166">
        <f t="shared" si="56"/>
        <v>0</v>
      </c>
      <c r="BP28" s="3166">
        <f t="shared" si="57"/>
        <v>0</v>
      </c>
      <c r="BQ28" s="3166">
        <f t="shared" si="58"/>
        <v>0</v>
      </c>
      <c r="BR28" s="3166">
        <f t="shared" si="59"/>
        <v>0</v>
      </c>
      <c r="BS28" s="3166">
        <f t="shared" si="60"/>
        <v>0</v>
      </c>
      <c r="BT28" s="3240">
        <f t="shared" si="61"/>
        <v>0</v>
      </c>
    </row>
    <row r="29" spans="1:72">
      <c r="A29" s="3163"/>
      <c r="B29" s="3174"/>
      <c r="C29" s="3175"/>
      <c r="D29" s="3172"/>
      <c r="E29" s="3166">
        <f t="shared" si="33"/>
        <v>0</v>
      </c>
      <c r="F29" s="3167"/>
      <c r="G29" s="3168">
        <f t="shared" si="34"/>
        <v>0</v>
      </c>
      <c r="H29" s="3169">
        <f t="shared" si="35"/>
        <v>0</v>
      </c>
      <c r="I29" s="3175"/>
      <c r="J29" s="3187"/>
      <c r="K29" s="3175"/>
      <c r="L29" s="3187"/>
      <c r="M29" s="3187"/>
      <c r="N29" s="3187"/>
      <c r="O29" s="3187"/>
      <c r="P29" s="3187"/>
      <c r="Q29" s="3187"/>
      <c r="R29" s="3187"/>
      <c r="S29" s="3187"/>
      <c r="T29" s="3187"/>
      <c r="U29" s="3187"/>
      <c r="V29" s="3187"/>
      <c r="W29" s="3187"/>
      <c r="X29" s="3187"/>
      <c r="Y29" s="3187"/>
      <c r="Z29" s="3187"/>
      <c r="AA29" s="3187"/>
      <c r="AB29" s="3187"/>
      <c r="AC29" s="3166">
        <f t="shared" si="36"/>
        <v>0</v>
      </c>
      <c r="AD29" s="3198"/>
      <c r="AE29" s="3198"/>
      <c r="AF29" s="3175"/>
      <c r="AG29" s="3198"/>
      <c r="AH29" s="3198"/>
      <c r="AI29" s="3198"/>
      <c r="AJ29" s="3198"/>
      <c r="AK29" s="3198"/>
      <c r="AL29" s="3198"/>
      <c r="AM29" s="3198"/>
      <c r="AN29" s="3198"/>
      <c r="AO29" s="3198"/>
      <c r="AP29" s="3198"/>
      <c r="AQ29" s="3198"/>
      <c r="AR29" s="3198"/>
      <c r="AS29" s="3198"/>
      <c r="AT29" s="3218"/>
      <c r="AU29" s="3219"/>
      <c r="AV29" s="488">
        <f t="shared" si="37"/>
        <v>0</v>
      </c>
      <c r="AW29" s="488">
        <f t="shared" si="38"/>
        <v>0</v>
      </c>
      <c r="AX29" s="488">
        <f t="shared" si="39"/>
        <v>0</v>
      </c>
      <c r="AY29" s="3235">
        <f t="shared" si="40"/>
        <v>0</v>
      </c>
      <c r="AZ29" s="3166">
        <f t="shared" si="41"/>
        <v>0</v>
      </c>
      <c r="BA29" s="3166">
        <f t="shared" si="42"/>
        <v>0</v>
      </c>
      <c r="BB29" s="3166">
        <f t="shared" si="43"/>
        <v>0</v>
      </c>
      <c r="BC29" s="3166">
        <f t="shared" si="44"/>
        <v>0</v>
      </c>
      <c r="BD29" s="3166">
        <f t="shared" si="45"/>
        <v>0</v>
      </c>
      <c r="BE29" s="3166">
        <f t="shared" si="46"/>
        <v>0</v>
      </c>
      <c r="BF29" s="3166">
        <f t="shared" si="47"/>
        <v>0</v>
      </c>
      <c r="BG29" s="3166">
        <f t="shared" si="48"/>
        <v>0</v>
      </c>
      <c r="BH29" s="3166">
        <f t="shared" si="49"/>
        <v>0</v>
      </c>
      <c r="BI29" s="3166">
        <f t="shared" si="50"/>
        <v>0</v>
      </c>
      <c r="BJ29" s="3166">
        <f t="shared" si="51"/>
        <v>0</v>
      </c>
      <c r="BK29" s="3166">
        <f t="shared" si="52"/>
        <v>0</v>
      </c>
      <c r="BL29" s="3166">
        <f t="shared" si="53"/>
        <v>0</v>
      </c>
      <c r="BM29" s="3166">
        <f t="shared" si="54"/>
        <v>0</v>
      </c>
      <c r="BN29" s="3166">
        <f t="shared" si="55"/>
        <v>0</v>
      </c>
      <c r="BO29" s="3166">
        <f t="shared" si="56"/>
        <v>0</v>
      </c>
      <c r="BP29" s="3166">
        <f t="shared" si="57"/>
        <v>0</v>
      </c>
      <c r="BQ29" s="3166">
        <f t="shared" si="58"/>
        <v>0</v>
      </c>
      <c r="BR29" s="3166">
        <f t="shared" si="59"/>
        <v>0</v>
      </c>
      <c r="BS29" s="3166">
        <f t="shared" si="60"/>
        <v>0</v>
      </c>
      <c r="BT29" s="3240">
        <f t="shared" si="61"/>
        <v>0</v>
      </c>
    </row>
    <row r="30" spans="1:72">
      <c r="A30" s="3163"/>
      <c r="B30" s="3173"/>
      <c r="C30" s="3171"/>
      <c r="D30" s="3172"/>
      <c r="E30" s="3166">
        <f t="shared" si="33"/>
        <v>0</v>
      </c>
      <c r="F30" s="3167"/>
      <c r="G30" s="3168">
        <f t="shared" si="34"/>
        <v>0</v>
      </c>
      <c r="H30" s="3169">
        <f t="shared" si="35"/>
        <v>0</v>
      </c>
      <c r="I30" s="3175"/>
      <c r="J30" s="3187"/>
      <c r="K30" s="3175"/>
      <c r="L30" s="3187"/>
      <c r="M30" s="3187"/>
      <c r="N30" s="3187"/>
      <c r="O30" s="3187"/>
      <c r="P30" s="3187"/>
      <c r="Q30" s="3187"/>
      <c r="R30" s="3187"/>
      <c r="S30" s="3187"/>
      <c r="T30" s="3187"/>
      <c r="U30" s="3187"/>
      <c r="V30" s="3187"/>
      <c r="W30" s="3187"/>
      <c r="X30" s="3187"/>
      <c r="Y30" s="3187"/>
      <c r="Z30" s="3187"/>
      <c r="AA30" s="3187"/>
      <c r="AB30" s="3187"/>
      <c r="AC30" s="3166">
        <f t="shared" si="36"/>
        <v>0</v>
      </c>
      <c r="AD30" s="3198"/>
      <c r="AE30" s="3198"/>
      <c r="AF30" s="3175"/>
      <c r="AG30" s="3198"/>
      <c r="AH30" s="3198"/>
      <c r="AI30" s="3198"/>
      <c r="AJ30" s="3198"/>
      <c r="AK30" s="3198"/>
      <c r="AL30" s="3198"/>
      <c r="AM30" s="3198"/>
      <c r="AN30" s="3198"/>
      <c r="AO30" s="3198"/>
      <c r="AP30" s="3198"/>
      <c r="AQ30" s="3198"/>
      <c r="AR30" s="3198"/>
      <c r="AS30" s="3198"/>
      <c r="AT30" s="3218"/>
      <c r="AU30" s="3219"/>
      <c r="AV30" s="488">
        <f t="shared" si="37"/>
        <v>0</v>
      </c>
      <c r="AW30" s="488">
        <f t="shared" si="38"/>
        <v>0</v>
      </c>
      <c r="AX30" s="488">
        <f t="shared" si="39"/>
        <v>0</v>
      </c>
      <c r="AY30" s="3235">
        <f t="shared" si="40"/>
        <v>0</v>
      </c>
      <c r="AZ30" s="3166">
        <f t="shared" si="41"/>
        <v>0</v>
      </c>
      <c r="BA30" s="3166">
        <f t="shared" si="42"/>
        <v>0</v>
      </c>
      <c r="BB30" s="3166">
        <f t="shared" si="43"/>
        <v>0</v>
      </c>
      <c r="BC30" s="3166">
        <f t="shared" si="44"/>
        <v>0</v>
      </c>
      <c r="BD30" s="3166">
        <f t="shared" si="45"/>
        <v>0</v>
      </c>
      <c r="BE30" s="3166">
        <f t="shared" si="46"/>
        <v>0</v>
      </c>
      <c r="BF30" s="3166">
        <f t="shared" si="47"/>
        <v>0</v>
      </c>
      <c r="BG30" s="3166">
        <f t="shared" si="48"/>
        <v>0</v>
      </c>
      <c r="BH30" s="3166">
        <f t="shared" si="49"/>
        <v>0</v>
      </c>
      <c r="BI30" s="3166">
        <f t="shared" si="50"/>
        <v>0</v>
      </c>
      <c r="BJ30" s="3166">
        <f t="shared" si="51"/>
        <v>0</v>
      </c>
      <c r="BK30" s="3166">
        <f t="shared" si="52"/>
        <v>0</v>
      </c>
      <c r="BL30" s="3166">
        <f t="shared" si="53"/>
        <v>0</v>
      </c>
      <c r="BM30" s="3166">
        <f t="shared" si="54"/>
        <v>0</v>
      </c>
      <c r="BN30" s="3166">
        <f t="shared" si="55"/>
        <v>0</v>
      </c>
      <c r="BO30" s="3166">
        <f t="shared" si="56"/>
        <v>0</v>
      </c>
      <c r="BP30" s="3166">
        <f t="shared" si="57"/>
        <v>0</v>
      </c>
      <c r="BQ30" s="3166">
        <f t="shared" si="58"/>
        <v>0</v>
      </c>
      <c r="BR30" s="3166">
        <f t="shared" si="59"/>
        <v>0</v>
      </c>
      <c r="BS30" s="3166">
        <f t="shared" si="60"/>
        <v>0</v>
      </c>
      <c r="BT30" s="3240">
        <f t="shared" si="61"/>
        <v>0</v>
      </c>
    </row>
    <row r="31" spans="1:72">
      <c r="A31" s="3163"/>
      <c r="B31" s="3173"/>
      <c r="C31" s="3171"/>
      <c r="D31" s="3172"/>
      <c r="E31" s="3166">
        <f t="shared" si="33"/>
        <v>0</v>
      </c>
      <c r="F31" s="3167"/>
      <c r="G31" s="3168">
        <f t="shared" si="34"/>
        <v>0</v>
      </c>
      <c r="H31" s="3169">
        <f t="shared" si="35"/>
        <v>0</v>
      </c>
      <c r="I31" s="3175"/>
      <c r="J31" s="3187"/>
      <c r="K31" s="3175"/>
      <c r="L31" s="3187"/>
      <c r="M31" s="3187"/>
      <c r="N31" s="3187"/>
      <c r="O31" s="3187"/>
      <c r="P31" s="3187"/>
      <c r="Q31" s="3187"/>
      <c r="R31" s="3187"/>
      <c r="S31" s="3187"/>
      <c r="T31" s="3187"/>
      <c r="U31" s="3187"/>
      <c r="V31" s="3187"/>
      <c r="W31" s="3187"/>
      <c r="X31" s="3187"/>
      <c r="Y31" s="3187"/>
      <c r="Z31" s="3187"/>
      <c r="AA31" s="3187"/>
      <c r="AB31" s="3187"/>
      <c r="AC31" s="3166">
        <f t="shared" si="36"/>
        <v>0</v>
      </c>
      <c r="AD31" s="3198"/>
      <c r="AE31" s="3198"/>
      <c r="AF31" s="3175"/>
      <c r="AG31" s="3198"/>
      <c r="AH31" s="3198"/>
      <c r="AI31" s="3198"/>
      <c r="AJ31" s="3198"/>
      <c r="AK31" s="3198"/>
      <c r="AL31" s="3198"/>
      <c r="AM31" s="3198"/>
      <c r="AN31" s="3198"/>
      <c r="AO31" s="3198"/>
      <c r="AP31" s="3198"/>
      <c r="AQ31" s="3198"/>
      <c r="AR31" s="3198"/>
      <c r="AS31" s="3198"/>
      <c r="AT31" s="3218"/>
      <c r="AU31" s="3219"/>
      <c r="AV31" s="488">
        <f t="shared" si="37"/>
        <v>0</v>
      </c>
      <c r="AW31" s="488">
        <f t="shared" si="38"/>
        <v>0</v>
      </c>
      <c r="AX31" s="488">
        <f t="shared" si="39"/>
        <v>0</v>
      </c>
      <c r="AY31" s="3235">
        <f t="shared" si="40"/>
        <v>0</v>
      </c>
      <c r="AZ31" s="3166">
        <f t="shared" si="41"/>
        <v>0</v>
      </c>
      <c r="BA31" s="3166">
        <f t="shared" si="42"/>
        <v>0</v>
      </c>
      <c r="BB31" s="3166">
        <f t="shared" si="43"/>
        <v>0</v>
      </c>
      <c r="BC31" s="3166">
        <f t="shared" si="44"/>
        <v>0</v>
      </c>
      <c r="BD31" s="3166">
        <f t="shared" si="45"/>
        <v>0</v>
      </c>
      <c r="BE31" s="3166">
        <f t="shared" si="46"/>
        <v>0</v>
      </c>
      <c r="BF31" s="3166">
        <f t="shared" si="47"/>
        <v>0</v>
      </c>
      <c r="BG31" s="3166">
        <f t="shared" si="48"/>
        <v>0</v>
      </c>
      <c r="BH31" s="3166">
        <f t="shared" si="49"/>
        <v>0</v>
      </c>
      <c r="BI31" s="3166">
        <f t="shared" si="50"/>
        <v>0</v>
      </c>
      <c r="BJ31" s="3166">
        <f t="shared" si="51"/>
        <v>0</v>
      </c>
      <c r="BK31" s="3166">
        <f t="shared" si="52"/>
        <v>0</v>
      </c>
      <c r="BL31" s="3166">
        <f t="shared" si="53"/>
        <v>0</v>
      </c>
      <c r="BM31" s="3166">
        <f t="shared" si="54"/>
        <v>0</v>
      </c>
      <c r="BN31" s="3166">
        <f t="shared" si="55"/>
        <v>0</v>
      </c>
      <c r="BO31" s="3166">
        <f t="shared" si="56"/>
        <v>0</v>
      </c>
      <c r="BP31" s="3166">
        <f t="shared" si="57"/>
        <v>0</v>
      </c>
      <c r="BQ31" s="3166">
        <f t="shared" si="58"/>
        <v>0</v>
      </c>
      <c r="BR31" s="3166">
        <f t="shared" si="59"/>
        <v>0</v>
      </c>
      <c r="BS31" s="3166">
        <f t="shared" si="60"/>
        <v>0</v>
      </c>
      <c r="BT31" s="3240">
        <f t="shared" si="61"/>
        <v>0</v>
      </c>
    </row>
    <row r="32" spans="1:72">
      <c r="A32" s="3163"/>
      <c r="B32" s="3173"/>
      <c r="C32" s="3171"/>
      <c r="D32" s="3172"/>
      <c r="E32" s="3166">
        <f t="shared" si="33"/>
        <v>0</v>
      </c>
      <c r="F32" s="3167"/>
      <c r="G32" s="3168">
        <f t="shared" si="34"/>
        <v>0</v>
      </c>
      <c r="H32" s="3169">
        <f t="shared" si="35"/>
        <v>0</v>
      </c>
      <c r="I32" s="3175"/>
      <c r="J32" s="3187"/>
      <c r="K32" s="3175"/>
      <c r="L32" s="3187"/>
      <c r="M32" s="3187"/>
      <c r="N32" s="3187"/>
      <c r="O32" s="3187"/>
      <c r="P32" s="3187"/>
      <c r="Q32" s="3187"/>
      <c r="R32" s="3187"/>
      <c r="S32" s="3187"/>
      <c r="T32" s="3187"/>
      <c r="U32" s="3187"/>
      <c r="V32" s="3187"/>
      <c r="W32" s="3187"/>
      <c r="X32" s="3187"/>
      <c r="Y32" s="3187"/>
      <c r="Z32" s="3187"/>
      <c r="AA32" s="3187"/>
      <c r="AB32" s="3187"/>
      <c r="AC32" s="3166">
        <f t="shared" si="36"/>
        <v>0</v>
      </c>
      <c r="AD32" s="3198"/>
      <c r="AE32" s="3198"/>
      <c r="AF32" s="3175"/>
      <c r="AG32" s="3198"/>
      <c r="AH32" s="3198"/>
      <c r="AI32" s="3198"/>
      <c r="AJ32" s="3198"/>
      <c r="AK32" s="3198"/>
      <c r="AL32" s="3198"/>
      <c r="AM32" s="3198"/>
      <c r="AN32" s="3198"/>
      <c r="AO32" s="3198"/>
      <c r="AP32" s="3198"/>
      <c r="AQ32" s="3198"/>
      <c r="AR32" s="3198"/>
      <c r="AS32" s="3198"/>
      <c r="AT32" s="3218"/>
      <c r="AU32" s="3219"/>
      <c r="AV32" s="488">
        <f t="shared" si="37"/>
        <v>0</v>
      </c>
      <c r="AW32" s="488">
        <f t="shared" si="38"/>
        <v>0</v>
      </c>
      <c r="AX32" s="488">
        <f t="shared" si="39"/>
        <v>0</v>
      </c>
      <c r="AY32" s="3235">
        <f t="shared" si="40"/>
        <v>0</v>
      </c>
      <c r="AZ32" s="3166">
        <f t="shared" si="41"/>
        <v>0</v>
      </c>
      <c r="BA32" s="3166">
        <f t="shared" si="42"/>
        <v>0</v>
      </c>
      <c r="BB32" s="3166">
        <f t="shared" si="43"/>
        <v>0</v>
      </c>
      <c r="BC32" s="3166">
        <f t="shared" si="44"/>
        <v>0</v>
      </c>
      <c r="BD32" s="3166">
        <f t="shared" si="45"/>
        <v>0</v>
      </c>
      <c r="BE32" s="3166">
        <f t="shared" si="46"/>
        <v>0</v>
      </c>
      <c r="BF32" s="3166">
        <f t="shared" si="47"/>
        <v>0</v>
      </c>
      <c r="BG32" s="3166">
        <f t="shared" si="48"/>
        <v>0</v>
      </c>
      <c r="BH32" s="3166">
        <f t="shared" si="49"/>
        <v>0</v>
      </c>
      <c r="BI32" s="3166">
        <f t="shared" si="50"/>
        <v>0</v>
      </c>
      <c r="BJ32" s="3166">
        <f t="shared" si="51"/>
        <v>0</v>
      </c>
      <c r="BK32" s="3166">
        <f t="shared" si="52"/>
        <v>0</v>
      </c>
      <c r="BL32" s="3166">
        <f t="shared" si="53"/>
        <v>0</v>
      </c>
      <c r="BM32" s="3166">
        <f t="shared" si="54"/>
        <v>0</v>
      </c>
      <c r="BN32" s="3166">
        <f t="shared" si="55"/>
        <v>0</v>
      </c>
      <c r="BO32" s="3166">
        <f t="shared" si="56"/>
        <v>0</v>
      </c>
      <c r="BP32" s="3166">
        <f t="shared" si="57"/>
        <v>0</v>
      </c>
      <c r="BQ32" s="3166">
        <f t="shared" si="58"/>
        <v>0</v>
      </c>
      <c r="BR32" s="3166">
        <f t="shared" si="59"/>
        <v>0</v>
      </c>
      <c r="BS32" s="3166">
        <f t="shared" si="60"/>
        <v>0</v>
      </c>
      <c r="BT32" s="3240">
        <f t="shared" si="61"/>
        <v>0</v>
      </c>
    </row>
    <row r="33" spans="1:72">
      <c r="A33" s="3163"/>
      <c r="B33" s="3173"/>
      <c r="C33" s="3171"/>
      <c r="D33" s="3172"/>
      <c r="E33" s="3166">
        <f t="shared" si="33"/>
        <v>0</v>
      </c>
      <c r="F33" s="3167"/>
      <c r="G33" s="3168">
        <f t="shared" si="34"/>
        <v>0</v>
      </c>
      <c r="H33" s="3169">
        <f t="shared" si="35"/>
        <v>0</v>
      </c>
      <c r="I33" s="3175"/>
      <c r="J33" s="3187"/>
      <c r="K33" s="3175"/>
      <c r="L33" s="3187"/>
      <c r="M33" s="3187"/>
      <c r="N33" s="3187"/>
      <c r="O33" s="3187"/>
      <c r="P33" s="3187"/>
      <c r="Q33" s="3187"/>
      <c r="R33" s="3187"/>
      <c r="S33" s="3187"/>
      <c r="T33" s="3187"/>
      <c r="U33" s="3187"/>
      <c r="V33" s="3187"/>
      <c r="W33" s="3187"/>
      <c r="X33" s="3187"/>
      <c r="Y33" s="3187"/>
      <c r="Z33" s="3187"/>
      <c r="AA33" s="3187"/>
      <c r="AB33" s="3187"/>
      <c r="AC33" s="3166">
        <f t="shared" si="36"/>
        <v>0</v>
      </c>
      <c r="AD33" s="3198"/>
      <c r="AE33" s="3198"/>
      <c r="AF33" s="3175"/>
      <c r="AG33" s="3198"/>
      <c r="AH33" s="3198"/>
      <c r="AI33" s="3198"/>
      <c r="AJ33" s="3198"/>
      <c r="AK33" s="3198"/>
      <c r="AL33" s="3198"/>
      <c r="AM33" s="3198"/>
      <c r="AN33" s="3198"/>
      <c r="AO33" s="3198"/>
      <c r="AP33" s="3198"/>
      <c r="AQ33" s="3198"/>
      <c r="AR33" s="3198"/>
      <c r="AS33" s="3198"/>
      <c r="AT33" s="3218"/>
      <c r="AU33" s="3219"/>
      <c r="AV33" s="488">
        <f t="shared" si="37"/>
        <v>0</v>
      </c>
      <c r="AW33" s="488">
        <f t="shared" si="38"/>
        <v>0</v>
      </c>
      <c r="AX33" s="488">
        <f t="shared" si="39"/>
        <v>0</v>
      </c>
      <c r="AY33" s="3235">
        <f t="shared" si="40"/>
        <v>0</v>
      </c>
      <c r="AZ33" s="3166">
        <f t="shared" si="41"/>
        <v>0</v>
      </c>
      <c r="BA33" s="3166">
        <f t="shared" si="42"/>
        <v>0</v>
      </c>
      <c r="BB33" s="3166">
        <f t="shared" si="43"/>
        <v>0</v>
      </c>
      <c r="BC33" s="3166">
        <f t="shared" si="44"/>
        <v>0</v>
      </c>
      <c r="BD33" s="3166">
        <f t="shared" si="45"/>
        <v>0</v>
      </c>
      <c r="BE33" s="3166">
        <f t="shared" si="46"/>
        <v>0</v>
      </c>
      <c r="BF33" s="3166">
        <f t="shared" si="47"/>
        <v>0</v>
      </c>
      <c r="BG33" s="3166">
        <f t="shared" si="48"/>
        <v>0</v>
      </c>
      <c r="BH33" s="3166">
        <f t="shared" si="49"/>
        <v>0</v>
      </c>
      <c r="BI33" s="3166">
        <f t="shared" si="50"/>
        <v>0</v>
      </c>
      <c r="BJ33" s="3166">
        <f t="shared" si="51"/>
        <v>0</v>
      </c>
      <c r="BK33" s="3166">
        <f t="shared" si="52"/>
        <v>0</v>
      </c>
      <c r="BL33" s="3166">
        <f t="shared" si="53"/>
        <v>0</v>
      </c>
      <c r="BM33" s="3166">
        <f t="shared" si="54"/>
        <v>0</v>
      </c>
      <c r="BN33" s="3166">
        <f t="shared" si="55"/>
        <v>0</v>
      </c>
      <c r="BO33" s="3166">
        <f t="shared" si="56"/>
        <v>0</v>
      </c>
      <c r="BP33" s="3166">
        <f t="shared" si="57"/>
        <v>0</v>
      </c>
      <c r="BQ33" s="3166">
        <f t="shared" si="58"/>
        <v>0</v>
      </c>
      <c r="BR33" s="3166">
        <f t="shared" si="59"/>
        <v>0</v>
      </c>
      <c r="BS33" s="3166">
        <f t="shared" si="60"/>
        <v>0</v>
      </c>
      <c r="BT33" s="3240">
        <f t="shared" si="61"/>
        <v>0</v>
      </c>
    </row>
    <row r="34" spans="1:72">
      <c r="A34" s="3163"/>
      <c r="B34" s="3173"/>
      <c r="C34" s="3171"/>
      <c r="D34" s="3172"/>
      <c r="E34" s="3166">
        <f t="shared" si="33"/>
        <v>0</v>
      </c>
      <c r="F34" s="3167"/>
      <c r="G34" s="3168">
        <f t="shared" si="34"/>
        <v>0</v>
      </c>
      <c r="H34" s="3169">
        <f t="shared" si="35"/>
        <v>0</v>
      </c>
      <c r="I34" s="3175"/>
      <c r="J34" s="3187"/>
      <c r="K34" s="3175"/>
      <c r="L34" s="3187"/>
      <c r="M34" s="3187"/>
      <c r="N34" s="3187"/>
      <c r="O34" s="3187"/>
      <c r="P34" s="3187"/>
      <c r="Q34" s="3187"/>
      <c r="R34" s="3187"/>
      <c r="S34" s="3187"/>
      <c r="T34" s="3187"/>
      <c r="U34" s="3187"/>
      <c r="V34" s="3187"/>
      <c r="W34" s="3187"/>
      <c r="X34" s="3187"/>
      <c r="Y34" s="3187"/>
      <c r="Z34" s="3187"/>
      <c r="AA34" s="3187"/>
      <c r="AB34" s="3187"/>
      <c r="AC34" s="3166">
        <f t="shared" si="36"/>
        <v>0</v>
      </c>
      <c r="AD34" s="3198"/>
      <c r="AE34" s="3198"/>
      <c r="AF34" s="3175"/>
      <c r="AG34" s="3198"/>
      <c r="AH34" s="3198"/>
      <c r="AI34" s="3198"/>
      <c r="AJ34" s="3198"/>
      <c r="AK34" s="3198"/>
      <c r="AL34" s="3198"/>
      <c r="AM34" s="3198"/>
      <c r="AN34" s="3198"/>
      <c r="AO34" s="3198"/>
      <c r="AP34" s="3198"/>
      <c r="AQ34" s="3198"/>
      <c r="AR34" s="3198"/>
      <c r="AS34" s="3198"/>
      <c r="AT34" s="3218"/>
      <c r="AU34" s="3219"/>
      <c r="AV34" s="488">
        <f t="shared" si="37"/>
        <v>0</v>
      </c>
      <c r="AW34" s="488">
        <f t="shared" si="38"/>
        <v>0</v>
      </c>
      <c r="AX34" s="488">
        <f t="shared" si="39"/>
        <v>0</v>
      </c>
      <c r="AY34" s="3235">
        <f t="shared" si="40"/>
        <v>0</v>
      </c>
      <c r="AZ34" s="3166">
        <f t="shared" si="41"/>
        <v>0</v>
      </c>
      <c r="BA34" s="3166">
        <f t="shared" si="42"/>
        <v>0</v>
      </c>
      <c r="BB34" s="3166">
        <f t="shared" si="43"/>
        <v>0</v>
      </c>
      <c r="BC34" s="3166">
        <f t="shared" si="44"/>
        <v>0</v>
      </c>
      <c r="BD34" s="3166">
        <f t="shared" si="45"/>
        <v>0</v>
      </c>
      <c r="BE34" s="3166">
        <f t="shared" si="46"/>
        <v>0</v>
      </c>
      <c r="BF34" s="3166">
        <f t="shared" si="47"/>
        <v>0</v>
      </c>
      <c r="BG34" s="3166">
        <f t="shared" si="48"/>
        <v>0</v>
      </c>
      <c r="BH34" s="3166">
        <f t="shared" si="49"/>
        <v>0</v>
      </c>
      <c r="BI34" s="3166">
        <f t="shared" si="50"/>
        <v>0</v>
      </c>
      <c r="BJ34" s="3166">
        <f t="shared" si="51"/>
        <v>0</v>
      </c>
      <c r="BK34" s="3166">
        <f t="shared" si="52"/>
        <v>0</v>
      </c>
      <c r="BL34" s="3166">
        <f t="shared" si="53"/>
        <v>0</v>
      </c>
      <c r="BM34" s="3166">
        <f t="shared" si="54"/>
        <v>0</v>
      </c>
      <c r="BN34" s="3166">
        <f t="shared" si="55"/>
        <v>0</v>
      </c>
      <c r="BO34" s="3166">
        <f t="shared" si="56"/>
        <v>0</v>
      </c>
      <c r="BP34" s="3166">
        <f t="shared" si="57"/>
        <v>0</v>
      </c>
      <c r="BQ34" s="3166">
        <f t="shared" si="58"/>
        <v>0</v>
      </c>
      <c r="BR34" s="3166">
        <f t="shared" si="59"/>
        <v>0</v>
      </c>
      <c r="BS34" s="3166">
        <f t="shared" si="60"/>
        <v>0</v>
      </c>
      <c r="BT34" s="3240">
        <f t="shared" si="61"/>
        <v>0</v>
      </c>
    </row>
    <row r="35" spans="1:72">
      <c r="A35" s="3163"/>
      <c r="B35" s="3173"/>
      <c r="C35" s="3171"/>
      <c r="D35" s="3172"/>
      <c r="E35" s="3166">
        <f t="shared" si="33"/>
        <v>0</v>
      </c>
      <c r="F35" s="3167"/>
      <c r="G35" s="3168">
        <f t="shared" si="34"/>
        <v>0</v>
      </c>
      <c r="H35" s="3169">
        <f t="shared" si="35"/>
        <v>0</v>
      </c>
      <c r="I35" s="3175"/>
      <c r="J35" s="3187"/>
      <c r="K35" s="3175"/>
      <c r="L35" s="3187"/>
      <c r="M35" s="3187"/>
      <c r="N35" s="3187"/>
      <c r="O35" s="3187"/>
      <c r="P35" s="3187"/>
      <c r="Q35" s="3187"/>
      <c r="R35" s="3187"/>
      <c r="S35" s="3187"/>
      <c r="T35" s="3187"/>
      <c r="U35" s="3187"/>
      <c r="V35" s="3187"/>
      <c r="W35" s="3187"/>
      <c r="X35" s="3187"/>
      <c r="Y35" s="3187"/>
      <c r="Z35" s="3187"/>
      <c r="AA35" s="3187"/>
      <c r="AB35" s="3187"/>
      <c r="AC35" s="3166">
        <f t="shared" si="36"/>
        <v>0</v>
      </c>
      <c r="AD35" s="3198"/>
      <c r="AE35" s="3198"/>
      <c r="AF35" s="3175"/>
      <c r="AG35" s="3198"/>
      <c r="AH35" s="3198"/>
      <c r="AI35" s="3198"/>
      <c r="AJ35" s="3198"/>
      <c r="AK35" s="3198"/>
      <c r="AL35" s="3198"/>
      <c r="AM35" s="3198"/>
      <c r="AN35" s="3198"/>
      <c r="AO35" s="3198"/>
      <c r="AP35" s="3198"/>
      <c r="AQ35" s="3198"/>
      <c r="AR35" s="3198"/>
      <c r="AS35" s="3198"/>
      <c r="AT35" s="3218"/>
      <c r="AU35" s="3219"/>
      <c r="AV35" s="488">
        <f t="shared" si="37"/>
        <v>0</v>
      </c>
      <c r="AW35" s="488">
        <f t="shared" si="38"/>
        <v>0</v>
      </c>
      <c r="AX35" s="488">
        <f t="shared" si="39"/>
        <v>0</v>
      </c>
      <c r="AY35" s="3235">
        <f t="shared" si="40"/>
        <v>0</v>
      </c>
      <c r="AZ35" s="3166">
        <f t="shared" si="41"/>
        <v>0</v>
      </c>
      <c r="BA35" s="3166">
        <f t="shared" si="42"/>
        <v>0</v>
      </c>
      <c r="BB35" s="3166">
        <f t="shared" si="43"/>
        <v>0</v>
      </c>
      <c r="BC35" s="3166">
        <f t="shared" si="44"/>
        <v>0</v>
      </c>
      <c r="BD35" s="3166">
        <f t="shared" si="45"/>
        <v>0</v>
      </c>
      <c r="BE35" s="3166">
        <f t="shared" si="46"/>
        <v>0</v>
      </c>
      <c r="BF35" s="3166">
        <f t="shared" si="47"/>
        <v>0</v>
      </c>
      <c r="BG35" s="3166">
        <f t="shared" si="48"/>
        <v>0</v>
      </c>
      <c r="BH35" s="3166">
        <f t="shared" si="49"/>
        <v>0</v>
      </c>
      <c r="BI35" s="3166">
        <f t="shared" si="50"/>
        <v>0</v>
      </c>
      <c r="BJ35" s="3166">
        <f t="shared" si="51"/>
        <v>0</v>
      </c>
      <c r="BK35" s="3166">
        <f t="shared" si="52"/>
        <v>0</v>
      </c>
      <c r="BL35" s="3166">
        <f t="shared" si="53"/>
        <v>0</v>
      </c>
      <c r="BM35" s="3166">
        <f t="shared" si="54"/>
        <v>0</v>
      </c>
      <c r="BN35" s="3166">
        <f t="shared" si="55"/>
        <v>0</v>
      </c>
      <c r="BO35" s="3166">
        <f t="shared" si="56"/>
        <v>0</v>
      </c>
      <c r="BP35" s="3166">
        <f t="shared" si="57"/>
        <v>0</v>
      </c>
      <c r="BQ35" s="3166">
        <f t="shared" si="58"/>
        <v>0</v>
      </c>
      <c r="BR35" s="3166">
        <f t="shared" si="59"/>
        <v>0</v>
      </c>
      <c r="BS35" s="3166">
        <f t="shared" si="60"/>
        <v>0</v>
      </c>
      <c r="BT35" s="3240">
        <f t="shared" si="61"/>
        <v>0</v>
      </c>
    </row>
    <row r="36" spans="1:72">
      <c r="A36" s="3163"/>
      <c r="B36" s="3173"/>
      <c r="C36" s="3171"/>
      <c r="D36" s="3172"/>
      <c r="E36" s="3166">
        <f t="shared" si="33"/>
        <v>0</v>
      </c>
      <c r="F36" s="3167"/>
      <c r="G36" s="3168">
        <f t="shared" si="34"/>
        <v>0</v>
      </c>
      <c r="H36" s="3169">
        <f t="shared" si="35"/>
        <v>0</v>
      </c>
      <c r="I36" s="3175"/>
      <c r="J36" s="3187"/>
      <c r="K36" s="3175"/>
      <c r="L36" s="3187"/>
      <c r="M36" s="3187"/>
      <c r="N36" s="3187"/>
      <c r="O36" s="3187"/>
      <c r="P36" s="3187"/>
      <c r="Q36" s="3187"/>
      <c r="R36" s="3187"/>
      <c r="S36" s="3187"/>
      <c r="T36" s="3187"/>
      <c r="U36" s="3187"/>
      <c r="V36" s="3187"/>
      <c r="W36" s="3187"/>
      <c r="X36" s="3187"/>
      <c r="Y36" s="3187"/>
      <c r="Z36" s="3187"/>
      <c r="AA36" s="3187"/>
      <c r="AB36" s="3187"/>
      <c r="AC36" s="3166">
        <f t="shared" si="36"/>
        <v>0</v>
      </c>
      <c r="AD36" s="3198"/>
      <c r="AE36" s="3198"/>
      <c r="AF36" s="3175"/>
      <c r="AG36" s="3198"/>
      <c r="AH36" s="3198"/>
      <c r="AI36" s="3198"/>
      <c r="AJ36" s="3198"/>
      <c r="AK36" s="3198"/>
      <c r="AL36" s="3198"/>
      <c r="AM36" s="3198"/>
      <c r="AN36" s="3198"/>
      <c r="AO36" s="3198"/>
      <c r="AP36" s="3198"/>
      <c r="AQ36" s="3198"/>
      <c r="AR36" s="3198"/>
      <c r="AS36" s="3198"/>
      <c r="AT36" s="3218"/>
      <c r="AU36" s="3219"/>
      <c r="AV36" s="488">
        <f t="shared" si="37"/>
        <v>0</v>
      </c>
      <c r="AW36" s="488">
        <f t="shared" si="38"/>
        <v>0</v>
      </c>
      <c r="AX36" s="488">
        <f t="shared" si="39"/>
        <v>0</v>
      </c>
      <c r="AY36" s="3235">
        <f t="shared" si="40"/>
        <v>0</v>
      </c>
      <c r="AZ36" s="3166">
        <f t="shared" si="41"/>
        <v>0</v>
      </c>
      <c r="BA36" s="3166">
        <f t="shared" si="42"/>
        <v>0</v>
      </c>
      <c r="BB36" s="3166">
        <f t="shared" si="43"/>
        <v>0</v>
      </c>
      <c r="BC36" s="3166">
        <f t="shared" si="44"/>
        <v>0</v>
      </c>
      <c r="BD36" s="3166">
        <f t="shared" si="45"/>
        <v>0</v>
      </c>
      <c r="BE36" s="3166">
        <f t="shared" si="46"/>
        <v>0</v>
      </c>
      <c r="BF36" s="3166">
        <f t="shared" si="47"/>
        <v>0</v>
      </c>
      <c r="BG36" s="3166">
        <f t="shared" si="48"/>
        <v>0</v>
      </c>
      <c r="BH36" s="3166">
        <f t="shared" si="49"/>
        <v>0</v>
      </c>
      <c r="BI36" s="3166">
        <f t="shared" si="50"/>
        <v>0</v>
      </c>
      <c r="BJ36" s="3166">
        <f t="shared" si="51"/>
        <v>0</v>
      </c>
      <c r="BK36" s="3166">
        <f t="shared" si="52"/>
        <v>0</v>
      </c>
      <c r="BL36" s="3166">
        <f t="shared" si="53"/>
        <v>0</v>
      </c>
      <c r="BM36" s="3166">
        <f t="shared" si="54"/>
        <v>0</v>
      </c>
      <c r="BN36" s="3166">
        <f t="shared" si="55"/>
        <v>0</v>
      </c>
      <c r="BO36" s="3166">
        <f t="shared" si="56"/>
        <v>0</v>
      </c>
      <c r="BP36" s="3166">
        <f t="shared" si="57"/>
        <v>0</v>
      </c>
      <c r="BQ36" s="3166">
        <f t="shared" si="58"/>
        <v>0</v>
      </c>
      <c r="BR36" s="3166">
        <f t="shared" si="59"/>
        <v>0</v>
      </c>
      <c r="BS36" s="3166">
        <f t="shared" si="60"/>
        <v>0</v>
      </c>
      <c r="BT36" s="3240">
        <f t="shared" si="61"/>
        <v>0</v>
      </c>
    </row>
    <row r="37" spans="1:72">
      <c r="A37" s="3163"/>
      <c r="B37" s="3173"/>
      <c r="C37" s="3171"/>
      <c r="D37" s="3172"/>
      <c r="E37" s="3166">
        <f t="shared" si="33"/>
        <v>0</v>
      </c>
      <c r="F37" s="3167"/>
      <c r="G37" s="3168">
        <f t="shared" si="34"/>
        <v>0</v>
      </c>
      <c r="H37" s="3169">
        <f t="shared" si="35"/>
        <v>0</v>
      </c>
      <c r="I37" s="3175"/>
      <c r="J37" s="3187"/>
      <c r="K37" s="3175"/>
      <c r="L37" s="3187"/>
      <c r="M37" s="3187"/>
      <c r="N37" s="3187"/>
      <c r="O37" s="3187"/>
      <c r="P37" s="3187"/>
      <c r="Q37" s="3187"/>
      <c r="R37" s="3187"/>
      <c r="S37" s="3187"/>
      <c r="T37" s="3187"/>
      <c r="U37" s="3187"/>
      <c r="V37" s="3187"/>
      <c r="W37" s="3187"/>
      <c r="X37" s="3187"/>
      <c r="Y37" s="3187"/>
      <c r="Z37" s="3187"/>
      <c r="AA37" s="3187"/>
      <c r="AB37" s="3187"/>
      <c r="AC37" s="3166">
        <f t="shared" si="36"/>
        <v>0</v>
      </c>
      <c r="AD37" s="3198"/>
      <c r="AE37" s="3198"/>
      <c r="AF37" s="3175"/>
      <c r="AG37" s="3198"/>
      <c r="AH37" s="3198"/>
      <c r="AI37" s="3198"/>
      <c r="AJ37" s="3198"/>
      <c r="AK37" s="3198"/>
      <c r="AL37" s="3198"/>
      <c r="AM37" s="3198"/>
      <c r="AN37" s="3198"/>
      <c r="AO37" s="3198"/>
      <c r="AP37" s="3198"/>
      <c r="AQ37" s="3198"/>
      <c r="AR37" s="3198"/>
      <c r="AS37" s="3198"/>
      <c r="AT37" s="3218"/>
      <c r="AU37" s="3219"/>
      <c r="AV37" s="488">
        <f t="shared" si="37"/>
        <v>0</v>
      </c>
      <c r="AW37" s="488">
        <f t="shared" si="38"/>
        <v>0</v>
      </c>
      <c r="AX37" s="488">
        <f t="shared" si="39"/>
        <v>0</v>
      </c>
      <c r="AY37" s="3235">
        <f t="shared" si="40"/>
        <v>0</v>
      </c>
      <c r="AZ37" s="3166">
        <f t="shared" si="41"/>
        <v>0</v>
      </c>
      <c r="BA37" s="3166">
        <f t="shared" si="42"/>
        <v>0</v>
      </c>
      <c r="BB37" s="3166">
        <f t="shared" si="43"/>
        <v>0</v>
      </c>
      <c r="BC37" s="3166">
        <f t="shared" si="44"/>
        <v>0</v>
      </c>
      <c r="BD37" s="3166">
        <f t="shared" si="45"/>
        <v>0</v>
      </c>
      <c r="BE37" s="3166">
        <f t="shared" si="46"/>
        <v>0</v>
      </c>
      <c r="BF37" s="3166">
        <f t="shared" si="47"/>
        <v>0</v>
      </c>
      <c r="BG37" s="3166">
        <f t="shared" si="48"/>
        <v>0</v>
      </c>
      <c r="BH37" s="3166">
        <f t="shared" si="49"/>
        <v>0</v>
      </c>
      <c r="BI37" s="3166">
        <f t="shared" si="50"/>
        <v>0</v>
      </c>
      <c r="BJ37" s="3166">
        <f t="shared" si="51"/>
        <v>0</v>
      </c>
      <c r="BK37" s="3166">
        <f t="shared" si="52"/>
        <v>0</v>
      </c>
      <c r="BL37" s="3166">
        <f t="shared" si="53"/>
        <v>0</v>
      </c>
      <c r="BM37" s="3166">
        <f t="shared" si="54"/>
        <v>0</v>
      </c>
      <c r="BN37" s="3166">
        <f t="shared" si="55"/>
        <v>0</v>
      </c>
      <c r="BO37" s="3166">
        <f t="shared" si="56"/>
        <v>0</v>
      </c>
      <c r="BP37" s="3166">
        <f t="shared" si="57"/>
        <v>0</v>
      </c>
      <c r="BQ37" s="3166">
        <f t="shared" si="58"/>
        <v>0</v>
      </c>
      <c r="BR37" s="3166">
        <f t="shared" si="59"/>
        <v>0</v>
      </c>
      <c r="BS37" s="3166">
        <f t="shared" si="60"/>
        <v>0</v>
      </c>
      <c r="BT37" s="3240">
        <f t="shared" si="61"/>
        <v>0</v>
      </c>
    </row>
    <row r="38" spans="1:72">
      <c r="A38" s="3163"/>
      <c r="B38" s="3173"/>
      <c r="C38" s="3171"/>
      <c r="D38" s="3172"/>
      <c r="E38" s="3166">
        <f t="shared" si="33"/>
        <v>0</v>
      </c>
      <c r="F38" s="3167"/>
      <c r="G38" s="3168">
        <f t="shared" si="34"/>
        <v>0</v>
      </c>
      <c r="H38" s="3169">
        <f t="shared" si="35"/>
        <v>0</v>
      </c>
      <c r="I38" s="3175"/>
      <c r="J38" s="3187"/>
      <c r="K38" s="3175"/>
      <c r="L38" s="3187"/>
      <c r="M38" s="3187"/>
      <c r="N38" s="3187"/>
      <c r="O38" s="3187"/>
      <c r="P38" s="3187"/>
      <c r="Q38" s="3187"/>
      <c r="R38" s="3187"/>
      <c r="S38" s="3187"/>
      <c r="T38" s="3187"/>
      <c r="U38" s="3187"/>
      <c r="V38" s="3187"/>
      <c r="W38" s="3187"/>
      <c r="X38" s="3187"/>
      <c r="Y38" s="3187"/>
      <c r="Z38" s="3187"/>
      <c r="AA38" s="3187"/>
      <c r="AB38" s="3187"/>
      <c r="AC38" s="3166">
        <f t="shared" si="36"/>
        <v>0</v>
      </c>
      <c r="AD38" s="3198"/>
      <c r="AE38" s="3198"/>
      <c r="AF38" s="3175"/>
      <c r="AG38" s="3198"/>
      <c r="AH38" s="3198"/>
      <c r="AI38" s="3198"/>
      <c r="AJ38" s="3198"/>
      <c r="AK38" s="3198"/>
      <c r="AL38" s="3198"/>
      <c r="AM38" s="3198"/>
      <c r="AN38" s="3198"/>
      <c r="AO38" s="3198"/>
      <c r="AP38" s="3198"/>
      <c r="AQ38" s="3198"/>
      <c r="AR38" s="3198"/>
      <c r="AS38" s="3198"/>
      <c r="AT38" s="3218"/>
      <c r="AU38" s="3219"/>
      <c r="AV38" s="488">
        <f t="shared" si="37"/>
        <v>0</v>
      </c>
      <c r="AW38" s="488">
        <f t="shared" si="38"/>
        <v>0</v>
      </c>
      <c r="AX38" s="488">
        <f t="shared" si="39"/>
        <v>0</v>
      </c>
      <c r="AY38" s="3235">
        <f t="shared" si="40"/>
        <v>0</v>
      </c>
      <c r="AZ38" s="3166">
        <f t="shared" si="41"/>
        <v>0</v>
      </c>
      <c r="BA38" s="3166">
        <f t="shared" si="42"/>
        <v>0</v>
      </c>
      <c r="BB38" s="3166">
        <f t="shared" si="43"/>
        <v>0</v>
      </c>
      <c r="BC38" s="3166">
        <f t="shared" si="44"/>
        <v>0</v>
      </c>
      <c r="BD38" s="3166">
        <f t="shared" si="45"/>
        <v>0</v>
      </c>
      <c r="BE38" s="3166">
        <f t="shared" si="46"/>
        <v>0</v>
      </c>
      <c r="BF38" s="3166">
        <f t="shared" si="47"/>
        <v>0</v>
      </c>
      <c r="BG38" s="3166">
        <f t="shared" si="48"/>
        <v>0</v>
      </c>
      <c r="BH38" s="3166">
        <f t="shared" si="49"/>
        <v>0</v>
      </c>
      <c r="BI38" s="3166">
        <f t="shared" si="50"/>
        <v>0</v>
      </c>
      <c r="BJ38" s="3166">
        <f t="shared" si="51"/>
        <v>0</v>
      </c>
      <c r="BK38" s="3166">
        <f t="shared" si="52"/>
        <v>0</v>
      </c>
      <c r="BL38" s="3166">
        <f t="shared" si="53"/>
        <v>0</v>
      </c>
      <c r="BM38" s="3166">
        <f t="shared" si="54"/>
        <v>0</v>
      </c>
      <c r="BN38" s="3166">
        <f t="shared" si="55"/>
        <v>0</v>
      </c>
      <c r="BO38" s="3166">
        <f t="shared" si="56"/>
        <v>0</v>
      </c>
      <c r="BP38" s="3166">
        <f t="shared" si="57"/>
        <v>0</v>
      </c>
      <c r="BQ38" s="3166">
        <f t="shared" si="58"/>
        <v>0</v>
      </c>
      <c r="BR38" s="3166">
        <f t="shared" si="59"/>
        <v>0</v>
      </c>
      <c r="BS38" s="3166">
        <f t="shared" si="60"/>
        <v>0</v>
      </c>
      <c r="BT38" s="3240">
        <f t="shared" si="61"/>
        <v>0</v>
      </c>
    </row>
    <row r="39" spans="1:72">
      <c r="A39" s="3163"/>
      <c r="B39" s="3173"/>
      <c r="C39" s="3171"/>
      <c r="D39" s="3172"/>
      <c r="E39" s="3166">
        <f t="shared" si="33"/>
        <v>0</v>
      </c>
      <c r="F39" s="3167"/>
      <c r="G39" s="3168">
        <f t="shared" si="34"/>
        <v>0</v>
      </c>
      <c r="H39" s="3169">
        <f t="shared" si="35"/>
        <v>0</v>
      </c>
      <c r="I39" s="3175"/>
      <c r="J39" s="3187"/>
      <c r="K39" s="3175"/>
      <c r="L39" s="3187"/>
      <c r="M39" s="3187"/>
      <c r="N39" s="3187"/>
      <c r="O39" s="3187"/>
      <c r="P39" s="3187"/>
      <c r="Q39" s="3187"/>
      <c r="R39" s="3187"/>
      <c r="S39" s="3187"/>
      <c r="T39" s="3187"/>
      <c r="U39" s="3187"/>
      <c r="V39" s="3187"/>
      <c r="W39" s="3187"/>
      <c r="X39" s="3187"/>
      <c r="Y39" s="3187"/>
      <c r="Z39" s="3187"/>
      <c r="AA39" s="3187"/>
      <c r="AB39" s="3187"/>
      <c r="AC39" s="3166">
        <f t="shared" si="36"/>
        <v>0</v>
      </c>
      <c r="AD39" s="3198"/>
      <c r="AE39" s="3198"/>
      <c r="AF39" s="3175"/>
      <c r="AG39" s="3198"/>
      <c r="AH39" s="3198"/>
      <c r="AI39" s="3198"/>
      <c r="AJ39" s="3198"/>
      <c r="AK39" s="3198"/>
      <c r="AL39" s="3198"/>
      <c r="AM39" s="3198"/>
      <c r="AN39" s="3198"/>
      <c r="AO39" s="3198"/>
      <c r="AP39" s="3198"/>
      <c r="AQ39" s="3198"/>
      <c r="AR39" s="3198"/>
      <c r="AS39" s="3198"/>
      <c r="AT39" s="3218"/>
      <c r="AU39" s="3219"/>
      <c r="AV39" s="488">
        <f t="shared" si="37"/>
        <v>0</v>
      </c>
      <c r="AW39" s="488">
        <f t="shared" si="38"/>
        <v>0</v>
      </c>
      <c r="AX39" s="488">
        <f t="shared" si="39"/>
        <v>0</v>
      </c>
      <c r="AY39" s="3235">
        <f t="shared" si="40"/>
        <v>0</v>
      </c>
      <c r="AZ39" s="3166">
        <f t="shared" si="41"/>
        <v>0</v>
      </c>
      <c r="BA39" s="3166">
        <f t="shared" si="42"/>
        <v>0</v>
      </c>
      <c r="BB39" s="3166">
        <f t="shared" si="43"/>
        <v>0</v>
      </c>
      <c r="BC39" s="3166">
        <f t="shared" si="44"/>
        <v>0</v>
      </c>
      <c r="BD39" s="3166">
        <f t="shared" si="45"/>
        <v>0</v>
      </c>
      <c r="BE39" s="3166">
        <f t="shared" si="46"/>
        <v>0</v>
      </c>
      <c r="BF39" s="3166">
        <f t="shared" si="47"/>
        <v>0</v>
      </c>
      <c r="BG39" s="3166">
        <f t="shared" si="48"/>
        <v>0</v>
      </c>
      <c r="BH39" s="3166">
        <f t="shared" si="49"/>
        <v>0</v>
      </c>
      <c r="BI39" s="3166">
        <f t="shared" si="50"/>
        <v>0</v>
      </c>
      <c r="BJ39" s="3166">
        <f t="shared" si="51"/>
        <v>0</v>
      </c>
      <c r="BK39" s="3166">
        <f t="shared" si="52"/>
        <v>0</v>
      </c>
      <c r="BL39" s="3166">
        <f t="shared" si="53"/>
        <v>0</v>
      </c>
      <c r="BM39" s="3166">
        <f t="shared" si="54"/>
        <v>0</v>
      </c>
      <c r="BN39" s="3166">
        <f t="shared" si="55"/>
        <v>0</v>
      </c>
      <c r="BO39" s="3166">
        <f t="shared" si="56"/>
        <v>0</v>
      </c>
      <c r="BP39" s="3166">
        <f t="shared" si="57"/>
        <v>0</v>
      </c>
      <c r="BQ39" s="3166">
        <f t="shared" si="58"/>
        <v>0</v>
      </c>
      <c r="BR39" s="3166">
        <f t="shared" si="59"/>
        <v>0</v>
      </c>
      <c r="BS39" s="3166">
        <f t="shared" si="60"/>
        <v>0</v>
      </c>
      <c r="BT39" s="3240">
        <f t="shared" si="61"/>
        <v>0</v>
      </c>
    </row>
    <row r="40" spans="1:72">
      <c r="A40" s="3163"/>
      <c r="B40" s="3173"/>
      <c r="C40" s="3171"/>
      <c r="D40" s="3172"/>
      <c r="E40" s="3166">
        <f t="shared" si="33"/>
        <v>0</v>
      </c>
      <c r="F40" s="3167"/>
      <c r="G40" s="3168">
        <f t="shared" si="34"/>
        <v>0</v>
      </c>
      <c r="H40" s="3169">
        <f t="shared" si="35"/>
        <v>0</v>
      </c>
      <c r="I40" s="3175"/>
      <c r="J40" s="3187"/>
      <c r="K40" s="3175"/>
      <c r="L40" s="3187"/>
      <c r="M40" s="3187"/>
      <c r="N40" s="3187"/>
      <c r="O40" s="3187"/>
      <c r="P40" s="3187"/>
      <c r="Q40" s="3187"/>
      <c r="R40" s="3187"/>
      <c r="S40" s="3187"/>
      <c r="T40" s="3187"/>
      <c r="U40" s="3187"/>
      <c r="V40" s="3187"/>
      <c r="W40" s="3187"/>
      <c r="X40" s="3187"/>
      <c r="Y40" s="3187"/>
      <c r="Z40" s="3187"/>
      <c r="AA40" s="3187"/>
      <c r="AB40" s="3187"/>
      <c r="AC40" s="3166">
        <f t="shared" si="36"/>
        <v>0</v>
      </c>
      <c r="AD40" s="3198"/>
      <c r="AE40" s="3198"/>
      <c r="AF40" s="3175"/>
      <c r="AG40" s="3198"/>
      <c r="AH40" s="3198"/>
      <c r="AI40" s="3198"/>
      <c r="AJ40" s="3198"/>
      <c r="AK40" s="3198"/>
      <c r="AL40" s="3198"/>
      <c r="AM40" s="3198"/>
      <c r="AN40" s="3198"/>
      <c r="AO40" s="3198"/>
      <c r="AP40" s="3198"/>
      <c r="AQ40" s="3198"/>
      <c r="AR40" s="3198"/>
      <c r="AS40" s="3198"/>
      <c r="AT40" s="3218"/>
      <c r="AU40" s="3219"/>
      <c r="AV40" s="488">
        <f t="shared" si="37"/>
        <v>0</v>
      </c>
      <c r="AW40" s="488">
        <f t="shared" si="38"/>
        <v>0</v>
      </c>
      <c r="AX40" s="488">
        <f t="shared" si="39"/>
        <v>0</v>
      </c>
      <c r="AY40" s="3235">
        <f t="shared" si="40"/>
        <v>0</v>
      </c>
      <c r="AZ40" s="3166">
        <f t="shared" si="41"/>
        <v>0</v>
      </c>
      <c r="BA40" s="3166">
        <f t="shared" si="42"/>
        <v>0</v>
      </c>
      <c r="BB40" s="3166">
        <f t="shared" si="43"/>
        <v>0</v>
      </c>
      <c r="BC40" s="3166">
        <f t="shared" si="44"/>
        <v>0</v>
      </c>
      <c r="BD40" s="3166">
        <f t="shared" si="45"/>
        <v>0</v>
      </c>
      <c r="BE40" s="3166">
        <f t="shared" si="46"/>
        <v>0</v>
      </c>
      <c r="BF40" s="3166">
        <f t="shared" si="47"/>
        <v>0</v>
      </c>
      <c r="BG40" s="3166">
        <f t="shared" si="48"/>
        <v>0</v>
      </c>
      <c r="BH40" s="3166">
        <f t="shared" si="49"/>
        <v>0</v>
      </c>
      <c r="BI40" s="3166">
        <f t="shared" si="50"/>
        <v>0</v>
      </c>
      <c r="BJ40" s="3166">
        <f t="shared" si="51"/>
        <v>0</v>
      </c>
      <c r="BK40" s="3166">
        <f t="shared" si="52"/>
        <v>0</v>
      </c>
      <c r="BL40" s="3166">
        <f t="shared" si="53"/>
        <v>0</v>
      </c>
      <c r="BM40" s="3166">
        <f t="shared" si="54"/>
        <v>0</v>
      </c>
      <c r="BN40" s="3166">
        <f t="shared" si="55"/>
        <v>0</v>
      </c>
      <c r="BO40" s="3166">
        <f t="shared" si="56"/>
        <v>0</v>
      </c>
      <c r="BP40" s="3166">
        <f t="shared" si="57"/>
        <v>0</v>
      </c>
      <c r="BQ40" s="3166">
        <f t="shared" si="58"/>
        <v>0</v>
      </c>
      <c r="BR40" s="3166">
        <f t="shared" si="59"/>
        <v>0</v>
      </c>
      <c r="BS40" s="3166">
        <f t="shared" si="60"/>
        <v>0</v>
      </c>
      <c r="BT40" s="3240">
        <f t="shared" si="61"/>
        <v>0</v>
      </c>
    </row>
    <row r="41" spans="1:72">
      <c r="A41" s="3163"/>
      <c r="B41" s="3173"/>
      <c r="C41" s="3171"/>
      <c r="D41" s="3172"/>
      <c r="E41" s="3166">
        <f t="shared" si="33"/>
        <v>0</v>
      </c>
      <c r="F41" s="3167"/>
      <c r="G41" s="3168">
        <f t="shared" si="34"/>
        <v>0</v>
      </c>
      <c r="H41" s="3169">
        <f t="shared" si="35"/>
        <v>0</v>
      </c>
      <c r="I41" s="3175"/>
      <c r="J41" s="3187"/>
      <c r="K41" s="3175"/>
      <c r="L41" s="3187"/>
      <c r="M41" s="3187"/>
      <c r="N41" s="3187"/>
      <c r="O41" s="3187"/>
      <c r="P41" s="3187"/>
      <c r="Q41" s="3187"/>
      <c r="R41" s="3187"/>
      <c r="S41" s="3187"/>
      <c r="T41" s="3187"/>
      <c r="U41" s="3187"/>
      <c r="V41" s="3187"/>
      <c r="W41" s="3187"/>
      <c r="X41" s="3187"/>
      <c r="Y41" s="3187"/>
      <c r="Z41" s="3187"/>
      <c r="AA41" s="3187"/>
      <c r="AB41" s="3187"/>
      <c r="AC41" s="3166">
        <f t="shared" si="36"/>
        <v>0</v>
      </c>
      <c r="AD41" s="3198"/>
      <c r="AE41" s="3198"/>
      <c r="AF41" s="3175"/>
      <c r="AG41" s="3198"/>
      <c r="AH41" s="3198"/>
      <c r="AI41" s="3198"/>
      <c r="AJ41" s="3198"/>
      <c r="AK41" s="3198"/>
      <c r="AL41" s="3198"/>
      <c r="AM41" s="3198"/>
      <c r="AN41" s="3198"/>
      <c r="AO41" s="3198"/>
      <c r="AP41" s="3198"/>
      <c r="AQ41" s="3198"/>
      <c r="AR41" s="3198"/>
      <c r="AS41" s="3198"/>
      <c r="AT41" s="3218"/>
      <c r="AU41" s="3219"/>
      <c r="AV41" s="488">
        <f t="shared" si="37"/>
        <v>0</v>
      </c>
      <c r="AW41" s="488">
        <f t="shared" si="38"/>
        <v>0</v>
      </c>
      <c r="AX41" s="488">
        <f t="shared" si="39"/>
        <v>0</v>
      </c>
      <c r="AY41" s="3235">
        <f t="shared" si="40"/>
        <v>0</v>
      </c>
      <c r="AZ41" s="3166">
        <f t="shared" si="41"/>
        <v>0</v>
      </c>
      <c r="BA41" s="3166">
        <f t="shared" si="42"/>
        <v>0</v>
      </c>
      <c r="BB41" s="3166">
        <f t="shared" si="43"/>
        <v>0</v>
      </c>
      <c r="BC41" s="3166">
        <f t="shared" si="44"/>
        <v>0</v>
      </c>
      <c r="BD41" s="3166">
        <f t="shared" si="45"/>
        <v>0</v>
      </c>
      <c r="BE41" s="3166">
        <f t="shared" si="46"/>
        <v>0</v>
      </c>
      <c r="BF41" s="3166">
        <f t="shared" si="47"/>
        <v>0</v>
      </c>
      <c r="BG41" s="3166">
        <f t="shared" si="48"/>
        <v>0</v>
      </c>
      <c r="BH41" s="3166">
        <f t="shared" si="49"/>
        <v>0</v>
      </c>
      <c r="BI41" s="3166">
        <f t="shared" si="50"/>
        <v>0</v>
      </c>
      <c r="BJ41" s="3166">
        <f t="shared" si="51"/>
        <v>0</v>
      </c>
      <c r="BK41" s="3166">
        <f t="shared" si="52"/>
        <v>0</v>
      </c>
      <c r="BL41" s="3166">
        <f t="shared" si="53"/>
        <v>0</v>
      </c>
      <c r="BM41" s="3166">
        <f t="shared" si="54"/>
        <v>0</v>
      </c>
      <c r="BN41" s="3166">
        <f t="shared" si="55"/>
        <v>0</v>
      </c>
      <c r="BO41" s="3166">
        <f t="shared" si="56"/>
        <v>0</v>
      </c>
      <c r="BP41" s="3166">
        <f t="shared" si="57"/>
        <v>0</v>
      </c>
      <c r="BQ41" s="3166">
        <f t="shared" si="58"/>
        <v>0</v>
      </c>
      <c r="BR41" s="3166">
        <f t="shared" si="59"/>
        <v>0</v>
      </c>
      <c r="BS41" s="3166">
        <f t="shared" si="60"/>
        <v>0</v>
      </c>
      <c r="BT41" s="3240">
        <f t="shared" si="61"/>
        <v>0</v>
      </c>
    </row>
    <row r="42" spans="1:72">
      <c r="A42" s="3163"/>
      <c r="B42" s="3173"/>
      <c r="C42" s="3171"/>
      <c r="D42" s="3172"/>
      <c r="E42" s="3166">
        <f t="shared" si="33"/>
        <v>0</v>
      </c>
      <c r="F42" s="3167"/>
      <c r="G42" s="3168">
        <f t="shared" si="34"/>
        <v>0</v>
      </c>
      <c r="H42" s="3169">
        <f t="shared" si="35"/>
        <v>0</v>
      </c>
      <c r="I42" s="3175"/>
      <c r="J42" s="3187"/>
      <c r="K42" s="3175"/>
      <c r="L42" s="3187"/>
      <c r="M42" s="3187"/>
      <c r="N42" s="3187"/>
      <c r="O42" s="3187"/>
      <c r="P42" s="3187"/>
      <c r="Q42" s="3187"/>
      <c r="R42" s="3187"/>
      <c r="S42" s="3187"/>
      <c r="T42" s="3187"/>
      <c r="U42" s="3187"/>
      <c r="V42" s="3187"/>
      <c r="W42" s="3187"/>
      <c r="X42" s="3187"/>
      <c r="Y42" s="3187"/>
      <c r="Z42" s="3187"/>
      <c r="AA42" s="3187"/>
      <c r="AB42" s="3187"/>
      <c r="AC42" s="3166">
        <f t="shared" si="36"/>
        <v>0</v>
      </c>
      <c r="AD42" s="3198"/>
      <c r="AE42" s="3198"/>
      <c r="AF42" s="3175"/>
      <c r="AG42" s="3198"/>
      <c r="AH42" s="3198"/>
      <c r="AI42" s="3198"/>
      <c r="AJ42" s="3198"/>
      <c r="AK42" s="3198"/>
      <c r="AL42" s="3198"/>
      <c r="AM42" s="3198"/>
      <c r="AN42" s="3198"/>
      <c r="AO42" s="3198"/>
      <c r="AP42" s="3198"/>
      <c r="AQ42" s="3198"/>
      <c r="AR42" s="3198"/>
      <c r="AS42" s="3198"/>
      <c r="AT42" s="3218"/>
      <c r="AU42" s="3219"/>
      <c r="AV42" s="488">
        <f t="shared" si="37"/>
        <v>0</v>
      </c>
      <c r="AW42" s="488">
        <f t="shared" si="38"/>
        <v>0</v>
      </c>
      <c r="AX42" s="488">
        <f t="shared" si="39"/>
        <v>0</v>
      </c>
      <c r="AY42" s="3235">
        <f t="shared" si="40"/>
        <v>0</v>
      </c>
      <c r="AZ42" s="3166">
        <f t="shared" si="41"/>
        <v>0</v>
      </c>
      <c r="BA42" s="3166">
        <f t="shared" si="42"/>
        <v>0</v>
      </c>
      <c r="BB42" s="3166">
        <f t="shared" si="43"/>
        <v>0</v>
      </c>
      <c r="BC42" s="3166">
        <f t="shared" si="44"/>
        <v>0</v>
      </c>
      <c r="BD42" s="3166">
        <f t="shared" si="45"/>
        <v>0</v>
      </c>
      <c r="BE42" s="3166">
        <f t="shared" si="46"/>
        <v>0</v>
      </c>
      <c r="BF42" s="3166">
        <f t="shared" si="47"/>
        <v>0</v>
      </c>
      <c r="BG42" s="3166">
        <f t="shared" si="48"/>
        <v>0</v>
      </c>
      <c r="BH42" s="3166">
        <f t="shared" si="49"/>
        <v>0</v>
      </c>
      <c r="BI42" s="3166">
        <f t="shared" si="50"/>
        <v>0</v>
      </c>
      <c r="BJ42" s="3166">
        <f t="shared" si="51"/>
        <v>0</v>
      </c>
      <c r="BK42" s="3166">
        <f t="shared" si="52"/>
        <v>0</v>
      </c>
      <c r="BL42" s="3166">
        <f t="shared" si="53"/>
        <v>0</v>
      </c>
      <c r="BM42" s="3166">
        <f t="shared" si="54"/>
        <v>0</v>
      </c>
      <c r="BN42" s="3166">
        <f t="shared" si="55"/>
        <v>0</v>
      </c>
      <c r="BO42" s="3166">
        <f t="shared" si="56"/>
        <v>0</v>
      </c>
      <c r="BP42" s="3166">
        <f t="shared" si="57"/>
        <v>0</v>
      </c>
      <c r="BQ42" s="3166">
        <f t="shared" si="58"/>
        <v>0</v>
      </c>
      <c r="BR42" s="3166">
        <f t="shared" si="59"/>
        <v>0</v>
      </c>
      <c r="BS42" s="3166">
        <f t="shared" si="60"/>
        <v>0</v>
      </c>
      <c r="BT42" s="3240">
        <f t="shared" si="61"/>
        <v>0</v>
      </c>
    </row>
    <row r="43" spans="1:72">
      <c r="A43" s="3163"/>
      <c r="B43" s="3173"/>
      <c r="C43" s="3171"/>
      <c r="D43" s="3172"/>
      <c r="E43" s="3166">
        <f t="shared" si="33"/>
        <v>0</v>
      </c>
      <c r="F43" s="3167"/>
      <c r="G43" s="3168">
        <f t="shared" si="34"/>
        <v>0</v>
      </c>
      <c r="H43" s="3169">
        <f t="shared" si="35"/>
        <v>0</v>
      </c>
      <c r="I43" s="3175"/>
      <c r="J43" s="3187"/>
      <c r="K43" s="3175"/>
      <c r="L43" s="3187"/>
      <c r="M43" s="3187"/>
      <c r="N43" s="3187"/>
      <c r="O43" s="3187"/>
      <c r="P43" s="3187"/>
      <c r="Q43" s="3187"/>
      <c r="R43" s="3187"/>
      <c r="S43" s="3187"/>
      <c r="T43" s="3187"/>
      <c r="U43" s="3187"/>
      <c r="V43" s="3187"/>
      <c r="W43" s="3187"/>
      <c r="X43" s="3187"/>
      <c r="Y43" s="3187"/>
      <c r="Z43" s="3187"/>
      <c r="AA43" s="3187"/>
      <c r="AB43" s="3187"/>
      <c r="AC43" s="3166">
        <f t="shared" si="36"/>
        <v>0</v>
      </c>
      <c r="AD43" s="3198"/>
      <c r="AE43" s="3198"/>
      <c r="AF43" s="3175"/>
      <c r="AG43" s="3198"/>
      <c r="AH43" s="3198"/>
      <c r="AI43" s="3198"/>
      <c r="AJ43" s="3198"/>
      <c r="AK43" s="3198"/>
      <c r="AL43" s="3198"/>
      <c r="AM43" s="3198"/>
      <c r="AN43" s="3198"/>
      <c r="AO43" s="3198"/>
      <c r="AP43" s="3198"/>
      <c r="AQ43" s="3198"/>
      <c r="AR43" s="3198"/>
      <c r="AS43" s="3198"/>
      <c r="AT43" s="3218"/>
      <c r="AU43" s="3219"/>
      <c r="AV43" s="488">
        <f t="shared" si="37"/>
        <v>0</v>
      </c>
      <c r="AW43" s="488">
        <f t="shared" si="38"/>
        <v>0</v>
      </c>
      <c r="AX43" s="488">
        <f t="shared" si="39"/>
        <v>0</v>
      </c>
      <c r="AY43" s="3235">
        <f t="shared" si="40"/>
        <v>0</v>
      </c>
      <c r="AZ43" s="3166">
        <f t="shared" si="41"/>
        <v>0</v>
      </c>
      <c r="BA43" s="3166">
        <f t="shared" si="42"/>
        <v>0</v>
      </c>
      <c r="BB43" s="3166">
        <f t="shared" si="43"/>
        <v>0</v>
      </c>
      <c r="BC43" s="3166">
        <f t="shared" si="44"/>
        <v>0</v>
      </c>
      <c r="BD43" s="3166">
        <f t="shared" si="45"/>
        <v>0</v>
      </c>
      <c r="BE43" s="3166">
        <f t="shared" si="46"/>
        <v>0</v>
      </c>
      <c r="BF43" s="3166">
        <f t="shared" si="47"/>
        <v>0</v>
      </c>
      <c r="BG43" s="3166">
        <f t="shared" si="48"/>
        <v>0</v>
      </c>
      <c r="BH43" s="3166">
        <f t="shared" si="49"/>
        <v>0</v>
      </c>
      <c r="BI43" s="3166">
        <f t="shared" si="50"/>
        <v>0</v>
      </c>
      <c r="BJ43" s="3166">
        <f t="shared" si="51"/>
        <v>0</v>
      </c>
      <c r="BK43" s="3166">
        <f t="shared" si="52"/>
        <v>0</v>
      </c>
      <c r="BL43" s="3166">
        <f t="shared" si="53"/>
        <v>0</v>
      </c>
      <c r="BM43" s="3166">
        <f t="shared" si="54"/>
        <v>0</v>
      </c>
      <c r="BN43" s="3166">
        <f t="shared" si="55"/>
        <v>0</v>
      </c>
      <c r="BO43" s="3166">
        <f t="shared" si="56"/>
        <v>0</v>
      </c>
      <c r="BP43" s="3166">
        <f t="shared" si="57"/>
        <v>0</v>
      </c>
      <c r="BQ43" s="3166">
        <f t="shared" si="58"/>
        <v>0</v>
      </c>
      <c r="BR43" s="3166">
        <f t="shared" si="59"/>
        <v>0</v>
      </c>
      <c r="BS43" s="3166">
        <f t="shared" si="60"/>
        <v>0</v>
      </c>
      <c r="BT43" s="3240">
        <f t="shared" si="61"/>
        <v>0</v>
      </c>
    </row>
    <row r="44" spans="1:72">
      <c r="A44" s="3163"/>
      <c r="B44" s="3173"/>
      <c r="C44" s="3171"/>
      <c r="D44" s="3172"/>
      <c r="E44" s="3166">
        <f t="shared" si="33"/>
        <v>0</v>
      </c>
      <c r="F44" s="3167"/>
      <c r="G44" s="3168">
        <f t="shared" si="34"/>
        <v>0</v>
      </c>
      <c r="H44" s="3169">
        <f t="shared" si="35"/>
        <v>0</v>
      </c>
      <c r="I44" s="3175"/>
      <c r="J44" s="3187"/>
      <c r="K44" s="3175"/>
      <c r="L44" s="3187"/>
      <c r="M44" s="3187"/>
      <c r="N44" s="3187"/>
      <c r="O44" s="3187"/>
      <c r="P44" s="3187"/>
      <c r="Q44" s="3187"/>
      <c r="R44" s="3187"/>
      <c r="S44" s="3187"/>
      <c r="T44" s="3187"/>
      <c r="U44" s="3187"/>
      <c r="V44" s="3187"/>
      <c r="W44" s="3187"/>
      <c r="X44" s="3187"/>
      <c r="Y44" s="3187"/>
      <c r="Z44" s="3187"/>
      <c r="AA44" s="3187"/>
      <c r="AB44" s="3187"/>
      <c r="AC44" s="3166">
        <f t="shared" si="36"/>
        <v>0</v>
      </c>
      <c r="AD44" s="3198"/>
      <c r="AE44" s="3198"/>
      <c r="AF44" s="3175"/>
      <c r="AG44" s="3198"/>
      <c r="AH44" s="3198"/>
      <c r="AI44" s="3198"/>
      <c r="AJ44" s="3198"/>
      <c r="AK44" s="3198"/>
      <c r="AL44" s="3198"/>
      <c r="AM44" s="3198"/>
      <c r="AN44" s="3198"/>
      <c r="AO44" s="3198"/>
      <c r="AP44" s="3198"/>
      <c r="AQ44" s="3198"/>
      <c r="AR44" s="3198"/>
      <c r="AS44" s="3198"/>
      <c r="AT44" s="3218"/>
      <c r="AU44" s="3219"/>
      <c r="AV44" s="488">
        <f t="shared" si="37"/>
        <v>0</v>
      </c>
      <c r="AW44" s="488">
        <f t="shared" si="38"/>
        <v>0</v>
      </c>
      <c r="AX44" s="488">
        <f t="shared" si="39"/>
        <v>0</v>
      </c>
      <c r="AY44" s="3235">
        <f t="shared" si="40"/>
        <v>0</v>
      </c>
      <c r="AZ44" s="3166">
        <f t="shared" si="41"/>
        <v>0</v>
      </c>
      <c r="BA44" s="3166">
        <f t="shared" si="42"/>
        <v>0</v>
      </c>
      <c r="BB44" s="3166">
        <f t="shared" si="43"/>
        <v>0</v>
      </c>
      <c r="BC44" s="3166">
        <f t="shared" si="44"/>
        <v>0</v>
      </c>
      <c r="BD44" s="3166">
        <f t="shared" si="45"/>
        <v>0</v>
      </c>
      <c r="BE44" s="3166">
        <f t="shared" si="46"/>
        <v>0</v>
      </c>
      <c r="BF44" s="3166">
        <f t="shared" si="47"/>
        <v>0</v>
      </c>
      <c r="BG44" s="3166">
        <f t="shared" si="48"/>
        <v>0</v>
      </c>
      <c r="BH44" s="3166">
        <f t="shared" si="49"/>
        <v>0</v>
      </c>
      <c r="BI44" s="3166">
        <f t="shared" si="50"/>
        <v>0</v>
      </c>
      <c r="BJ44" s="3166">
        <f t="shared" si="51"/>
        <v>0</v>
      </c>
      <c r="BK44" s="3166">
        <f t="shared" si="52"/>
        <v>0</v>
      </c>
      <c r="BL44" s="3166">
        <f t="shared" si="53"/>
        <v>0</v>
      </c>
      <c r="BM44" s="3166">
        <f t="shared" si="54"/>
        <v>0</v>
      </c>
      <c r="BN44" s="3166">
        <f t="shared" si="55"/>
        <v>0</v>
      </c>
      <c r="BO44" s="3166">
        <f t="shared" si="56"/>
        <v>0</v>
      </c>
      <c r="BP44" s="3166">
        <f t="shared" si="57"/>
        <v>0</v>
      </c>
      <c r="BQ44" s="3166">
        <f t="shared" si="58"/>
        <v>0</v>
      </c>
      <c r="BR44" s="3166">
        <f t="shared" si="59"/>
        <v>0</v>
      </c>
      <c r="BS44" s="3166">
        <f t="shared" si="60"/>
        <v>0</v>
      </c>
      <c r="BT44" s="3240">
        <f t="shared" si="61"/>
        <v>0</v>
      </c>
    </row>
    <row r="45" spans="1:72">
      <c r="A45" s="3163"/>
      <c r="B45" s="3173"/>
      <c r="C45" s="3171"/>
      <c r="D45" s="3172"/>
      <c r="E45" s="3166">
        <f t="shared" si="33"/>
        <v>0</v>
      </c>
      <c r="F45" s="3167"/>
      <c r="G45" s="3168">
        <f t="shared" si="34"/>
        <v>0</v>
      </c>
      <c r="H45" s="3169">
        <f t="shared" si="35"/>
        <v>0</v>
      </c>
      <c r="I45" s="3175"/>
      <c r="J45" s="3187"/>
      <c r="K45" s="3175"/>
      <c r="L45" s="3187"/>
      <c r="M45" s="3187"/>
      <c r="N45" s="3187"/>
      <c r="O45" s="3187"/>
      <c r="P45" s="3187"/>
      <c r="Q45" s="3187"/>
      <c r="R45" s="3187"/>
      <c r="S45" s="3187"/>
      <c r="T45" s="3187"/>
      <c r="U45" s="3187"/>
      <c r="V45" s="3187"/>
      <c r="W45" s="3187"/>
      <c r="X45" s="3187"/>
      <c r="Y45" s="3187"/>
      <c r="Z45" s="3187"/>
      <c r="AA45" s="3187"/>
      <c r="AB45" s="3187"/>
      <c r="AC45" s="3166">
        <f t="shared" si="36"/>
        <v>0</v>
      </c>
      <c r="AD45" s="3198"/>
      <c r="AE45" s="3198"/>
      <c r="AF45" s="3175"/>
      <c r="AG45" s="3198"/>
      <c r="AH45" s="3198"/>
      <c r="AI45" s="3198"/>
      <c r="AJ45" s="3198"/>
      <c r="AK45" s="3198"/>
      <c r="AL45" s="3198"/>
      <c r="AM45" s="3198"/>
      <c r="AN45" s="3198"/>
      <c r="AO45" s="3198"/>
      <c r="AP45" s="3198"/>
      <c r="AQ45" s="3198"/>
      <c r="AR45" s="3198"/>
      <c r="AS45" s="3198"/>
      <c r="AT45" s="3218"/>
      <c r="AU45" s="3219"/>
      <c r="AV45" s="488">
        <f t="shared" si="37"/>
        <v>0</v>
      </c>
      <c r="AW45" s="488">
        <f t="shared" si="38"/>
        <v>0</v>
      </c>
      <c r="AX45" s="488">
        <f t="shared" si="39"/>
        <v>0</v>
      </c>
      <c r="AY45" s="3235">
        <f t="shared" si="40"/>
        <v>0</v>
      </c>
      <c r="AZ45" s="3166">
        <f t="shared" si="41"/>
        <v>0</v>
      </c>
      <c r="BA45" s="3166">
        <f t="shared" si="42"/>
        <v>0</v>
      </c>
      <c r="BB45" s="3166">
        <f t="shared" si="43"/>
        <v>0</v>
      </c>
      <c r="BC45" s="3166">
        <f t="shared" si="44"/>
        <v>0</v>
      </c>
      <c r="BD45" s="3166">
        <f t="shared" si="45"/>
        <v>0</v>
      </c>
      <c r="BE45" s="3166">
        <f t="shared" si="46"/>
        <v>0</v>
      </c>
      <c r="BF45" s="3166">
        <f t="shared" si="47"/>
        <v>0</v>
      </c>
      <c r="BG45" s="3166">
        <f t="shared" si="48"/>
        <v>0</v>
      </c>
      <c r="BH45" s="3166">
        <f t="shared" si="49"/>
        <v>0</v>
      </c>
      <c r="BI45" s="3166">
        <f t="shared" si="50"/>
        <v>0</v>
      </c>
      <c r="BJ45" s="3166">
        <f t="shared" si="51"/>
        <v>0</v>
      </c>
      <c r="BK45" s="3166">
        <f t="shared" si="52"/>
        <v>0</v>
      </c>
      <c r="BL45" s="3166">
        <f t="shared" si="53"/>
        <v>0</v>
      </c>
      <c r="BM45" s="3166">
        <f t="shared" si="54"/>
        <v>0</v>
      </c>
      <c r="BN45" s="3166">
        <f t="shared" si="55"/>
        <v>0</v>
      </c>
      <c r="BO45" s="3166">
        <f t="shared" si="56"/>
        <v>0</v>
      </c>
      <c r="BP45" s="3166">
        <f t="shared" si="57"/>
        <v>0</v>
      </c>
      <c r="BQ45" s="3166">
        <f t="shared" si="58"/>
        <v>0</v>
      </c>
      <c r="BR45" s="3166">
        <f t="shared" si="59"/>
        <v>0</v>
      </c>
      <c r="BS45" s="3166">
        <f t="shared" si="60"/>
        <v>0</v>
      </c>
      <c r="BT45" s="3240">
        <f t="shared" si="61"/>
        <v>0</v>
      </c>
    </row>
    <row r="46" spans="1:72">
      <c r="A46" s="3163"/>
      <c r="B46" s="3173"/>
      <c r="C46" s="3171"/>
      <c r="D46" s="3172"/>
      <c r="E46" s="3166">
        <f t="shared" si="33"/>
        <v>0</v>
      </c>
      <c r="F46" s="3167"/>
      <c r="G46" s="3168">
        <f t="shared" si="34"/>
        <v>0</v>
      </c>
      <c r="H46" s="3169">
        <f t="shared" si="35"/>
        <v>0</v>
      </c>
      <c r="I46" s="3175"/>
      <c r="J46" s="3187"/>
      <c r="K46" s="3175"/>
      <c r="L46" s="3187"/>
      <c r="M46" s="3187"/>
      <c r="N46" s="3187"/>
      <c r="O46" s="3187"/>
      <c r="P46" s="3187"/>
      <c r="Q46" s="3187"/>
      <c r="R46" s="3187"/>
      <c r="S46" s="3187"/>
      <c r="T46" s="3187"/>
      <c r="U46" s="3187"/>
      <c r="V46" s="3187"/>
      <c r="W46" s="3187"/>
      <c r="X46" s="3187"/>
      <c r="Y46" s="3187"/>
      <c r="Z46" s="3187"/>
      <c r="AA46" s="3187"/>
      <c r="AB46" s="3187"/>
      <c r="AC46" s="3166">
        <f t="shared" si="36"/>
        <v>0</v>
      </c>
      <c r="AD46" s="3198"/>
      <c r="AE46" s="3198"/>
      <c r="AF46" s="3175"/>
      <c r="AG46" s="3198"/>
      <c r="AH46" s="3198"/>
      <c r="AI46" s="3198"/>
      <c r="AJ46" s="3198"/>
      <c r="AK46" s="3198"/>
      <c r="AL46" s="3198"/>
      <c r="AM46" s="3198"/>
      <c r="AN46" s="3198"/>
      <c r="AO46" s="3198"/>
      <c r="AP46" s="3198"/>
      <c r="AQ46" s="3198"/>
      <c r="AR46" s="3198"/>
      <c r="AS46" s="3198"/>
      <c r="AT46" s="3218"/>
      <c r="AU46" s="3219"/>
      <c r="AV46" s="488">
        <f t="shared" si="37"/>
        <v>0</v>
      </c>
      <c r="AW46" s="488">
        <f t="shared" si="38"/>
        <v>0</v>
      </c>
      <c r="AX46" s="488">
        <f t="shared" si="39"/>
        <v>0</v>
      </c>
      <c r="AY46" s="3235">
        <f t="shared" si="40"/>
        <v>0</v>
      </c>
      <c r="AZ46" s="3166">
        <f t="shared" si="41"/>
        <v>0</v>
      </c>
      <c r="BA46" s="3166">
        <f t="shared" si="42"/>
        <v>0</v>
      </c>
      <c r="BB46" s="3166">
        <f t="shared" si="43"/>
        <v>0</v>
      </c>
      <c r="BC46" s="3166">
        <f t="shared" si="44"/>
        <v>0</v>
      </c>
      <c r="BD46" s="3166">
        <f t="shared" si="45"/>
        <v>0</v>
      </c>
      <c r="BE46" s="3166">
        <f t="shared" si="46"/>
        <v>0</v>
      </c>
      <c r="BF46" s="3166">
        <f t="shared" si="47"/>
        <v>0</v>
      </c>
      <c r="BG46" s="3166">
        <f t="shared" si="48"/>
        <v>0</v>
      </c>
      <c r="BH46" s="3166">
        <f t="shared" si="49"/>
        <v>0</v>
      </c>
      <c r="BI46" s="3166">
        <f t="shared" si="50"/>
        <v>0</v>
      </c>
      <c r="BJ46" s="3166">
        <f t="shared" si="51"/>
        <v>0</v>
      </c>
      <c r="BK46" s="3166">
        <f t="shared" si="52"/>
        <v>0</v>
      </c>
      <c r="BL46" s="3166">
        <f t="shared" si="53"/>
        <v>0</v>
      </c>
      <c r="BM46" s="3166">
        <f t="shared" si="54"/>
        <v>0</v>
      </c>
      <c r="BN46" s="3166">
        <f t="shared" si="55"/>
        <v>0</v>
      </c>
      <c r="BO46" s="3166">
        <f t="shared" si="56"/>
        <v>0</v>
      </c>
      <c r="BP46" s="3166">
        <f t="shared" si="57"/>
        <v>0</v>
      </c>
      <c r="BQ46" s="3166">
        <f t="shared" si="58"/>
        <v>0</v>
      </c>
      <c r="BR46" s="3166">
        <f t="shared" si="59"/>
        <v>0</v>
      </c>
      <c r="BS46" s="3166">
        <f t="shared" si="60"/>
        <v>0</v>
      </c>
      <c r="BT46" s="3240">
        <f t="shared" si="61"/>
        <v>0</v>
      </c>
    </row>
    <row r="47" spans="1:72">
      <c r="A47" s="3163"/>
      <c r="B47" s="3173"/>
      <c r="C47" s="3171"/>
      <c r="D47" s="3172"/>
      <c r="E47" s="3166">
        <f t="shared" si="33"/>
        <v>0</v>
      </c>
      <c r="F47" s="3167"/>
      <c r="G47" s="3168">
        <f t="shared" si="34"/>
        <v>0</v>
      </c>
      <c r="H47" s="3169">
        <f t="shared" si="35"/>
        <v>0</v>
      </c>
      <c r="I47" s="3175"/>
      <c r="J47" s="3187"/>
      <c r="K47" s="3175"/>
      <c r="L47" s="3187"/>
      <c r="M47" s="3187"/>
      <c r="N47" s="3187"/>
      <c r="O47" s="3187"/>
      <c r="P47" s="3187"/>
      <c r="Q47" s="3187"/>
      <c r="R47" s="3187"/>
      <c r="S47" s="3187"/>
      <c r="T47" s="3187"/>
      <c r="U47" s="3187"/>
      <c r="V47" s="3187"/>
      <c r="W47" s="3187"/>
      <c r="X47" s="3187"/>
      <c r="Y47" s="3187"/>
      <c r="Z47" s="3187"/>
      <c r="AA47" s="3187"/>
      <c r="AB47" s="3187"/>
      <c r="AC47" s="3166">
        <f t="shared" si="36"/>
        <v>0</v>
      </c>
      <c r="AD47" s="3198"/>
      <c r="AE47" s="3198"/>
      <c r="AF47" s="3171"/>
      <c r="AG47" s="3198"/>
      <c r="AH47" s="3198"/>
      <c r="AI47" s="3198"/>
      <c r="AJ47" s="3198"/>
      <c r="AK47" s="3198"/>
      <c r="AL47" s="3198"/>
      <c r="AM47" s="3198"/>
      <c r="AN47" s="3198"/>
      <c r="AO47" s="3198"/>
      <c r="AP47" s="3198"/>
      <c r="AQ47" s="3198"/>
      <c r="AR47" s="3198"/>
      <c r="AS47" s="3198"/>
      <c r="AT47" s="3218"/>
      <c r="AU47" s="3219"/>
      <c r="AV47" s="488">
        <f t="shared" si="37"/>
        <v>0</v>
      </c>
      <c r="AW47" s="488">
        <f t="shared" si="38"/>
        <v>0</v>
      </c>
      <c r="AX47" s="488">
        <f t="shared" si="39"/>
        <v>0</v>
      </c>
      <c r="AY47" s="3235">
        <f t="shared" si="40"/>
        <v>0</v>
      </c>
      <c r="AZ47" s="3166">
        <f t="shared" si="41"/>
        <v>0</v>
      </c>
      <c r="BA47" s="3166">
        <f t="shared" si="42"/>
        <v>0</v>
      </c>
      <c r="BB47" s="3166">
        <f t="shared" si="43"/>
        <v>0</v>
      </c>
      <c r="BC47" s="3166">
        <f t="shared" si="44"/>
        <v>0</v>
      </c>
      <c r="BD47" s="3166">
        <f t="shared" si="45"/>
        <v>0</v>
      </c>
      <c r="BE47" s="3166">
        <f t="shared" si="46"/>
        <v>0</v>
      </c>
      <c r="BF47" s="3166">
        <f t="shared" si="47"/>
        <v>0</v>
      </c>
      <c r="BG47" s="3166">
        <f t="shared" si="48"/>
        <v>0</v>
      </c>
      <c r="BH47" s="3166">
        <f t="shared" si="49"/>
        <v>0</v>
      </c>
      <c r="BI47" s="3166">
        <f t="shared" si="50"/>
        <v>0</v>
      </c>
      <c r="BJ47" s="3166">
        <f t="shared" si="51"/>
        <v>0</v>
      </c>
      <c r="BK47" s="3166">
        <f t="shared" si="52"/>
        <v>0</v>
      </c>
      <c r="BL47" s="3166">
        <f t="shared" si="53"/>
        <v>0</v>
      </c>
      <c r="BM47" s="3166">
        <f t="shared" si="54"/>
        <v>0</v>
      </c>
      <c r="BN47" s="3166">
        <f t="shared" si="55"/>
        <v>0</v>
      </c>
      <c r="BO47" s="3166">
        <f t="shared" si="56"/>
        <v>0</v>
      </c>
      <c r="BP47" s="3166">
        <f t="shared" si="57"/>
        <v>0</v>
      </c>
      <c r="BQ47" s="3166">
        <f t="shared" si="58"/>
        <v>0</v>
      </c>
      <c r="BR47" s="3166">
        <f t="shared" si="59"/>
        <v>0</v>
      </c>
      <c r="BS47" s="3166">
        <f t="shared" si="60"/>
        <v>0</v>
      </c>
      <c r="BT47" s="3240">
        <f t="shared" si="61"/>
        <v>0</v>
      </c>
    </row>
    <row r="48" spans="1:72">
      <c r="A48" s="3163"/>
      <c r="B48" s="3173"/>
      <c r="C48" s="3171"/>
      <c r="D48" s="3172"/>
      <c r="E48" s="3166">
        <f t="shared" si="33"/>
        <v>0</v>
      </c>
      <c r="F48" s="3167"/>
      <c r="G48" s="3168">
        <f t="shared" si="34"/>
        <v>0</v>
      </c>
      <c r="H48" s="3169">
        <f t="shared" si="35"/>
        <v>0</v>
      </c>
      <c r="I48" s="3171"/>
      <c r="J48" s="3187"/>
      <c r="K48" s="3171"/>
      <c r="L48" s="3187"/>
      <c r="M48" s="3187"/>
      <c r="N48" s="3187"/>
      <c r="O48" s="3187"/>
      <c r="P48" s="3187"/>
      <c r="Q48" s="3187"/>
      <c r="R48" s="3187"/>
      <c r="S48" s="3187"/>
      <c r="T48" s="3187"/>
      <c r="U48" s="3187"/>
      <c r="V48" s="3187"/>
      <c r="W48" s="3187"/>
      <c r="X48" s="3187"/>
      <c r="Y48" s="3187"/>
      <c r="Z48" s="3187"/>
      <c r="AA48" s="3187"/>
      <c r="AB48" s="3187"/>
      <c r="AC48" s="3166">
        <f t="shared" si="36"/>
        <v>0</v>
      </c>
      <c r="AD48" s="3198"/>
      <c r="AE48" s="3198"/>
      <c r="AF48" s="3171"/>
      <c r="AG48" s="3198"/>
      <c r="AH48" s="3198"/>
      <c r="AI48" s="3198"/>
      <c r="AJ48" s="3198"/>
      <c r="AK48" s="3198"/>
      <c r="AL48" s="3198"/>
      <c r="AM48" s="3198"/>
      <c r="AN48" s="3198"/>
      <c r="AO48" s="3198"/>
      <c r="AP48" s="3198"/>
      <c r="AQ48" s="3198"/>
      <c r="AR48" s="3198"/>
      <c r="AS48" s="3198"/>
      <c r="AT48" s="3218"/>
      <c r="AU48" s="3219"/>
      <c r="AV48" s="488">
        <f t="shared" si="37"/>
        <v>0</v>
      </c>
      <c r="AW48" s="488">
        <f t="shared" si="38"/>
        <v>0</v>
      </c>
      <c r="AX48" s="488">
        <f t="shared" si="39"/>
        <v>0</v>
      </c>
      <c r="AY48" s="3235">
        <f t="shared" si="40"/>
        <v>0</v>
      </c>
      <c r="AZ48" s="3166">
        <f t="shared" si="41"/>
        <v>0</v>
      </c>
      <c r="BA48" s="3166">
        <f t="shared" si="42"/>
        <v>0</v>
      </c>
      <c r="BB48" s="3166">
        <f t="shared" si="43"/>
        <v>0</v>
      </c>
      <c r="BC48" s="3166">
        <f t="shared" si="44"/>
        <v>0</v>
      </c>
      <c r="BD48" s="3166">
        <f t="shared" si="45"/>
        <v>0</v>
      </c>
      <c r="BE48" s="3166">
        <f t="shared" si="46"/>
        <v>0</v>
      </c>
      <c r="BF48" s="3166">
        <f t="shared" si="47"/>
        <v>0</v>
      </c>
      <c r="BG48" s="3166">
        <f t="shared" si="48"/>
        <v>0</v>
      </c>
      <c r="BH48" s="3166">
        <f t="shared" si="49"/>
        <v>0</v>
      </c>
      <c r="BI48" s="3166">
        <f t="shared" si="50"/>
        <v>0</v>
      </c>
      <c r="BJ48" s="3166">
        <f t="shared" si="51"/>
        <v>0</v>
      </c>
      <c r="BK48" s="3166">
        <f t="shared" si="52"/>
        <v>0</v>
      </c>
      <c r="BL48" s="3166">
        <f t="shared" si="53"/>
        <v>0</v>
      </c>
      <c r="BM48" s="3166">
        <f t="shared" si="54"/>
        <v>0</v>
      </c>
      <c r="BN48" s="3166">
        <f t="shared" si="55"/>
        <v>0</v>
      </c>
      <c r="BO48" s="3166">
        <f t="shared" si="56"/>
        <v>0</v>
      </c>
      <c r="BP48" s="3166">
        <f t="shared" si="57"/>
        <v>0</v>
      </c>
      <c r="BQ48" s="3166">
        <f t="shared" si="58"/>
        <v>0</v>
      </c>
      <c r="BR48" s="3166">
        <f t="shared" si="59"/>
        <v>0</v>
      </c>
      <c r="BS48" s="3166">
        <f t="shared" si="60"/>
        <v>0</v>
      </c>
      <c r="BT48" s="3240">
        <f t="shared" si="61"/>
        <v>0</v>
      </c>
    </row>
    <row r="49" spans="1:72">
      <c r="A49" s="3163"/>
      <c r="B49" s="3173"/>
      <c r="C49" s="3171"/>
      <c r="D49" s="3172"/>
      <c r="E49" s="3166">
        <f t="shared" si="33"/>
        <v>0</v>
      </c>
      <c r="F49" s="3167"/>
      <c r="G49" s="3168">
        <f t="shared" si="34"/>
        <v>0</v>
      </c>
      <c r="H49" s="3169">
        <f t="shared" si="35"/>
        <v>0</v>
      </c>
      <c r="I49" s="3171"/>
      <c r="J49" s="3187"/>
      <c r="K49" s="3171"/>
      <c r="L49" s="3187"/>
      <c r="M49" s="3187"/>
      <c r="N49" s="3187"/>
      <c r="O49" s="3187"/>
      <c r="P49" s="3187"/>
      <c r="Q49" s="3187"/>
      <c r="R49" s="3187"/>
      <c r="S49" s="3187"/>
      <c r="T49" s="3187"/>
      <c r="U49" s="3187"/>
      <c r="V49" s="3187"/>
      <c r="W49" s="3187"/>
      <c r="X49" s="3187"/>
      <c r="Y49" s="3187"/>
      <c r="Z49" s="3187"/>
      <c r="AA49" s="3187"/>
      <c r="AB49" s="3187"/>
      <c r="AC49" s="3166">
        <f t="shared" si="36"/>
        <v>0</v>
      </c>
      <c r="AD49" s="3198"/>
      <c r="AE49" s="3198"/>
      <c r="AF49" s="3171"/>
      <c r="AG49" s="3198"/>
      <c r="AH49" s="3198"/>
      <c r="AI49" s="3198"/>
      <c r="AJ49" s="3198"/>
      <c r="AK49" s="3198"/>
      <c r="AL49" s="3198"/>
      <c r="AM49" s="3198"/>
      <c r="AN49" s="3198"/>
      <c r="AO49" s="3198"/>
      <c r="AP49" s="3198"/>
      <c r="AQ49" s="3198"/>
      <c r="AR49" s="3198"/>
      <c r="AS49" s="3198"/>
      <c r="AT49" s="3218"/>
      <c r="AU49" s="3219"/>
      <c r="AV49" s="488">
        <f t="shared" si="37"/>
        <v>0</v>
      </c>
      <c r="AW49" s="488">
        <f t="shared" si="38"/>
        <v>0</v>
      </c>
      <c r="AX49" s="488">
        <f t="shared" si="39"/>
        <v>0</v>
      </c>
      <c r="AY49" s="3235">
        <f t="shared" si="40"/>
        <v>0</v>
      </c>
      <c r="AZ49" s="3166">
        <f t="shared" si="41"/>
        <v>0</v>
      </c>
      <c r="BA49" s="3166">
        <f t="shared" si="42"/>
        <v>0</v>
      </c>
      <c r="BB49" s="3166">
        <f t="shared" si="43"/>
        <v>0</v>
      </c>
      <c r="BC49" s="3166">
        <f t="shared" si="44"/>
        <v>0</v>
      </c>
      <c r="BD49" s="3166">
        <f t="shared" si="45"/>
        <v>0</v>
      </c>
      <c r="BE49" s="3166">
        <f t="shared" si="46"/>
        <v>0</v>
      </c>
      <c r="BF49" s="3166">
        <f t="shared" si="47"/>
        <v>0</v>
      </c>
      <c r="BG49" s="3166">
        <f t="shared" si="48"/>
        <v>0</v>
      </c>
      <c r="BH49" s="3166">
        <f t="shared" si="49"/>
        <v>0</v>
      </c>
      <c r="BI49" s="3166">
        <f t="shared" si="50"/>
        <v>0</v>
      </c>
      <c r="BJ49" s="3166">
        <f t="shared" si="51"/>
        <v>0</v>
      </c>
      <c r="BK49" s="3166">
        <f t="shared" si="52"/>
        <v>0</v>
      </c>
      <c r="BL49" s="3166">
        <f t="shared" si="53"/>
        <v>0</v>
      </c>
      <c r="BM49" s="3166">
        <f t="shared" si="54"/>
        <v>0</v>
      </c>
      <c r="BN49" s="3166">
        <f t="shared" si="55"/>
        <v>0</v>
      </c>
      <c r="BO49" s="3166">
        <f t="shared" si="56"/>
        <v>0</v>
      </c>
      <c r="BP49" s="3166">
        <f t="shared" si="57"/>
        <v>0</v>
      </c>
      <c r="BQ49" s="3166">
        <f t="shared" si="58"/>
        <v>0</v>
      </c>
      <c r="BR49" s="3166">
        <f t="shared" si="59"/>
        <v>0</v>
      </c>
      <c r="BS49" s="3166">
        <f t="shared" si="60"/>
        <v>0</v>
      </c>
      <c r="BT49" s="3240">
        <f t="shared" si="61"/>
        <v>0</v>
      </c>
    </row>
    <row r="50" spans="1:72">
      <c r="A50" s="3163"/>
      <c r="B50" s="3173"/>
      <c r="C50" s="3171"/>
      <c r="D50" s="3172"/>
      <c r="E50" s="3166">
        <f t="shared" si="33"/>
        <v>0</v>
      </c>
      <c r="F50" s="3167"/>
      <c r="G50" s="3168">
        <f t="shared" si="34"/>
        <v>0</v>
      </c>
      <c r="H50" s="3169">
        <f t="shared" si="35"/>
        <v>0</v>
      </c>
      <c r="I50" s="3171"/>
      <c r="J50" s="3187"/>
      <c r="K50" s="3171"/>
      <c r="L50" s="3187"/>
      <c r="M50" s="3187"/>
      <c r="N50" s="3187"/>
      <c r="O50" s="3187"/>
      <c r="P50" s="3187"/>
      <c r="Q50" s="3187"/>
      <c r="R50" s="3187"/>
      <c r="S50" s="3187"/>
      <c r="T50" s="3187"/>
      <c r="U50" s="3187"/>
      <c r="V50" s="3187"/>
      <c r="W50" s="3187"/>
      <c r="X50" s="3187"/>
      <c r="Y50" s="3187"/>
      <c r="Z50" s="3187"/>
      <c r="AA50" s="3187"/>
      <c r="AB50" s="3187"/>
      <c r="AC50" s="3166">
        <f t="shared" si="36"/>
        <v>0</v>
      </c>
      <c r="AD50" s="3198"/>
      <c r="AE50" s="3198"/>
      <c r="AF50" s="3171"/>
      <c r="AG50" s="3198"/>
      <c r="AH50" s="3198"/>
      <c r="AI50" s="3198"/>
      <c r="AJ50" s="3198"/>
      <c r="AK50" s="3198"/>
      <c r="AL50" s="3198"/>
      <c r="AM50" s="3198"/>
      <c r="AN50" s="3198"/>
      <c r="AO50" s="3198"/>
      <c r="AP50" s="3198"/>
      <c r="AQ50" s="3198"/>
      <c r="AR50" s="3198"/>
      <c r="AS50" s="3198"/>
      <c r="AT50" s="3218"/>
      <c r="AU50" s="3219"/>
      <c r="AV50" s="488">
        <f t="shared" si="37"/>
        <v>0</v>
      </c>
      <c r="AW50" s="488">
        <f t="shared" si="38"/>
        <v>0</v>
      </c>
      <c r="AX50" s="488">
        <f t="shared" si="39"/>
        <v>0</v>
      </c>
      <c r="AY50" s="3235">
        <f t="shared" si="40"/>
        <v>0</v>
      </c>
      <c r="AZ50" s="3166">
        <f t="shared" si="41"/>
        <v>0</v>
      </c>
      <c r="BA50" s="3166">
        <f t="shared" si="42"/>
        <v>0</v>
      </c>
      <c r="BB50" s="3166">
        <f t="shared" si="43"/>
        <v>0</v>
      </c>
      <c r="BC50" s="3166">
        <f t="shared" si="44"/>
        <v>0</v>
      </c>
      <c r="BD50" s="3166">
        <f t="shared" si="45"/>
        <v>0</v>
      </c>
      <c r="BE50" s="3166">
        <f t="shared" si="46"/>
        <v>0</v>
      </c>
      <c r="BF50" s="3166">
        <f t="shared" si="47"/>
        <v>0</v>
      </c>
      <c r="BG50" s="3166">
        <f t="shared" si="48"/>
        <v>0</v>
      </c>
      <c r="BH50" s="3166">
        <f t="shared" si="49"/>
        <v>0</v>
      </c>
      <c r="BI50" s="3166">
        <f t="shared" si="50"/>
        <v>0</v>
      </c>
      <c r="BJ50" s="3166">
        <f t="shared" si="51"/>
        <v>0</v>
      </c>
      <c r="BK50" s="3166">
        <f t="shared" si="52"/>
        <v>0</v>
      </c>
      <c r="BL50" s="3166">
        <f t="shared" si="53"/>
        <v>0</v>
      </c>
      <c r="BM50" s="3166">
        <f t="shared" si="54"/>
        <v>0</v>
      </c>
      <c r="BN50" s="3166">
        <f t="shared" si="55"/>
        <v>0</v>
      </c>
      <c r="BO50" s="3166">
        <f t="shared" si="56"/>
        <v>0</v>
      </c>
      <c r="BP50" s="3166">
        <f t="shared" si="57"/>
        <v>0</v>
      </c>
      <c r="BQ50" s="3166">
        <f t="shared" si="58"/>
        <v>0</v>
      </c>
      <c r="BR50" s="3166">
        <f t="shared" si="59"/>
        <v>0</v>
      </c>
      <c r="BS50" s="3166">
        <f t="shared" si="60"/>
        <v>0</v>
      </c>
      <c r="BT50" s="3240">
        <f t="shared" si="61"/>
        <v>0</v>
      </c>
    </row>
    <row r="51" spans="1:72">
      <c r="A51" s="3163"/>
      <c r="B51" s="3173"/>
      <c r="C51" s="3171"/>
      <c r="D51" s="3172"/>
      <c r="E51" s="3166">
        <f t="shared" si="33"/>
        <v>0</v>
      </c>
      <c r="F51" s="3167"/>
      <c r="G51" s="3168">
        <f t="shared" si="34"/>
        <v>0</v>
      </c>
      <c r="H51" s="3169">
        <f t="shared" si="35"/>
        <v>0</v>
      </c>
      <c r="I51" s="3171"/>
      <c r="J51" s="3187"/>
      <c r="K51" s="3171"/>
      <c r="L51" s="3187"/>
      <c r="M51" s="3187"/>
      <c r="N51" s="3187"/>
      <c r="O51" s="3187"/>
      <c r="P51" s="3187"/>
      <c r="Q51" s="3187"/>
      <c r="R51" s="3187"/>
      <c r="S51" s="3187"/>
      <c r="T51" s="3187"/>
      <c r="U51" s="3187"/>
      <c r="V51" s="3187"/>
      <c r="W51" s="3187"/>
      <c r="X51" s="3187"/>
      <c r="Y51" s="3187"/>
      <c r="Z51" s="3187"/>
      <c r="AA51" s="3187"/>
      <c r="AB51" s="3187"/>
      <c r="AC51" s="3166">
        <f t="shared" si="36"/>
        <v>0</v>
      </c>
      <c r="AD51" s="3198"/>
      <c r="AE51" s="3198"/>
      <c r="AF51" s="3171"/>
      <c r="AG51" s="3198"/>
      <c r="AH51" s="3198"/>
      <c r="AI51" s="3198"/>
      <c r="AJ51" s="3198"/>
      <c r="AK51" s="3198"/>
      <c r="AL51" s="3198"/>
      <c r="AM51" s="3198"/>
      <c r="AN51" s="3198"/>
      <c r="AO51" s="3198"/>
      <c r="AP51" s="3198"/>
      <c r="AQ51" s="3198"/>
      <c r="AR51" s="3198"/>
      <c r="AS51" s="3198"/>
      <c r="AT51" s="3218"/>
      <c r="AU51" s="3219"/>
      <c r="AV51" s="488">
        <f t="shared" si="37"/>
        <v>0</v>
      </c>
      <c r="AW51" s="488">
        <f t="shared" si="38"/>
        <v>0</v>
      </c>
      <c r="AX51" s="488">
        <f t="shared" si="39"/>
        <v>0</v>
      </c>
      <c r="AY51" s="3235">
        <f t="shared" si="40"/>
        <v>0</v>
      </c>
      <c r="AZ51" s="3166">
        <f t="shared" si="41"/>
        <v>0</v>
      </c>
      <c r="BA51" s="3166">
        <f t="shared" si="42"/>
        <v>0</v>
      </c>
      <c r="BB51" s="3166">
        <f t="shared" si="43"/>
        <v>0</v>
      </c>
      <c r="BC51" s="3166">
        <f t="shared" si="44"/>
        <v>0</v>
      </c>
      <c r="BD51" s="3166">
        <f t="shared" si="45"/>
        <v>0</v>
      </c>
      <c r="BE51" s="3166">
        <f t="shared" si="46"/>
        <v>0</v>
      </c>
      <c r="BF51" s="3166">
        <f t="shared" si="47"/>
        <v>0</v>
      </c>
      <c r="BG51" s="3166">
        <f t="shared" si="48"/>
        <v>0</v>
      </c>
      <c r="BH51" s="3166">
        <f t="shared" si="49"/>
        <v>0</v>
      </c>
      <c r="BI51" s="3166">
        <f t="shared" si="50"/>
        <v>0</v>
      </c>
      <c r="BJ51" s="3166">
        <f t="shared" si="51"/>
        <v>0</v>
      </c>
      <c r="BK51" s="3166">
        <f t="shared" si="52"/>
        <v>0</v>
      </c>
      <c r="BL51" s="3166">
        <f t="shared" si="53"/>
        <v>0</v>
      </c>
      <c r="BM51" s="3166">
        <f t="shared" si="54"/>
        <v>0</v>
      </c>
      <c r="BN51" s="3166">
        <f t="shared" si="55"/>
        <v>0</v>
      </c>
      <c r="BO51" s="3166">
        <f t="shared" si="56"/>
        <v>0</v>
      </c>
      <c r="BP51" s="3166">
        <f t="shared" si="57"/>
        <v>0</v>
      </c>
      <c r="BQ51" s="3166">
        <f t="shared" si="58"/>
        <v>0</v>
      </c>
      <c r="BR51" s="3166">
        <f t="shared" si="59"/>
        <v>0</v>
      </c>
      <c r="BS51" s="3166">
        <f t="shared" si="60"/>
        <v>0</v>
      </c>
      <c r="BT51" s="3240">
        <f t="shared" si="61"/>
        <v>0</v>
      </c>
    </row>
    <row r="52" spans="1:72">
      <c r="A52" s="3163"/>
      <c r="B52" s="3173"/>
      <c r="C52" s="3171"/>
      <c r="D52" s="3172"/>
      <c r="E52" s="3166">
        <f t="shared" si="33"/>
        <v>0</v>
      </c>
      <c r="F52" s="3167"/>
      <c r="G52" s="3168">
        <f t="shared" si="34"/>
        <v>0</v>
      </c>
      <c r="H52" s="3169">
        <f t="shared" si="35"/>
        <v>0</v>
      </c>
      <c r="I52" s="3171"/>
      <c r="J52" s="3187"/>
      <c r="K52" s="3171"/>
      <c r="L52" s="3187"/>
      <c r="M52" s="3187"/>
      <c r="N52" s="3187"/>
      <c r="O52" s="3187"/>
      <c r="P52" s="3187"/>
      <c r="Q52" s="3187"/>
      <c r="R52" s="3187"/>
      <c r="S52" s="3187"/>
      <c r="T52" s="3187"/>
      <c r="U52" s="3187"/>
      <c r="V52" s="3187"/>
      <c r="W52" s="3187"/>
      <c r="X52" s="3187"/>
      <c r="Y52" s="3187"/>
      <c r="Z52" s="3187"/>
      <c r="AA52" s="3187"/>
      <c r="AB52" s="3187"/>
      <c r="AC52" s="3166">
        <f t="shared" si="36"/>
        <v>0</v>
      </c>
      <c r="AD52" s="3198"/>
      <c r="AE52" s="3198"/>
      <c r="AF52" s="3171"/>
      <c r="AG52" s="3198"/>
      <c r="AH52" s="3198"/>
      <c r="AI52" s="3198"/>
      <c r="AJ52" s="3198"/>
      <c r="AK52" s="3198"/>
      <c r="AL52" s="3198"/>
      <c r="AM52" s="3198"/>
      <c r="AN52" s="3198"/>
      <c r="AO52" s="3198"/>
      <c r="AP52" s="3198"/>
      <c r="AQ52" s="3198"/>
      <c r="AR52" s="3198"/>
      <c r="AS52" s="3198"/>
      <c r="AT52" s="3218"/>
      <c r="AU52" s="3219"/>
      <c r="AV52" s="488">
        <f t="shared" si="37"/>
        <v>0</v>
      </c>
      <c r="AW52" s="488">
        <f t="shared" si="38"/>
        <v>0</v>
      </c>
      <c r="AX52" s="488">
        <f t="shared" si="39"/>
        <v>0</v>
      </c>
      <c r="AY52" s="3235">
        <f t="shared" si="40"/>
        <v>0</v>
      </c>
      <c r="AZ52" s="3166">
        <f t="shared" si="41"/>
        <v>0</v>
      </c>
      <c r="BA52" s="3166">
        <f t="shared" si="42"/>
        <v>0</v>
      </c>
      <c r="BB52" s="3166">
        <f t="shared" si="43"/>
        <v>0</v>
      </c>
      <c r="BC52" s="3166">
        <f t="shared" si="44"/>
        <v>0</v>
      </c>
      <c r="BD52" s="3166">
        <f t="shared" si="45"/>
        <v>0</v>
      </c>
      <c r="BE52" s="3166">
        <f t="shared" si="46"/>
        <v>0</v>
      </c>
      <c r="BF52" s="3166">
        <f t="shared" si="47"/>
        <v>0</v>
      </c>
      <c r="BG52" s="3166">
        <f t="shared" si="48"/>
        <v>0</v>
      </c>
      <c r="BH52" s="3166">
        <f t="shared" si="49"/>
        <v>0</v>
      </c>
      <c r="BI52" s="3166">
        <f t="shared" si="50"/>
        <v>0</v>
      </c>
      <c r="BJ52" s="3166">
        <f t="shared" si="51"/>
        <v>0</v>
      </c>
      <c r="BK52" s="3166">
        <f t="shared" si="52"/>
        <v>0</v>
      </c>
      <c r="BL52" s="3166">
        <f t="shared" si="53"/>
        <v>0</v>
      </c>
      <c r="BM52" s="3166">
        <f t="shared" si="54"/>
        <v>0</v>
      </c>
      <c r="BN52" s="3166">
        <f t="shared" si="55"/>
        <v>0</v>
      </c>
      <c r="BO52" s="3166">
        <f t="shared" si="56"/>
        <v>0</v>
      </c>
      <c r="BP52" s="3166">
        <f t="shared" si="57"/>
        <v>0</v>
      </c>
      <c r="BQ52" s="3166">
        <f t="shared" si="58"/>
        <v>0</v>
      </c>
      <c r="BR52" s="3166">
        <f t="shared" si="59"/>
        <v>0</v>
      </c>
      <c r="BS52" s="3166">
        <f t="shared" si="60"/>
        <v>0</v>
      </c>
      <c r="BT52" s="3240">
        <f t="shared" si="61"/>
        <v>0</v>
      </c>
    </row>
    <row r="53" spans="1:72">
      <c r="A53" s="3163"/>
      <c r="B53" s="3173"/>
      <c r="C53" s="3171"/>
      <c r="D53" s="3172"/>
      <c r="E53" s="3166">
        <f t="shared" si="33"/>
        <v>0</v>
      </c>
      <c r="F53" s="3167"/>
      <c r="G53" s="3168">
        <f t="shared" si="34"/>
        <v>0</v>
      </c>
      <c r="H53" s="3169">
        <f t="shared" si="35"/>
        <v>0</v>
      </c>
      <c r="I53" s="3171"/>
      <c r="J53" s="3187"/>
      <c r="K53" s="3171"/>
      <c r="L53" s="3187"/>
      <c r="M53" s="3187"/>
      <c r="N53" s="3187"/>
      <c r="O53" s="3187"/>
      <c r="P53" s="3187"/>
      <c r="Q53" s="3187"/>
      <c r="R53" s="3187"/>
      <c r="S53" s="3187"/>
      <c r="T53" s="3187"/>
      <c r="U53" s="3187"/>
      <c r="V53" s="3187"/>
      <c r="W53" s="3187"/>
      <c r="X53" s="3187"/>
      <c r="Y53" s="3187"/>
      <c r="Z53" s="3187"/>
      <c r="AA53" s="3187"/>
      <c r="AB53" s="3187"/>
      <c r="AC53" s="3166">
        <f t="shared" si="36"/>
        <v>0</v>
      </c>
      <c r="AD53" s="3198"/>
      <c r="AE53" s="3198"/>
      <c r="AF53" s="3171"/>
      <c r="AG53" s="3198"/>
      <c r="AH53" s="3198"/>
      <c r="AI53" s="3198"/>
      <c r="AJ53" s="3198"/>
      <c r="AK53" s="3198"/>
      <c r="AL53" s="3198"/>
      <c r="AM53" s="3198"/>
      <c r="AN53" s="3198"/>
      <c r="AO53" s="3198"/>
      <c r="AP53" s="3198"/>
      <c r="AQ53" s="3198"/>
      <c r="AR53" s="3198"/>
      <c r="AS53" s="3198"/>
      <c r="AT53" s="3218"/>
      <c r="AU53" s="3219"/>
      <c r="AV53" s="488">
        <f t="shared" si="37"/>
        <v>0</v>
      </c>
      <c r="AW53" s="488">
        <f t="shared" si="38"/>
        <v>0</v>
      </c>
      <c r="AX53" s="488">
        <f t="shared" si="39"/>
        <v>0</v>
      </c>
      <c r="AY53" s="3235">
        <f t="shared" si="40"/>
        <v>0</v>
      </c>
      <c r="AZ53" s="3166">
        <f t="shared" si="41"/>
        <v>0</v>
      </c>
      <c r="BA53" s="3166">
        <f t="shared" si="42"/>
        <v>0</v>
      </c>
      <c r="BB53" s="3166">
        <f t="shared" si="43"/>
        <v>0</v>
      </c>
      <c r="BC53" s="3166">
        <f t="shared" si="44"/>
        <v>0</v>
      </c>
      <c r="BD53" s="3166">
        <f t="shared" si="45"/>
        <v>0</v>
      </c>
      <c r="BE53" s="3166">
        <f t="shared" si="46"/>
        <v>0</v>
      </c>
      <c r="BF53" s="3166">
        <f t="shared" si="47"/>
        <v>0</v>
      </c>
      <c r="BG53" s="3166">
        <f t="shared" si="48"/>
        <v>0</v>
      </c>
      <c r="BH53" s="3166">
        <f t="shared" si="49"/>
        <v>0</v>
      </c>
      <c r="BI53" s="3166">
        <f t="shared" si="50"/>
        <v>0</v>
      </c>
      <c r="BJ53" s="3166">
        <f t="shared" si="51"/>
        <v>0</v>
      </c>
      <c r="BK53" s="3166">
        <f t="shared" si="52"/>
        <v>0</v>
      </c>
      <c r="BL53" s="3166">
        <f t="shared" si="53"/>
        <v>0</v>
      </c>
      <c r="BM53" s="3166">
        <f t="shared" si="54"/>
        <v>0</v>
      </c>
      <c r="BN53" s="3166">
        <f t="shared" si="55"/>
        <v>0</v>
      </c>
      <c r="BO53" s="3166">
        <f t="shared" si="56"/>
        <v>0</v>
      </c>
      <c r="BP53" s="3166">
        <f t="shared" si="57"/>
        <v>0</v>
      </c>
      <c r="BQ53" s="3166">
        <f t="shared" si="58"/>
        <v>0</v>
      </c>
      <c r="BR53" s="3166">
        <f t="shared" si="59"/>
        <v>0</v>
      </c>
      <c r="BS53" s="3166">
        <f t="shared" si="60"/>
        <v>0</v>
      </c>
      <c r="BT53" s="3240">
        <f t="shared" si="61"/>
        <v>0</v>
      </c>
    </row>
    <row r="54" spans="1:72">
      <c r="A54" s="3163"/>
      <c r="B54" s="3173"/>
      <c r="C54" s="3171"/>
      <c r="D54" s="3172"/>
      <c r="E54" s="3166">
        <f t="shared" si="33"/>
        <v>0</v>
      </c>
      <c r="F54" s="3167"/>
      <c r="G54" s="3168">
        <f t="shared" si="34"/>
        <v>0</v>
      </c>
      <c r="H54" s="3169">
        <f t="shared" si="35"/>
        <v>0</v>
      </c>
      <c r="I54" s="3171"/>
      <c r="J54" s="3187"/>
      <c r="K54" s="3171"/>
      <c r="L54" s="3187"/>
      <c r="M54" s="3187"/>
      <c r="N54" s="3187"/>
      <c r="O54" s="3187"/>
      <c r="P54" s="3187"/>
      <c r="Q54" s="3187"/>
      <c r="R54" s="3187"/>
      <c r="S54" s="3187"/>
      <c r="T54" s="3187"/>
      <c r="U54" s="3187"/>
      <c r="V54" s="3187"/>
      <c r="W54" s="3187"/>
      <c r="X54" s="3187"/>
      <c r="Y54" s="3187"/>
      <c r="Z54" s="3187"/>
      <c r="AA54" s="3187"/>
      <c r="AB54" s="3187"/>
      <c r="AC54" s="3166">
        <f t="shared" si="36"/>
        <v>0</v>
      </c>
      <c r="AD54" s="3198"/>
      <c r="AE54" s="3198"/>
      <c r="AF54" s="3171"/>
      <c r="AG54" s="3198"/>
      <c r="AH54" s="3198"/>
      <c r="AI54" s="3198"/>
      <c r="AJ54" s="3198"/>
      <c r="AK54" s="3198"/>
      <c r="AL54" s="3198"/>
      <c r="AM54" s="3198"/>
      <c r="AN54" s="3198"/>
      <c r="AO54" s="3198"/>
      <c r="AP54" s="3198"/>
      <c r="AQ54" s="3198"/>
      <c r="AR54" s="3198"/>
      <c r="AS54" s="3198"/>
      <c r="AT54" s="3218"/>
      <c r="AU54" s="3219"/>
      <c r="AV54" s="488">
        <f t="shared" si="37"/>
        <v>0</v>
      </c>
      <c r="AW54" s="488">
        <f t="shared" si="38"/>
        <v>0</v>
      </c>
      <c r="AX54" s="488">
        <f t="shared" si="39"/>
        <v>0</v>
      </c>
      <c r="AY54" s="3235">
        <f t="shared" si="40"/>
        <v>0</v>
      </c>
      <c r="AZ54" s="3166">
        <f t="shared" si="41"/>
        <v>0</v>
      </c>
      <c r="BA54" s="3166">
        <f t="shared" si="42"/>
        <v>0</v>
      </c>
      <c r="BB54" s="3166">
        <f t="shared" si="43"/>
        <v>0</v>
      </c>
      <c r="BC54" s="3166">
        <f t="shared" si="44"/>
        <v>0</v>
      </c>
      <c r="BD54" s="3166">
        <f t="shared" si="45"/>
        <v>0</v>
      </c>
      <c r="BE54" s="3166">
        <f t="shared" si="46"/>
        <v>0</v>
      </c>
      <c r="BF54" s="3166">
        <f t="shared" si="47"/>
        <v>0</v>
      </c>
      <c r="BG54" s="3166">
        <f t="shared" si="48"/>
        <v>0</v>
      </c>
      <c r="BH54" s="3166">
        <f t="shared" si="49"/>
        <v>0</v>
      </c>
      <c r="BI54" s="3166">
        <f t="shared" si="50"/>
        <v>0</v>
      </c>
      <c r="BJ54" s="3166">
        <f t="shared" si="51"/>
        <v>0</v>
      </c>
      <c r="BK54" s="3166">
        <f t="shared" si="52"/>
        <v>0</v>
      </c>
      <c r="BL54" s="3166">
        <f t="shared" si="53"/>
        <v>0</v>
      </c>
      <c r="BM54" s="3166">
        <f t="shared" si="54"/>
        <v>0</v>
      </c>
      <c r="BN54" s="3166">
        <f t="shared" si="55"/>
        <v>0</v>
      </c>
      <c r="BO54" s="3166">
        <f t="shared" si="56"/>
        <v>0</v>
      </c>
      <c r="BP54" s="3166">
        <f t="shared" si="57"/>
        <v>0</v>
      </c>
      <c r="BQ54" s="3166">
        <f t="shared" si="58"/>
        <v>0</v>
      </c>
      <c r="BR54" s="3166">
        <f t="shared" si="59"/>
        <v>0</v>
      </c>
      <c r="BS54" s="3166">
        <f t="shared" si="60"/>
        <v>0</v>
      </c>
      <c r="BT54" s="3240">
        <f t="shared" si="61"/>
        <v>0</v>
      </c>
    </row>
    <row r="55" spans="1:72">
      <c r="A55" s="3163"/>
      <c r="B55" s="3174"/>
      <c r="C55" s="3175"/>
      <c r="D55" s="3172"/>
      <c r="E55" s="3166">
        <f t="shared" si="33"/>
        <v>0</v>
      </c>
      <c r="F55" s="3167"/>
      <c r="G55" s="3168">
        <f t="shared" si="34"/>
        <v>0</v>
      </c>
      <c r="H55" s="3169">
        <f t="shared" si="35"/>
        <v>0</v>
      </c>
      <c r="I55" s="3171"/>
      <c r="J55" s="3187"/>
      <c r="K55" s="3171"/>
      <c r="L55" s="3187"/>
      <c r="M55" s="3171"/>
      <c r="N55" s="3187"/>
      <c r="O55" s="3187"/>
      <c r="P55" s="3187"/>
      <c r="Q55" s="3187"/>
      <c r="R55" s="3187"/>
      <c r="S55" s="3187"/>
      <c r="T55" s="3187"/>
      <c r="U55" s="3187"/>
      <c r="V55" s="3187"/>
      <c r="W55" s="3187"/>
      <c r="X55" s="3187"/>
      <c r="Y55" s="3187"/>
      <c r="Z55" s="3187"/>
      <c r="AA55" s="3187"/>
      <c r="AB55" s="3187"/>
      <c r="AC55" s="3166">
        <f t="shared" si="36"/>
        <v>0</v>
      </c>
      <c r="AD55" s="3198"/>
      <c r="AE55" s="3198"/>
      <c r="AF55" s="3171"/>
      <c r="AG55" s="3198"/>
      <c r="AH55" s="3198"/>
      <c r="AI55" s="3198"/>
      <c r="AJ55" s="3198"/>
      <c r="AK55" s="3198"/>
      <c r="AL55" s="3198"/>
      <c r="AM55" s="3198"/>
      <c r="AN55" s="3198"/>
      <c r="AO55" s="3198"/>
      <c r="AP55" s="3198"/>
      <c r="AQ55" s="3198"/>
      <c r="AR55" s="3198"/>
      <c r="AS55" s="3198"/>
      <c r="AT55" s="3218"/>
      <c r="AU55" s="3219"/>
      <c r="AV55" s="488">
        <f t="shared" si="37"/>
        <v>0</v>
      </c>
      <c r="AW55" s="488">
        <f t="shared" si="38"/>
        <v>0</v>
      </c>
      <c r="AX55" s="488">
        <f t="shared" si="39"/>
        <v>0</v>
      </c>
      <c r="AY55" s="3235">
        <f t="shared" si="40"/>
        <v>0</v>
      </c>
      <c r="AZ55" s="3166">
        <f t="shared" si="41"/>
        <v>0</v>
      </c>
      <c r="BA55" s="3166">
        <f t="shared" si="42"/>
        <v>0</v>
      </c>
      <c r="BB55" s="3166">
        <f t="shared" si="43"/>
        <v>0</v>
      </c>
      <c r="BC55" s="3166">
        <f t="shared" si="44"/>
        <v>0</v>
      </c>
      <c r="BD55" s="3166">
        <f t="shared" si="45"/>
        <v>0</v>
      </c>
      <c r="BE55" s="3166">
        <f t="shared" si="46"/>
        <v>0</v>
      </c>
      <c r="BF55" s="3166">
        <f t="shared" si="47"/>
        <v>0</v>
      </c>
      <c r="BG55" s="3166">
        <f t="shared" si="48"/>
        <v>0</v>
      </c>
      <c r="BH55" s="3166">
        <f t="shared" si="49"/>
        <v>0</v>
      </c>
      <c r="BI55" s="3166">
        <f t="shared" si="50"/>
        <v>0</v>
      </c>
      <c r="BJ55" s="3166">
        <f t="shared" si="51"/>
        <v>0</v>
      </c>
      <c r="BK55" s="3166">
        <f t="shared" si="52"/>
        <v>0</v>
      </c>
      <c r="BL55" s="3166">
        <f t="shared" si="53"/>
        <v>0</v>
      </c>
      <c r="BM55" s="3166">
        <f t="shared" si="54"/>
        <v>0</v>
      </c>
      <c r="BN55" s="3166">
        <f t="shared" si="55"/>
        <v>0</v>
      </c>
      <c r="BO55" s="3166">
        <f t="shared" si="56"/>
        <v>0</v>
      </c>
      <c r="BP55" s="3166">
        <f t="shared" si="57"/>
        <v>0</v>
      </c>
      <c r="BQ55" s="3166">
        <f t="shared" si="58"/>
        <v>0</v>
      </c>
      <c r="BR55" s="3166">
        <f t="shared" si="59"/>
        <v>0</v>
      </c>
      <c r="BS55" s="3166">
        <f t="shared" si="60"/>
        <v>0</v>
      </c>
      <c r="BT55" s="3240">
        <f t="shared" si="61"/>
        <v>0</v>
      </c>
    </row>
    <row r="56" spans="1:72">
      <c r="A56" s="3163"/>
      <c r="B56" s="3164"/>
      <c r="C56" s="3164"/>
      <c r="D56" s="3176"/>
      <c r="E56" s="3166">
        <f t="shared" si="33"/>
        <v>0</v>
      </c>
      <c r="F56" s="3167"/>
      <c r="G56" s="3168">
        <f t="shared" si="34"/>
        <v>0</v>
      </c>
      <c r="H56" s="3169">
        <f t="shared" si="35"/>
        <v>0</v>
      </c>
      <c r="I56" s="3187"/>
      <c r="J56" s="3187"/>
      <c r="K56" s="3187"/>
      <c r="L56" s="3187"/>
      <c r="M56" s="3187"/>
      <c r="N56" s="3187"/>
      <c r="O56" s="3187"/>
      <c r="P56" s="3187"/>
      <c r="Q56" s="3187"/>
      <c r="R56" s="3187"/>
      <c r="S56" s="3187"/>
      <c r="T56" s="3187"/>
      <c r="U56" s="3187"/>
      <c r="V56" s="3187"/>
      <c r="W56" s="3187"/>
      <c r="X56" s="3187"/>
      <c r="Y56" s="3187"/>
      <c r="Z56" s="3187"/>
      <c r="AA56" s="3187"/>
      <c r="AB56" s="3187"/>
      <c r="AC56" s="3166">
        <f t="shared" si="36"/>
        <v>0</v>
      </c>
      <c r="AD56" s="3198"/>
      <c r="AE56" s="3198"/>
      <c r="AF56" s="3198"/>
      <c r="AG56" s="3198"/>
      <c r="AH56" s="3198"/>
      <c r="AI56" s="3198"/>
      <c r="AJ56" s="3198"/>
      <c r="AK56" s="3198"/>
      <c r="AL56" s="3198"/>
      <c r="AM56" s="3198"/>
      <c r="AN56" s="3198"/>
      <c r="AO56" s="3198"/>
      <c r="AP56" s="3198"/>
      <c r="AQ56" s="3198"/>
      <c r="AR56" s="3198"/>
      <c r="AS56" s="3198"/>
      <c r="AT56" s="3218"/>
      <c r="AU56" s="3219"/>
      <c r="AV56" s="488">
        <f t="shared" si="37"/>
        <v>0</v>
      </c>
      <c r="AW56" s="488">
        <f t="shared" si="38"/>
        <v>0</v>
      </c>
      <c r="AX56" s="488">
        <f t="shared" si="39"/>
        <v>0</v>
      </c>
      <c r="AY56" s="3235">
        <f t="shared" si="40"/>
        <v>0</v>
      </c>
      <c r="AZ56" s="3166">
        <f t="shared" si="41"/>
        <v>0</v>
      </c>
      <c r="BA56" s="3166">
        <f t="shared" si="42"/>
        <v>0</v>
      </c>
      <c r="BB56" s="3166">
        <f t="shared" si="43"/>
        <v>0</v>
      </c>
      <c r="BC56" s="3166">
        <f t="shared" si="44"/>
        <v>0</v>
      </c>
      <c r="BD56" s="3166">
        <f t="shared" si="45"/>
        <v>0</v>
      </c>
      <c r="BE56" s="3166">
        <f t="shared" si="46"/>
        <v>0</v>
      </c>
      <c r="BF56" s="3166">
        <f t="shared" si="47"/>
        <v>0</v>
      </c>
      <c r="BG56" s="3166">
        <f t="shared" si="48"/>
        <v>0</v>
      </c>
      <c r="BH56" s="3166">
        <f t="shared" si="49"/>
        <v>0</v>
      </c>
      <c r="BI56" s="3166">
        <f t="shared" si="50"/>
        <v>0</v>
      </c>
      <c r="BJ56" s="3166">
        <f t="shared" si="51"/>
        <v>0</v>
      </c>
      <c r="BK56" s="3166">
        <f t="shared" si="52"/>
        <v>0</v>
      </c>
      <c r="BL56" s="3166">
        <f t="shared" si="53"/>
        <v>0</v>
      </c>
      <c r="BM56" s="3166">
        <f t="shared" si="54"/>
        <v>0</v>
      </c>
      <c r="BN56" s="3166">
        <f t="shared" si="55"/>
        <v>0</v>
      </c>
      <c r="BO56" s="3166">
        <f t="shared" si="56"/>
        <v>0</v>
      </c>
      <c r="BP56" s="3166">
        <f t="shared" si="57"/>
        <v>0</v>
      </c>
      <c r="BQ56" s="3166">
        <f t="shared" si="58"/>
        <v>0</v>
      </c>
      <c r="BR56" s="3166">
        <f t="shared" si="59"/>
        <v>0</v>
      </c>
      <c r="BS56" s="3166">
        <f t="shared" si="60"/>
        <v>0</v>
      </c>
      <c r="BT56" s="3240">
        <f t="shared" si="61"/>
        <v>0</v>
      </c>
    </row>
    <row r="57" spans="1:72">
      <c r="A57" s="3163"/>
      <c r="B57" s="3164"/>
      <c r="C57" s="3164"/>
      <c r="D57" s="3176"/>
      <c r="E57" s="3166">
        <f t="shared" si="33"/>
        <v>0</v>
      </c>
      <c r="F57" s="3167"/>
      <c r="G57" s="3168">
        <f t="shared" si="34"/>
        <v>0</v>
      </c>
      <c r="H57" s="3169">
        <f t="shared" si="35"/>
        <v>0</v>
      </c>
      <c r="I57" s="3187"/>
      <c r="J57" s="3187"/>
      <c r="K57" s="3187"/>
      <c r="L57" s="3187"/>
      <c r="M57" s="3187"/>
      <c r="N57" s="3187"/>
      <c r="O57" s="3187"/>
      <c r="P57" s="3187"/>
      <c r="Q57" s="3187"/>
      <c r="R57" s="3187"/>
      <c r="S57" s="3187"/>
      <c r="T57" s="3187"/>
      <c r="U57" s="3187"/>
      <c r="V57" s="3187"/>
      <c r="W57" s="3187"/>
      <c r="X57" s="3187"/>
      <c r="Y57" s="3187"/>
      <c r="Z57" s="3187"/>
      <c r="AA57" s="3187"/>
      <c r="AB57" s="3187"/>
      <c r="AC57" s="3166">
        <f t="shared" si="36"/>
        <v>0</v>
      </c>
      <c r="AD57" s="3198"/>
      <c r="AE57" s="3198"/>
      <c r="AF57" s="3198"/>
      <c r="AG57" s="3198"/>
      <c r="AH57" s="3198"/>
      <c r="AI57" s="3198"/>
      <c r="AJ57" s="3198"/>
      <c r="AK57" s="3198"/>
      <c r="AL57" s="3198"/>
      <c r="AM57" s="3198"/>
      <c r="AN57" s="3198"/>
      <c r="AO57" s="3198"/>
      <c r="AP57" s="3198"/>
      <c r="AQ57" s="3198"/>
      <c r="AR57" s="3198"/>
      <c r="AS57" s="3198"/>
      <c r="AT57" s="3218"/>
      <c r="AU57" s="3219"/>
      <c r="AV57" s="488">
        <f t="shared" si="37"/>
        <v>0</v>
      </c>
      <c r="AW57" s="488">
        <f t="shared" si="38"/>
        <v>0</v>
      </c>
      <c r="AX57" s="488">
        <f t="shared" si="39"/>
        <v>0</v>
      </c>
      <c r="AY57" s="3235">
        <f t="shared" si="40"/>
        <v>0</v>
      </c>
      <c r="AZ57" s="3166">
        <f t="shared" si="41"/>
        <v>0</v>
      </c>
      <c r="BA57" s="3166">
        <f t="shared" si="42"/>
        <v>0</v>
      </c>
      <c r="BB57" s="3166">
        <f t="shared" si="43"/>
        <v>0</v>
      </c>
      <c r="BC57" s="3166">
        <f t="shared" si="44"/>
        <v>0</v>
      </c>
      <c r="BD57" s="3166">
        <f t="shared" si="45"/>
        <v>0</v>
      </c>
      <c r="BE57" s="3166">
        <f t="shared" si="46"/>
        <v>0</v>
      </c>
      <c r="BF57" s="3166">
        <f t="shared" si="47"/>
        <v>0</v>
      </c>
      <c r="BG57" s="3166">
        <f t="shared" si="48"/>
        <v>0</v>
      </c>
      <c r="BH57" s="3166">
        <f t="shared" si="49"/>
        <v>0</v>
      </c>
      <c r="BI57" s="3166">
        <f t="shared" si="50"/>
        <v>0</v>
      </c>
      <c r="BJ57" s="3166">
        <f t="shared" si="51"/>
        <v>0</v>
      </c>
      <c r="BK57" s="3166">
        <f t="shared" si="52"/>
        <v>0</v>
      </c>
      <c r="BL57" s="3166">
        <f t="shared" si="53"/>
        <v>0</v>
      </c>
      <c r="BM57" s="3166">
        <f t="shared" si="54"/>
        <v>0</v>
      </c>
      <c r="BN57" s="3166">
        <f t="shared" si="55"/>
        <v>0</v>
      </c>
      <c r="BO57" s="3166">
        <f t="shared" si="56"/>
        <v>0</v>
      </c>
      <c r="BP57" s="3166">
        <f t="shared" si="57"/>
        <v>0</v>
      </c>
      <c r="BQ57" s="3166">
        <f t="shared" si="58"/>
        <v>0</v>
      </c>
      <c r="BR57" s="3166">
        <f t="shared" si="59"/>
        <v>0</v>
      </c>
      <c r="BS57" s="3166">
        <f t="shared" si="60"/>
        <v>0</v>
      </c>
      <c r="BT57" s="3240">
        <f t="shared" si="61"/>
        <v>0</v>
      </c>
    </row>
    <row r="58" spans="1:72">
      <c r="A58" s="3163"/>
      <c r="B58" s="3164"/>
      <c r="C58" s="3164"/>
      <c r="D58" s="3176"/>
      <c r="E58" s="3166">
        <f t="shared" si="33"/>
        <v>0</v>
      </c>
      <c r="F58" s="3167"/>
      <c r="G58" s="3168">
        <f t="shared" si="34"/>
        <v>0</v>
      </c>
      <c r="H58" s="3169">
        <f t="shared" si="35"/>
        <v>0</v>
      </c>
      <c r="I58" s="3187"/>
      <c r="J58" s="3187"/>
      <c r="K58" s="3187"/>
      <c r="L58" s="3187"/>
      <c r="M58" s="3187"/>
      <c r="N58" s="3187"/>
      <c r="O58" s="3187"/>
      <c r="P58" s="3187"/>
      <c r="Q58" s="3187"/>
      <c r="R58" s="3187"/>
      <c r="S58" s="3187"/>
      <c r="T58" s="3187"/>
      <c r="U58" s="3187"/>
      <c r="V58" s="3187"/>
      <c r="W58" s="3187"/>
      <c r="X58" s="3187"/>
      <c r="Y58" s="3187"/>
      <c r="Z58" s="3187"/>
      <c r="AA58" s="3187"/>
      <c r="AB58" s="3187"/>
      <c r="AC58" s="3166">
        <f t="shared" si="36"/>
        <v>0</v>
      </c>
      <c r="AD58" s="3198"/>
      <c r="AE58" s="3198"/>
      <c r="AF58" s="3198"/>
      <c r="AG58" s="3198"/>
      <c r="AH58" s="3198"/>
      <c r="AI58" s="3198"/>
      <c r="AJ58" s="3198"/>
      <c r="AK58" s="3198"/>
      <c r="AL58" s="3198"/>
      <c r="AM58" s="3198"/>
      <c r="AN58" s="3198"/>
      <c r="AO58" s="3198"/>
      <c r="AP58" s="3198"/>
      <c r="AQ58" s="3198"/>
      <c r="AR58" s="3198"/>
      <c r="AS58" s="3198"/>
      <c r="AT58" s="3218"/>
      <c r="AU58" s="3219"/>
      <c r="AV58" s="488">
        <f t="shared" si="37"/>
        <v>0</v>
      </c>
      <c r="AW58" s="488">
        <f t="shared" si="38"/>
        <v>0</v>
      </c>
      <c r="AX58" s="488">
        <f t="shared" si="39"/>
        <v>0</v>
      </c>
      <c r="AY58" s="3235">
        <f t="shared" si="40"/>
        <v>0</v>
      </c>
      <c r="AZ58" s="3166">
        <f t="shared" si="41"/>
        <v>0</v>
      </c>
      <c r="BA58" s="3166">
        <f t="shared" si="42"/>
        <v>0</v>
      </c>
      <c r="BB58" s="3166">
        <f t="shared" si="43"/>
        <v>0</v>
      </c>
      <c r="BC58" s="3166">
        <f t="shared" si="44"/>
        <v>0</v>
      </c>
      <c r="BD58" s="3166">
        <f t="shared" si="45"/>
        <v>0</v>
      </c>
      <c r="BE58" s="3166">
        <f t="shared" si="46"/>
        <v>0</v>
      </c>
      <c r="BF58" s="3166">
        <f t="shared" si="47"/>
        <v>0</v>
      </c>
      <c r="BG58" s="3166">
        <f t="shared" si="48"/>
        <v>0</v>
      </c>
      <c r="BH58" s="3166">
        <f t="shared" si="49"/>
        <v>0</v>
      </c>
      <c r="BI58" s="3166">
        <f t="shared" si="50"/>
        <v>0</v>
      </c>
      <c r="BJ58" s="3166">
        <f t="shared" si="51"/>
        <v>0</v>
      </c>
      <c r="BK58" s="3166">
        <f t="shared" si="52"/>
        <v>0</v>
      </c>
      <c r="BL58" s="3166">
        <f t="shared" si="53"/>
        <v>0</v>
      </c>
      <c r="BM58" s="3166">
        <f t="shared" si="54"/>
        <v>0</v>
      </c>
      <c r="BN58" s="3166">
        <f t="shared" si="55"/>
        <v>0</v>
      </c>
      <c r="BO58" s="3166">
        <f t="shared" si="56"/>
        <v>0</v>
      </c>
      <c r="BP58" s="3166">
        <f t="shared" si="57"/>
        <v>0</v>
      </c>
      <c r="BQ58" s="3166">
        <f t="shared" si="58"/>
        <v>0</v>
      </c>
      <c r="BR58" s="3166">
        <f t="shared" si="59"/>
        <v>0</v>
      </c>
      <c r="BS58" s="3166">
        <f t="shared" si="60"/>
        <v>0</v>
      </c>
      <c r="BT58" s="3240">
        <f t="shared" si="61"/>
        <v>0</v>
      </c>
    </row>
    <row r="59" spans="1:72">
      <c r="A59" s="3163"/>
      <c r="B59" s="3164"/>
      <c r="C59" s="3164"/>
      <c r="D59" s="3176"/>
      <c r="E59" s="3166">
        <f t="shared" si="33"/>
        <v>0</v>
      </c>
      <c r="F59" s="3167"/>
      <c r="G59" s="3168">
        <f t="shared" si="34"/>
        <v>0</v>
      </c>
      <c r="H59" s="3169">
        <f t="shared" si="35"/>
        <v>0</v>
      </c>
      <c r="I59" s="3187"/>
      <c r="J59" s="3187"/>
      <c r="K59" s="3187"/>
      <c r="L59" s="3187"/>
      <c r="M59" s="3187"/>
      <c r="N59" s="3187"/>
      <c r="O59" s="3187"/>
      <c r="P59" s="3187"/>
      <c r="Q59" s="3187"/>
      <c r="R59" s="3187"/>
      <c r="S59" s="3187"/>
      <c r="T59" s="3187"/>
      <c r="U59" s="3187"/>
      <c r="V59" s="3187"/>
      <c r="W59" s="3187"/>
      <c r="X59" s="3187"/>
      <c r="Y59" s="3187"/>
      <c r="Z59" s="3187"/>
      <c r="AA59" s="3187"/>
      <c r="AB59" s="3187"/>
      <c r="AC59" s="3166">
        <f t="shared" si="36"/>
        <v>0</v>
      </c>
      <c r="AD59" s="3198"/>
      <c r="AE59" s="3198"/>
      <c r="AF59" s="3198"/>
      <c r="AG59" s="3198"/>
      <c r="AH59" s="3198"/>
      <c r="AI59" s="3198"/>
      <c r="AJ59" s="3198"/>
      <c r="AK59" s="3198"/>
      <c r="AL59" s="3198"/>
      <c r="AM59" s="3198"/>
      <c r="AN59" s="3198"/>
      <c r="AO59" s="3198"/>
      <c r="AP59" s="3198"/>
      <c r="AQ59" s="3198"/>
      <c r="AR59" s="3198"/>
      <c r="AS59" s="3198"/>
      <c r="AT59" s="3218"/>
      <c r="AU59" s="3219"/>
      <c r="AV59" s="488">
        <f t="shared" si="37"/>
        <v>0</v>
      </c>
      <c r="AW59" s="488">
        <f t="shared" si="38"/>
        <v>0</v>
      </c>
      <c r="AX59" s="488">
        <f t="shared" si="39"/>
        <v>0</v>
      </c>
      <c r="AY59" s="3235">
        <f t="shared" si="40"/>
        <v>0</v>
      </c>
      <c r="AZ59" s="3166">
        <f t="shared" si="41"/>
        <v>0</v>
      </c>
      <c r="BA59" s="3166">
        <f t="shared" si="42"/>
        <v>0</v>
      </c>
      <c r="BB59" s="3166">
        <f t="shared" si="43"/>
        <v>0</v>
      </c>
      <c r="BC59" s="3166">
        <f t="shared" si="44"/>
        <v>0</v>
      </c>
      <c r="BD59" s="3166">
        <f t="shared" si="45"/>
        <v>0</v>
      </c>
      <c r="BE59" s="3166">
        <f t="shared" si="46"/>
        <v>0</v>
      </c>
      <c r="BF59" s="3166">
        <f t="shared" si="47"/>
        <v>0</v>
      </c>
      <c r="BG59" s="3166">
        <f t="shared" si="48"/>
        <v>0</v>
      </c>
      <c r="BH59" s="3166">
        <f t="shared" si="49"/>
        <v>0</v>
      </c>
      <c r="BI59" s="3166">
        <f t="shared" si="50"/>
        <v>0</v>
      </c>
      <c r="BJ59" s="3166">
        <f t="shared" si="51"/>
        <v>0</v>
      </c>
      <c r="BK59" s="3166">
        <f t="shared" si="52"/>
        <v>0</v>
      </c>
      <c r="BL59" s="3166">
        <f t="shared" si="53"/>
        <v>0</v>
      </c>
      <c r="BM59" s="3166">
        <f t="shared" si="54"/>
        <v>0</v>
      </c>
      <c r="BN59" s="3166">
        <f t="shared" si="55"/>
        <v>0</v>
      </c>
      <c r="BO59" s="3166">
        <f t="shared" si="56"/>
        <v>0</v>
      </c>
      <c r="BP59" s="3166">
        <f t="shared" si="57"/>
        <v>0</v>
      </c>
      <c r="BQ59" s="3166">
        <f t="shared" si="58"/>
        <v>0</v>
      </c>
      <c r="BR59" s="3166">
        <f t="shared" si="59"/>
        <v>0</v>
      </c>
      <c r="BS59" s="3166">
        <f t="shared" si="60"/>
        <v>0</v>
      </c>
      <c r="BT59" s="3240">
        <f t="shared" si="61"/>
        <v>0</v>
      </c>
    </row>
    <row r="60" spans="1:72">
      <c r="A60" s="3163"/>
      <c r="B60" s="3164"/>
      <c r="C60" s="3164"/>
      <c r="D60" s="3176"/>
      <c r="E60" s="3166">
        <f t="shared" si="33"/>
        <v>0</v>
      </c>
      <c r="F60" s="3167"/>
      <c r="G60" s="3168">
        <f t="shared" si="34"/>
        <v>0</v>
      </c>
      <c r="H60" s="3169">
        <f t="shared" si="35"/>
        <v>0</v>
      </c>
      <c r="I60" s="3187"/>
      <c r="J60" s="3187"/>
      <c r="K60" s="3187"/>
      <c r="L60" s="3187"/>
      <c r="M60" s="3187"/>
      <c r="N60" s="3187"/>
      <c r="O60" s="3187"/>
      <c r="P60" s="3187"/>
      <c r="Q60" s="3187"/>
      <c r="R60" s="3187"/>
      <c r="S60" s="3187"/>
      <c r="T60" s="3187"/>
      <c r="U60" s="3187"/>
      <c r="V60" s="3187"/>
      <c r="W60" s="3187"/>
      <c r="X60" s="3187"/>
      <c r="Y60" s="3187"/>
      <c r="Z60" s="3187"/>
      <c r="AA60" s="3187"/>
      <c r="AB60" s="3187"/>
      <c r="AC60" s="3166">
        <f t="shared" si="36"/>
        <v>0</v>
      </c>
      <c r="AD60" s="3198"/>
      <c r="AE60" s="3198"/>
      <c r="AF60" s="3198"/>
      <c r="AG60" s="3198"/>
      <c r="AH60" s="3198"/>
      <c r="AI60" s="3198"/>
      <c r="AJ60" s="3198"/>
      <c r="AK60" s="3198"/>
      <c r="AL60" s="3198"/>
      <c r="AM60" s="3198"/>
      <c r="AN60" s="3198"/>
      <c r="AO60" s="3198"/>
      <c r="AP60" s="3198"/>
      <c r="AQ60" s="3198"/>
      <c r="AR60" s="3198"/>
      <c r="AS60" s="3198"/>
      <c r="AT60" s="3218"/>
      <c r="AU60" s="3219"/>
      <c r="AV60" s="488">
        <f t="shared" si="37"/>
        <v>0</v>
      </c>
      <c r="AW60" s="488">
        <f t="shared" si="38"/>
        <v>0</v>
      </c>
      <c r="AX60" s="488">
        <f t="shared" si="39"/>
        <v>0</v>
      </c>
      <c r="AY60" s="3235">
        <f t="shared" si="40"/>
        <v>0</v>
      </c>
      <c r="AZ60" s="3166">
        <f t="shared" si="41"/>
        <v>0</v>
      </c>
      <c r="BA60" s="3166">
        <f t="shared" si="42"/>
        <v>0</v>
      </c>
      <c r="BB60" s="3166">
        <f t="shared" si="43"/>
        <v>0</v>
      </c>
      <c r="BC60" s="3166">
        <f t="shared" si="44"/>
        <v>0</v>
      </c>
      <c r="BD60" s="3166">
        <f t="shared" si="45"/>
        <v>0</v>
      </c>
      <c r="BE60" s="3166">
        <f t="shared" si="46"/>
        <v>0</v>
      </c>
      <c r="BF60" s="3166">
        <f t="shared" si="47"/>
        <v>0</v>
      </c>
      <c r="BG60" s="3166">
        <f t="shared" si="48"/>
        <v>0</v>
      </c>
      <c r="BH60" s="3166">
        <f t="shared" si="49"/>
        <v>0</v>
      </c>
      <c r="BI60" s="3166">
        <f t="shared" si="50"/>
        <v>0</v>
      </c>
      <c r="BJ60" s="3166">
        <f t="shared" si="51"/>
        <v>0</v>
      </c>
      <c r="BK60" s="3166">
        <f t="shared" si="52"/>
        <v>0</v>
      </c>
      <c r="BL60" s="3166">
        <f t="shared" si="53"/>
        <v>0</v>
      </c>
      <c r="BM60" s="3166">
        <f t="shared" si="54"/>
        <v>0</v>
      </c>
      <c r="BN60" s="3166">
        <f t="shared" si="55"/>
        <v>0</v>
      </c>
      <c r="BO60" s="3166">
        <f t="shared" si="56"/>
        <v>0</v>
      </c>
      <c r="BP60" s="3166">
        <f t="shared" si="57"/>
        <v>0</v>
      </c>
      <c r="BQ60" s="3166">
        <f t="shared" si="58"/>
        <v>0</v>
      </c>
      <c r="BR60" s="3166">
        <f t="shared" si="59"/>
        <v>0</v>
      </c>
      <c r="BS60" s="3166">
        <f t="shared" si="60"/>
        <v>0</v>
      </c>
      <c r="BT60" s="3240">
        <f t="shared" si="61"/>
        <v>0</v>
      </c>
    </row>
    <row r="61" spans="1:72">
      <c r="A61" s="3163"/>
      <c r="B61" s="3164"/>
      <c r="C61" s="3164"/>
      <c r="D61" s="3176"/>
      <c r="E61" s="3166">
        <f t="shared" si="33"/>
        <v>0</v>
      </c>
      <c r="F61" s="3167"/>
      <c r="G61" s="3168">
        <f t="shared" si="34"/>
        <v>0</v>
      </c>
      <c r="H61" s="3169">
        <f t="shared" si="35"/>
        <v>0</v>
      </c>
      <c r="I61" s="3187"/>
      <c r="J61" s="3187"/>
      <c r="K61" s="3187"/>
      <c r="L61" s="3187"/>
      <c r="M61" s="3187"/>
      <c r="N61" s="3187"/>
      <c r="O61" s="3187"/>
      <c r="P61" s="3187"/>
      <c r="Q61" s="3187"/>
      <c r="R61" s="3187"/>
      <c r="S61" s="3187"/>
      <c r="T61" s="3187"/>
      <c r="U61" s="3187"/>
      <c r="V61" s="3187"/>
      <c r="W61" s="3187"/>
      <c r="X61" s="3187"/>
      <c r="Y61" s="3187"/>
      <c r="Z61" s="3187"/>
      <c r="AA61" s="3187"/>
      <c r="AB61" s="3187"/>
      <c r="AC61" s="3166">
        <f t="shared" si="36"/>
        <v>0</v>
      </c>
      <c r="AD61" s="3198"/>
      <c r="AE61" s="3198"/>
      <c r="AF61" s="3198"/>
      <c r="AG61" s="3198"/>
      <c r="AH61" s="3198"/>
      <c r="AI61" s="3198"/>
      <c r="AJ61" s="3198"/>
      <c r="AK61" s="3198"/>
      <c r="AL61" s="3198"/>
      <c r="AM61" s="3198"/>
      <c r="AN61" s="3198"/>
      <c r="AO61" s="3198"/>
      <c r="AP61" s="3198"/>
      <c r="AQ61" s="3198"/>
      <c r="AR61" s="3198"/>
      <c r="AS61" s="3198"/>
      <c r="AT61" s="3218"/>
      <c r="AU61" s="3219"/>
      <c r="AV61" s="488">
        <f t="shared" si="37"/>
        <v>0</v>
      </c>
      <c r="AW61" s="488">
        <f t="shared" si="38"/>
        <v>0</v>
      </c>
      <c r="AX61" s="488">
        <f t="shared" si="39"/>
        <v>0</v>
      </c>
      <c r="AY61" s="3235">
        <f t="shared" si="40"/>
        <v>0</v>
      </c>
      <c r="AZ61" s="3166">
        <f t="shared" si="41"/>
        <v>0</v>
      </c>
      <c r="BA61" s="3166">
        <f t="shared" si="42"/>
        <v>0</v>
      </c>
      <c r="BB61" s="3166">
        <f t="shared" si="43"/>
        <v>0</v>
      </c>
      <c r="BC61" s="3166">
        <f t="shared" si="44"/>
        <v>0</v>
      </c>
      <c r="BD61" s="3166">
        <f t="shared" si="45"/>
        <v>0</v>
      </c>
      <c r="BE61" s="3166">
        <f t="shared" si="46"/>
        <v>0</v>
      </c>
      <c r="BF61" s="3166">
        <f t="shared" si="47"/>
        <v>0</v>
      </c>
      <c r="BG61" s="3166">
        <f t="shared" si="48"/>
        <v>0</v>
      </c>
      <c r="BH61" s="3166">
        <f t="shared" si="49"/>
        <v>0</v>
      </c>
      <c r="BI61" s="3166">
        <f t="shared" si="50"/>
        <v>0</v>
      </c>
      <c r="BJ61" s="3166">
        <f t="shared" si="51"/>
        <v>0</v>
      </c>
      <c r="BK61" s="3166">
        <f t="shared" si="52"/>
        <v>0</v>
      </c>
      <c r="BL61" s="3166">
        <f t="shared" si="53"/>
        <v>0</v>
      </c>
      <c r="BM61" s="3166">
        <f t="shared" si="54"/>
        <v>0</v>
      </c>
      <c r="BN61" s="3166">
        <f t="shared" si="55"/>
        <v>0</v>
      </c>
      <c r="BO61" s="3166">
        <f t="shared" si="56"/>
        <v>0</v>
      </c>
      <c r="BP61" s="3166">
        <f t="shared" si="57"/>
        <v>0</v>
      </c>
      <c r="BQ61" s="3166">
        <f t="shared" si="58"/>
        <v>0</v>
      </c>
      <c r="BR61" s="3166">
        <f t="shared" si="59"/>
        <v>0</v>
      </c>
      <c r="BS61" s="3166">
        <f t="shared" si="60"/>
        <v>0</v>
      </c>
      <c r="BT61" s="3240">
        <f t="shared" si="61"/>
        <v>0</v>
      </c>
    </row>
    <row r="62" spans="1:72">
      <c r="A62" s="3163"/>
      <c r="B62" s="3164"/>
      <c r="C62" s="3164"/>
      <c r="D62" s="3176"/>
      <c r="E62" s="3166">
        <f t="shared" si="33"/>
        <v>0</v>
      </c>
      <c r="F62" s="3167"/>
      <c r="G62" s="3168">
        <f t="shared" si="34"/>
        <v>0</v>
      </c>
      <c r="H62" s="3169">
        <f t="shared" si="35"/>
        <v>0</v>
      </c>
      <c r="I62" s="3187"/>
      <c r="J62" s="3187"/>
      <c r="K62" s="3187"/>
      <c r="L62" s="3187"/>
      <c r="M62" s="3187"/>
      <c r="N62" s="3187"/>
      <c r="O62" s="3187"/>
      <c r="P62" s="3187"/>
      <c r="Q62" s="3187"/>
      <c r="R62" s="3187"/>
      <c r="S62" s="3187"/>
      <c r="T62" s="3187"/>
      <c r="U62" s="3187"/>
      <c r="V62" s="3187"/>
      <c r="W62" s="3187"/>
      <c r="X62" s="3187"/>
      <c r="Y62" s="3187"/>
      <c r="Z62" s="3187"/>
      <c r="AA62" s="3187"/>
      <c r="AB62" s="3187"/>
      <c r="AC62" s="3166">
        <f t="shared" si="36"/>
        <v>0</v>
      </c>
      <c r="AD62" s="3198"/>
      <c r="AE62" s="3198"/>
      <c r="AF62" s="3198"/>
      <c r="AG62" s="3198"/>
      <c r="AH62" s="3198"/>
      <c r="AI62" s="3198"/>
      <c r="AJ62" s="3198"/>
      <c r="AK62" s="3198"/>
      <c r="AL62" s="3198"/>
      <c r="AM62" s="3198"/>
      <c r="AN62" s="3198"/>
      <c r="AO62" s="3198"/>
      <c r="AP62" s="3198"/>
      <c r="AQ62" s="3198"/>
      <c r="AR62" s="3198"/>
      <c r="AS62" s="3198"/>
      <c r="AT62" s="3218"/>
      <c r="AU62" s="3219"/>
      <c r="AV62" s="488">
        <f t="shared" si="37"/>
        <v>0</v>
      </c>
      <c r="AW62" s="488">
        <f t="shared" si="38"/>
        <v>0</v>
      </c>
      <c r="AX62" s="488">
        <f t="shared" si="39"/>
        <v>0</v>
      </c>
      <c r="AY62" s="3235">
        <f t="shared" si="40"/>
        <v>0</v>
      </c>
      <c r="AZ62" s="3166">
        <f t="shared" si="41"/>
        <v>0</v>
      </c>
      <c r="BA62" s="3166">
        <f t="shared" si="42"/>
        <v>0</v>
      </c>
      <c r="BB62" s="3166">
        <f t="shared" si="43"/>
        <v>0</v>
      </c>
      <c r="BC62" s="3166">
        <f t="shared" si="44"/>
        <v>0</v>
      </c>
      <c r="BD62" s="3166">
        <f t="shared" si="45"/>
        <v>0</v>
      </c>
      <c r="BE62" s="3166">
        <f t="shared" si="46"/>
        <v>0</v>
      </c>
      <c r="BF62" s="3166">
        <f t="shared" si="47"/>
        <v>0</v>
      </c>
      <c r="BG62" s="3166">
        <f t="shared" si="48"/>
        <v>0</v>
      </c>
      <c r="BH62" s="3166">
        <f t="shared" si="49"/>
        <v>0</v>
      </c>
      <c r="BI62" s="3166">
        <f t="shared" si="50"/>
        <v>0</v>
      </c>
      <c r="BJ62" s="3166">
        <f t="shared" si="51"/>
        <v>0</v>
      </c>
      <c r="BK62" s="3166">
        <f t="shared" si="52"/>
        <v>0</v>
      </c>
      <c r="BL62" s="3166">
        <f t="shared" si="53"/>
        <v>0</v>
      </c>
      <c r="BM62" s="3166">
        <f t="shared" si="54"/>
        <v>0</v>
      </c>
      <c r="BN62" s="3166">
        <f t="shared" si="55"/>
        <v>0</v>
      </c>
      <c r="BO62" s="3166">
        <f t="shared" si="56"/>
        <v>0</v>
      </c>
      <c r="BP62" s="3166">
        <f t="shared" si="57"/>
        <v>0</v>
      </c>
      <c r="BQ62" s="3166">
        <f t="shared" si="58"/>
        <v>0</v>
      </c>
      <c r="BR62" s="3166">
        <f t="shared" si="59"/>
        <v>0</v>
      </c>
      <c r="BS62" s="3166">
        <f t="shared" si="60"/>
        <v>0</v>
      </c>
      <c r="BT62" s="3240">
        <f t="shared" si="61"/>
        <v>0</v>
      </c>
    </row>
    <row r="63" spans="1:72">
      <c r="A63" s="3163"/>
      <c r="B63" s="3164"/>
      <c r="C63" s="3164"/>
      <c r="D63" s="3176"/>
      <c r="E63" s="3166">
        <f t="shared" si="33"/>
        <v>0</v>
      </c>
      <c r="F63" s="3167"/>
      <c r="G63" s="3168">
        <f t="shared" si="34"/>
        <v>0</v>
      </c>
      <c r="H63" s="3169">
        <f t="shared" si="35"/>
        <v>0</v>
      </c>
      <c r="I63" s="3187"/>
      <c r="J63" s="3187"/>
      <c r="K63" s="3187"/>
      <c r="L63" s="3187"/>
      <c r="M63" s="3187"/>
      <c r="N63" s="3187"/>
      <c r="O63" s="3187"/>
      <c r="P63" s="3187"/>
      <c r="Q63" s="3187"/>
      <c r="R63" s="3187"/>
      <c r="S63" s="3187"/>
      <c r="T63" s="3187"/>
      <c r="U63" s="3187"/>
      <c r="V63" s="3187"/>
      <c r="W63" s="3187"/>
      <c r="X63" s="3187"/>
      <c r="Y63" s="3187"/>
      <c r="Z63" s="3187"/>
      <c r="AA63" s="3187"/>
      <c r="AB63" s="3187"/>
      <c r="AC63" s="3166">
        <f t="shared" si="36"/>
        <v>0</v>
      </c>
      <c r="AD63" s="3198"/>
      <c r="AE63" s="3198"/>
      <c r="AF63" s="3198"/>
      <c r="AG63" s="3198"/>
      <c r="AH63" s="3198"/>
      <c r="AI63" s="3198"/>
      <c r="AJ63" s="3198"/>
      <c r="AK63" s="3198"/>
      <c r="AL63" s="3198"/>
      <c r="AM63" s="3198"/>
      <c r="AN63" s="3198"/>
      <c r="AO63" s="3198"/>
      <c r="AP63" s="3198"/>
      <c r="AQ63" s="3198"/>
      <c r="AR63" s="3198"/>
      <c r="AS63" s="3198"/>
      <c r="AT63" s="3218"/>
      <c r="AU63" s="3219"/>
      <c r="AV63" s="488">
        <f t="shared" si="37"/>
        <v>0</v>
      </c>
      <c r="AW63" s="488">
        <f t="shared" si="38"/>
        <v>0</v>
      </c>
      <c r="AX63" s="488">
        <f t="shared" si="39"/>
        <v>0</v>
      </c>
      <c r="AY63" s="3235">
        <f t="shared" si="40"/>
        <v>0</v>
      </c>
      <c r="AZ63" s="3166">
        <f t="shared" si="41"/>
        <v>0</v>
      </c>
      <c r="BA63" s="3166">
        <f t="shared" si="42"/>
        <v>0</v>
      </c>
      <c r="BB63" s="3166">
        <f t="shared" si="43"/>
        <v>0</v>
      </c>
      <c r="BC63" s="3166">
        <f t="shared" si="44"/>
        <v>0</v>
      </c>
      <c r="BD63" s="3166">
        <f t="shared" si="45"/>
        <v>0</v>
      </c>
      <c r="BE63" s="3166">
        <f t="shared" si="46"/>
        <v>0</v>
      </c>
      <c r="BF63" s="3166">
        <f t="shared" si="47"/>
        <v>0</v>
      </c>
      <c r="BG63" s="3166">
        <f t="shared" si="48"/>
        <v>0</v>
      </c>
      <c r="BH63" s="3166">
        <f t="shared" si="49"/>
        <v>0</v>
      </c>
      <c r="BI63" s="3166">
        <f t="shared" si="50"/>
        <v>0</v>
      </c>
      <c r="BJ63" s="3166">
        <f t="shared" si="51"/>
        <v>0</v>
      </c>
      <c r="BK63" s="3166">
        <f t="shared" si="52"/>
        <v>0</v>
      </c>
      <c r="BL63" s="3166">
        <f t="shared" si="53"/>
        <v>0</v>
      </c>
      <c r="BM63" s="3166">
        <f t="shared" si="54"/>
        <v>0</v>
      </c>
      <c r="BN63" s="3166">
        <f t="shared" si="55"/>
        <v>0</v>
      </c>
      <c r="BO63" s="3166">
        <f t="shared" si="56"/>
        <v>0</v>
      </c>
      <c r="BP63" s="3166">
        <f t="shared" si="57"/>
        <v>0</v>
      </c>
      <c r="BQ63" s="3166">
        <f t="shared" si="58"/>
        <v>0</v>
      </c>
      <c r="BR63" s="3166">
        <f t="shared" si="59"/>
        <v>0</v>
      </c>
      <c r="BS63" s="3166">
        <f t="shared" si="60"/>
        <v>0</v>
      </c>
      <c r="BT63" s="3240">
        <f t="shared" si="61"/>
        <v>0</v>
      </c>
    </row>
    <row r="64" spans="1:72">
      <c r="A64" s="3163"/>
      <c r="B64" s="3164"/>
      <c r="C64" s="3164"/>
      <c r="D64" s="3176"/>
      <c r="E64" s="3166">
        <f t="shared" si="33"/>
        <v>0</v>
      </c>
      <c r="F64" s="3167"/>
      <c r="G64" s="3168">
        <f t="shared" si="34"/>
        <v>0</v>
      </c>
      <c r="H64" s="3169">
        <f t="shared" si="35"/>
        <v>0</v>
      </c>
      <c r="I64" s="3187"/>
      <c r="J64" s="3187"/>
      <c r="K64" s="3187"/>
      <c r="L64" s="3187"/>
      <c r="M64" s="3187"/>
      <c r="N64" s="3187"/>
      <c r="O64" s="3187"/>
      <c r="P64" s="3187"/>
      <c r="Q64" s="3187"/>
      <c r="R64" s="3187"/>
      <c r="S64" s="3187"/>
      <c r="T64" s="3187"/>
      <c r="U64" s="3187"/>
      <c r="V64" s="3187"/>
      <c r="W64" s="3187"/>
      <c r="X64" s="3187"/>
      <c r="Y64" s="3187"/>
      <c r="Z64" s="3187"/>
      <c r="AA64" s="3187"/>
      <c r="AB64" s="3187"/>
      <c r="AC64" s="3166">
        <f t="shared" si="36"/>
        <v>0</v>
      </c>
      <c r="AD64" s="3198"/>
      <c r="AE64" s="3198"/>
      <c r="AF64" s="3198"/>
      <c r="AG64" s="3198"/>
      <c r="AH64" s="3198"/>
      <c r="AI64" s="3198"/>
      <c r="AJ64" s="3198"/>
      <c r="AK64" s="3198"/>
      <c r="AL64" s="3198"/>
      <c r="AM64" s="3198"/>
      <c r="AN64" s="3198"/>
      <c r="AO64" s="3198"/>
      <c r="AP64" s="3198"/>
      <c r="AQ64" s="3198"/>
      <c r="AR64" s="3198"/>
      <c r="AS64" s="3198"/>
      <c r="AT64" s="3218"/>
      <c r="AU64" s="3219"/>
      <c r="AV64" s="488">
        <f t="shared" si="37"/>
        <v>0</v>
      </c>
      <c r="AW64" s="488">
        <f t="shared" si="38"/>
        <v>0</v>
      </c>
      <c r="AX64" s="488">
        <f t="shared" si="39"/>
        <v>0</v>
      </c>
      <c r="AY64" s="3235">
        <f t="shared" si="40"/>
        <v>0</v>
      </c>
      <c r="AZ64" s="3166">
        <f t="shared" si="41"/>
        <v>0</v>
      </c>
      <c r="BA64" s="3166">
        <f t="shared" si="42"/>
        <v>0</v>
      </c>
      <c r="BB64" s="3166">
        <f t="shared" si="43"/>
        <v>0</v>
      </c>
      <c r="BC64" s="3166">
        <f t="shared" si="44"/>
        <v>0</v>
      </c>
      <c r="BD64" s="3166">
        <f t="shared" si="45"/>
        <v>0</v>
      </c>
      <c r="BE64" s="3166">
        <f t="shared" si="46"/>
        <v>0</v>
      </c>
      <c r="BF64" s="3166">
        <f t="shared" si="47"/>
        <v>0</v>
      </c>
      <c r="BG64" s="3166">
        <f t="shared" si="48"/>
        <v>0</v>
      </c>
      <c r="BH64" s="3166">
        <f t="shared" si="49"/>
        <v>0</v>
      </c>
      <c r="BI64" s="3166">
        <f t="shared" si="50"/>
        <v>0</v>
      </c>
      <c r="BJ64" s="3166">
        <f t="shared" si="51"/>
        <v>0</v>
      </c>
      <c r="BK64" s="3166">
        <f t="shared" si="52"/>
        <v>0</v>
      </c>
      <c r="BL64" s="3166">
        <f t="shared" si="53"/>
        <v>0</v>
      </c>
      <c r="BM64" s="3166">
        <f t="shared" si="54"/>
        <v>0</v>
      </c>
      <c r="BN64" s="3166">
        <f t="shared" si="55"/>
        <v>0</v>
      </c>
      <c r="BO64" s="3166">
        <f t="shared" si="56"/>
        <v>0</v>
      </c>
      <c r="BP64" s="3166">
        <f t="shared" si="57"/>
        <v>0</v>
      </c>
      <c r="BQ64" s="3166">
        <f t="shared" si="58"/>
        <v>0</v>
      </c>
      <c r="BR64" s="3166">
        <f t="shared" si="59"/>
        <v>0</v>
      </c>
      <c r="BS64" s="3166">
        <f t="shared" si="60"/>
        <v>0</v>
      </c>
      <c r="BT64" s="3240">
        <f t="shared" si="61"/>
        <v>0</v>
      </c>
    </row>
    <row r="65" spans="1:72">
      <c r="A65" s="3163"/>
      <c r="B65" s="3164"/>
      <c r="C65" s="3164"/>
      <c r="D65" s="3176"/>
      <c r="E65" s="3166">
        <f t="shared" si="33"/>
        <v>0</v>
      </c>
      <c r="F65" s="3167"/>
      <c r="G65" s="3168">
        <f t="shared" si="34"/>
        <v>0</v>
      </c>
      <c r="H65" s="3169">
        <f t="shared" si="35"/>
        <v>0</v>
      </c>
      <c r="I65" s="3187"/>
      <c r="J65" s="3187"/>
      <c r="K65" s="3187"/>
      <c r="L65" s="3187"/>
      <c r="M65" s="3187"/>
      <c r="N65" s="3187"/>
      <c r="O65" s="3187"/>
      <c r="P65" s="3187"/>
      <c r="Q65" s="3187"/>
      <c r="R65" s="3187"/>
      <c r="S65" s="3187"/>
      <c r="T65" s="3187"/>
      <c r="U65" s="3187"/>
      <c r="V65" s="3187"/>
      <c r="W65" s="3187"/>
      <c r="X65" s="3187"/>
      <c r="Y65" s="3187"/>
      <c r="Z65" s="3187"/>
      <c r="AA65" s="3187"/>
      <c r="AB65" s="3187"/>
      <c r="AC65" s="3166">
        <f t="shared" si="36"/>
        <v>0</v>
      </c>
      <c r="AD65" s="3198"/>
      <c r="AE65" s="3198"/>
      <c r="AF65" s="3198"/>
      <c r="AG65" s="3198"/>
      <c r="AH65" s="3198"/>
      <c r="AI65" s="3198"/>
      <c r="AJ65" s="3198"/>
      <c r="AK65" s="3198"/>
      <c r="AL65" s="3198"/>
      <c r="AM65" s="3198"/>
      <c r="AN65" s="3198"/>
      <c r="AO65" s="3198"/>
      <c r="AP65" s="3198"/>
      <c r="AQ65" s="3198"/>
      <c r="AR65" s="3198"/>
      <c r="AS65" s="3198"/>
      <c r="AT65" s="3218"/>
      <c r="AU65" s="3219"/>
      <c r="AV65" s="488">
        <f t="shared" si="37"/>
        <v>0</v>
      </c>
      <c r="AW65" s="488">
        <f t="shared" si="38"/>
        <v>0</v>
      </c>
      <c r="AX65" s="488">
        <f t="shared" si="39"/>
        <v>0</v>
      </c>
      <c r="AY65" s="3235">
        <f t="shared" si="40"/>
        <v>0</v>
      </c>
      <c r="AZ65" s="3166">
        <f t="shared" si="41"/>
        <v>0</v>
      </c>
      <c r="BA65" s="3166">
        <f t="shared" si="42"/>
        <v>0</v>
      </c>
      <c r="BB65" s="3166">
        <f t="shared" si="43"/>
        <v>0</v>
      </c>
      <c r="BC65" s="3166">
        <f t="shared" si="44"/>
        <v>0</v>
      </c>
      <c r="BD65" s="3166">
        <f t="shared" si="45"/>
        <v>0</v>
      </c>
      <c r="BE65" s="3166">
        <f t="shared" si="46"/>
        <v>0</v>
      </c>
      <c r="BF65" s="3166">
        <f t="shared" si="47"/>
        <v>0</v>
      </c>
      <c r="BG65" s="3166">
        <f t="shared" si="48"/>
        <v>0</v>
      </c>
      <c r="BH65" s="3166">
        <f t="shared" si="49"/>
        <v>0</v>
      </c>
      <c r="BI65" s="3166">
        <f t="shared" si="50"/>
        <v>0</v>
      </c>
      <c r="BJ65" s="3166">
        <f t="shared" si="51"/>
        <v>0</v>
      </c>
      <c r="BK65" s="3166">
        <f t="shared" si="52"/>
        <v>0</v>
      </c>
      <c r="BL65" s="3166">
        <f t="shared" si="53"/>
        <v>0</v>
      </c>
      <c r="BM65" s="3166">
        <f t="shared" si="54"/>
        <v>0</v>
      </c>
      <c r="BN65" s="3166">
        <f t="shared" si="55"/>
        <v>0</v>
      </c>
      <c r="BO65" s="3166">
        <f t="shared" si="56"/>
        <v>0</v>
      </c>
      <c r="BP65" s="3166">
        <f t="shared" si="57"/>
        <v>0</v>
      </c>
      <c r="BQ65" s="3166">
        <f t="shared" si="58"/>
        <v>0</v>
      </c>
      <c r="BR65" s="3166">
        <f t="shared" si="59"/>
        <v>0</v>
      </c>
      <c r="BS65" s="3166">
        <f t="shared" si="60"/>
        <v>0</v>
      </c>
      <c r="BT65" s="3240">
        <f t="shared" si="61"/>
        <v>0</v>
      </c>
    </row>
    <row r="66" spans="1:72">
      <c r="A66" s="3163"/>
      <c r="B66" s="3164"/>
      <c r="C66" s="3164"/>
      <c r="D66" s="3176"/>
      <c r="E66" s="3166">
        <f t="shared" si="33"/>
        <v>0</v>
      </c>
      <c r="F66" s="3167"/>
      <c r="G66" s="3168">
        <f t="shared" si="34"/>
        <v>0</v>
      </c>
      <c r="H66" s="3169">
        <f t="shared" si="35"/>
        <v>0</v>
      </c>
      <c r="I66" s="3187"/>
      <c r="J66" s="3187"/>
      <c r="K66" s="3187"/>
      <c r="L66" s="3187"/>
      <c r="M66" s="3187"/>
      <c r="N66" s="3187"/>
      <c r="O66" s="3187"/>
      <c r="P66" s="3187"/>
      <c r="Q66" s="3187"/>
      <c r="R66" s="3187"/>
      <c r="S66" s="3187"/>
      <c r="T66" s="3187"/>
      <c r="U66" s="3187"/>
      <c r="V66" s="3187"/>
      <c r="W66" s="3187"/>
      <c r="X66" s="3187"/>
      <c r="Y66" s="3187"/>
      <c r="Z66" s="3187"/>
      <c r="AA66" s="3187"/>
      <c r="AB66" s="3187"/>
      <c r="AC66" s="3166">
        <f t="shared" si="36"/>
        <v>0</v>
      </c>
      <c r="AD66" s="3198"/>
      <c r="AE66" s="3198"/>
      <c r="AF66" s="3198"/>
      <c r="AG66" s="3198"/>
      <c r="AH66" s="3198"/>
      <c r="AI66" s="3198"/>
      <c r="AJ66" s="3198"/>
      <c r="AK66" s="3198"/>
      <c r="AL66" s="3198"/>
      <c r="AM66" s="3198"/>
      <c r="AN66" s="3198"/>
      <c r="AO66" s="3198"/>
      <c r="AP66" s="3198"/>
      <c r="AQ66" s="3198"/>
      <c r="AR66" s="3198"/>
      <c r="AS66" s="3198"/>
      <c r="AT66" s="3218"/>
      <c r="AU66" s="3219"/>
      <c r="AV66" s="488">
        <f t="shared" si="37"/>
        <v>0</v>
      </c>
      <c r="AW66" s="488">
        <f t="shared" si="38"/>
        <v>0</v>
      </c>
      <c r="AX66" s="488">
        <f t="shared" si="39"/>
        <v>0</v>
      </c>
      <c r="AY66" s="3235">
        <f t="shared" si="40"/>
        <v>0</v>
      </c>
      <c r="AZ66" s="3166">
        <f t="shared" si="41"/>
        <v>0</v>
      </c>
      <c r="BA66" s="3166">
        <f t="shared" si="42"/>
        <v>0</v>
      </c>
      <c r="BB66" s="3166">
        <f t="shared" si="43"/>
        <v>0</v>
      </c>
      <c r="BC66" s="3166">
        <f t="shared" si="44"/>
        <v>0</v>
      </c>
      <c r="BD66" s="3166">
        <f t="shared" si="45"/>
        <v>0</v>
      </c>
      <c r="BE66" s="3166">
        <f t="shared" si="46"/>
        <v>0</v>
      </c>
      <c r="BF66" s="3166">
        <f t="shared" si="47"/>
        <v>0</v>
      </c>
      <c r="BG66" s="3166">
        <f t="shared" si="48"/>
        <v>0</v>
      </c>
      <c r="BH66" s="3166">
        <f t="shared" si="49"/>
        <v>0</v>
      </c>
      <c r="BI66" s="3166">
        <f t="shared" si="50"/>
        <v>0</v>
      </c>
      <c r="BJ66" s="3166">
        <f t="shared" si="51"/>
        <v>0</v>
      </c>
      <c r="BK66" s="3166">
        <f t="shared" si="52"/>
        <v>0</v>
      </c>
      <c r="BL66" s="3166">
        <f t="shared" si="53"/>
        <v>0</v>
      </c>
      <c r="BM66" s="3166">
        <f t="shared" si="54"/>
        <v>0</v>
      </c>
      <c r="BN66" s="3166">
        <f t="shared" si="55"/>
        <v>0</v>
      </c>
      <c r="BO66" s="3166">
        <f t="shared" si="56"/>
        <v>0</v>
      </c>
      <c r="BP66" s="3166">
        <f t="shared" si="57"/>
        <v>0</v>
      </c>
      <c r="BQ66" s="3166">
        <f t="shared" si="58"/>
        <v>0</v>
      </c>
      <c r="BR66" s="3166">
        <f t="shared" si="59"/>
        <v>0</v>
      </c>
      <c r="BS66" s="3166">
        <f t="shared" si="60"/>
        <v>0</v>
      </c>
      <c r="BT66" s="3240">
        <f t="shared" si="61"/>
        <v>0</v>
      </c>
    </row>
    <row r="67" spans="1:72">
      <c r="A67" s="3163"/>
      <c r="B67" s="3164"/>
      <c r="C67" s="3164"/>
      <c r="D67" s="3176"/>
      <c r="E67" s="3166">
        <f t="shared" si="33"/>
        <v>0</v>
      </c>
      <c r="F67" s="3167"/>
      <c r="G67" s="3168">
        <f t="shared" si="34"/>
        <v>0</v>
      </c>
      <c r="H67" s="3169">
        <f t="shared" si="35"/>
        <v>0</v>
      </c>
      <c r="I67" s="3187"/>
      <c r="J67" s="3187"/>
      <c r="K67" s="3187"/>
      <c r="L67" s="3187"/>
      <c r="M67" s="3187"/>
      <c r="N67" s="3187"/>
      <c r="O67" s="3187"/>
      <c r="P67" s="3187"/>
      <c r="Q67" s="3187"/>
      <c r="R67" s="3187"/>
      <c r="S67" s="3187"/>
      <c r="T67" s="3187"/>
      <c r="U67" s="3187"/>
      <c r="V67" s="3187"/>
      <c r="W67" s="3187"/>
      <c r="X67" s="3187"/>
      <c r="Y67" s="3187"/>
      <c r="Z67" s="3187"/>
      <c r="AA67" s="3187"/>
      <c r="AB67" s="3187"/>
      <c r="AC67" s="3166">
        <f t="shared" si="36"/>
        <v>0</v>
      </c>
      <c r="AD67" s="3198"/>
      <c r="AE67" s="3198"/>
      <c r="AF67" s="3198"/>
      <c r="AG67" s="3198"/>
      <c r="AH67" s="3198"/>
      <c r="AI67" s="3198"/>
      <c r="AJ67" s="3198"/>
      <c r="AK67" s="3198"/>
      <c r="AL67" s="3198"/>
      <c r="AM67" s="3198"/>
      <c r="AN67" s="3198"/>
      <c r="AO67" s="3198"/>
      <c r="AP67" s="3198"/>
      <c r="AQ67" s="3198"/>
      <c r="AR67" s="3198"/>
      <c r="AS67" s="3198"/>
      <c r="AT67" s="3218"/>
      <c r="AU67" s="3219"/>
      <c r="AV67" s="488">
        <f t="shared" si="37"/>
        <v>0</v>
      </c>
      <c r="AW67" s="488">
        <f t="shared" si="38"/>
        <v>0</v>
      </c>
      <c r="AX67" s="488">
        <f t="shared" si="39"/>
        <v>0</v>
      </c>
      <c r="AY67" s="3235">
        <f t="shared" si="40"/>
        <v>0</v>
      </c>
      <c r="AZ67" s="3166">
        <f t="shared" si="41"/>
        <v>0</v>
      </c>
      <c r="BA67" s="3166">
        <f t="shared" si="42"/>
        <v>0</v>
      </c>
      <c r="BB67" s="3166">
        <f t="shared" si="43"/>
        <v>0</v>
      </c>
      <c r="BC67" s="3166">
        <f t="shared" si="44"/>
        <v>0</v>
      </c>
      <c r="BD67" s="3166">
        <f t="shared" si="45"/>
        <v>0</v>
      </c>
      <c r="BE67" s="3166">
        <f t="shared" si="46"/>
        <v>0</v>
      </c>
      <c r="BF67" s="3166">
        <f t="shared" si="47"/>
        <v>0</v>
      </c>
      <c r="BG67" s="3166">
        <f t="shared" si="48"/>
        <v>0</v>
      </c>
      <c r="BH67" s="3166">
        <f t="shared" si="49"/>
        <v>0</v>
      </c>
      <c r="BI67" s="3166">
        <f t="shared" si="50"/>
        <v>0</v>
      </c>
      <c r="BJ67" s="3166">
        <f t="shared" si="51"/>
        <v>0</v>
      </c>
      <c r="BK67" s="3166">
        <f t="shared" si="52"/>
        <v>0</v>
      </c>
      <c r="BL67" s="3166">
        <f t="shared" si="53"/>
        <v>0</v>
      </c>
      <c r="BM67" s="3166">
        <f t="shared" si="54"/>
        <v>0</v>
      </c>
      <c r="BN67" s="3166">
        <f t="shared" si="55"/>
        <v>0</v>
      </c>
      <c r="BO67" s="3166">
        <f t="shared" si="56"/>
        <v>0</v>
      </c>
      <c r="BP67" s="3166">
        <f t="shared" si="57"/>
        <v>0</v>
      </c>
      <c r="BQ67" s="3166">
        <f t="shared" si="58"/>
        <v>0</v>
      </c>
      <c r="BR67" s="3166">
        <f t="shared" si="59"/>
        <v>0</v>
      </c>
      <c r="BS67" s="3166">
        <f t="shared" si="60"/>
        <v>0</v>
      </c>
      <c r="BT67" s="3240">
        <f t="shared" si="61"/>
        <v>0</v>
      </c>
    </row>
    <row r="68" spans="1:72">
      <c r="A68" s="3163"/>
      <c r="B68" s="3164"/>
      <c r="C68" s="3164"/>
      <c r="D68" s="3176"/>
      <c r="E68" s="3166">
        <f t="shared" si="33"/>
        <v>0</v>
      </c>
      <c r="F68" s="3167"/>
      <c r="G68" s="3168">
        <f t="shared" si="34"/>
        <v>0</v>
      </c>
      <c r="H68" s="3169">
        <f t="shared" si="35"/>
        <v>0</v>
      </c>
      <c r="I68" s="3187"/>
      <c r="J68" s="3187"/>
      <c r="K68" s="3187"/>
      <c r="L68" s="3187"/>
      <c r="M68" s="3187"/>
      <c r="N68" s="3187"/>
      <c r="O68" s="3187"/>
      <c r="P68" s="3187"/>
      <c r="Q68" s="3187"/>
      <c r="R68" s="3187"/>
      <c r="S68" s="3187"/>
      <c r="T68" s="3187"/>
      <c r="U68" s="3187"/>
      <c r="V68" s="3187"/>
      <c r="W68" s="3187"/>
      <c r="X68" s="3187"/>
      <c r="Y68" s="3187"/>
      <c r="Z68" s="3187"/>
      <c r="AA68" s="3187"/>
      <c r="AB68" s="3187"/>
      <c r="AC68" s="3166">
        <f t="shared" si="36"/>
        <v>0</v>
      </c>
      <c r="AD68" s="3198"/>
      <c r="AE68" s="3198"/>
      <c r="AF68" s="3198"/>
      <c r="AG68" s="3198"/>
      <c r="AH68" s="3198"/>
      <c r="AI68" s="3198"/>
      <c r="AJ68" s="3198"/>
      <c r="AK68" s="3198"/>
      <c r="AL68" s="3198"/>
      <c r="AM68" s="3198"/>
      <c r="AN68" s="3198"/>
      <c r="AO68" s="3198"/>
      <c r="AP68" s="3198"/>
      <c r="AQ68" s="3198"/>
      <c r="AR68" s="3198"/>
      <c r="AS68" s="3198"/>
      <c r="AT68" s="3218"/>
      <c r="AU68" s="3219"/>
      <c r="AV68" s="488">
        <f t="shared" si="37"/>
        <v>0</v>
      </c>
      <c r="AW68" s="488">
        <f t="shared" si="38"/>
        <v>0</v>
      </c>
      <c r="AX68" s="488">
        <f t="shared" si="39"/>
        <v>0</v>
      </c>
      <c r="AY68" s="3235">
        <f t="shared" si="40"/>
        <v>0</v>
      </c>
      <c r="AZ68" s="3166">
        <f t="shared" si="41"/>
        <v>0</v>
      </c>
      <c r="BA68" s="3166">
        <f t="shared" si="42"/>
        <v>0</v>
      </c>
      <c r="BB68" s="3166">
        <f t="shared" si="43"/>
        <v>0</v>
      </c>
      <c r="BC68" s="3166">
        <f t="shared" si="44"/>
        <v>0</v>
      </c>
      <c r="BD68" s="3166">
        <f t="shared" si="45"/>
        <v>0</v>
      </c>
      <c r="BE68" s="3166">
        <f t="shared" si="46"/>
        <v>0</v>
      </c>
      <c r="BF68" s="3166">
        <f t="shared" si="47"/>
        <v>0</v>
      </c>
      <c r="BG68" s="3166">
        <f t="shared" si="48"/>
        <v>0</v>
      </c>
      <c r="BH68" s="3166">
        <f t="shared" si="49"/>
        <v>0</v>
      </c>
      <c r="BI68" s="3166">
        <f t="shared" si="50"/>
        <v>0</v>
      </c>
      <c r="BJ68" s="3166">
        <f t="shared" si="51"/>
        <v>0</v>
      </c>
      <c r="BK68" s="3166">
        <f t="shared" si="52"/>
        <v>0</v>
      </c>
      <c r="BL68" s="3166">
        <f t="shared" si="53"/>
        <v>0</v>
      </c>
      <c r="BM68" s="3166">
        <f t="shared" si="54"/>
        <v>0</v>
      </c>
      <c r="BN68" s="3166">
        <f t="shared" si="55"/>
        <v>0</v>
      </c>
      <c r="BO68" s="3166">
        <f t="shared" si="56"/>
        <v>0</v>
      </c>
      <c r="BP68" s="3166">
        <f t="shared" si="57"/>
        <v>0</v>
      </c>
      <c r="BQ68" s="3166">
        <f t="shared" si="58"/>
        <v>0</v>
      </c>
      <c r="BR68" s="3166">
        <f t="shared" si="59"/>
        <v>0</v>
      </c>
      <c r="BS68" s="3166">
        <f t="shared" si="60"/>
        <v>0</v>
      </c>
      <c r="BT68" s="3240">
        <f t="shared" si="61"/>
        <v>0</v>
      </c>
    </row>
    <row r="69" spans="1:72">
      <c r="A69" s="3163"/>
      <c r="B69" s="3164"/>
      <c r="C69" s="3164"/>
      <c r="D69" s="3176"/>
      <c r="E69" s="3166">
        <f t="shared" si="33"/>
        <v>0</v>
      </c>
      <c r="F69" s="3167"/>
      <c r="G69" s="3168">
        <f t="shared" si="34"/>
        <v>0</v>
      </c>
      <c r="H69" s="3169">
        <f t="shared" si="35"/>
        <v>0</v>
      </c>
      <c r="I69" s="3187"/>
      <c r="J69" s="3187"/>
      <c r="K69" s="3187"/>
      <c r="L69" s="3187"/>
      <c r="M69" s="3187"/>
      <c r="N69" s="3187"/>
      <c r="O69" s="3187"/>
      <c r="P69" s="3187"/>
      <c r="Q69" s="3187"/>
      <c r="R69" s="3187"/>
      <c r="S69" s="3187"/>
      <c r="T69" s="3187"/>
      <c r="U69" s="3187"/>
      <c r="V69" s="3187"/>
      <c r="W69" s="3187"/>
      <c r="X69" s="3187"/>
      <c r="Y69" s="3187"/>
      <c r="Z69" s="3187"/>
      <c r="AA69" s="3187"/>
      <c r="AB69" s="3187"/>
      <c r="AC69" s="3166">
        <f t="shared" si="36"/>
        <v>0</v>
      </c>
      <c r="AD69" s="3198"/>
      <c r="AE69" s="3198"/>
      <c r="AF69" s="3198"/>
      <c r="AG69" s="3198"/>
      <c r="AH69" s="3198"/>
      <c r="AI69" s="3198"/>
      <c r="AJ69" s="3198"/>
      <c r="AK69" s="3198"/>
      <c r="AL69" s="3198"/>
      <c r="AM69" s="3198"/>
      <c r="AN69" s="3198"/>
      <c r="AO69" s="3198"/>
      <c r="AP69" s="3198"/>
      <c r="AQ69" s="3198"/>
      <c r="AR69" s="3198"/>
      <c r="AS69" s="3198"/>
      <c r="AT69" s="3218"/>
      <c r="AU69" s="3219"/>
      <c r="AV69" s="488">
        <f t="shared" si="37"/>
        <v>0</v>
      </c>
      <c r="AW69" s="488">
        <f t="shared" si="38"/>
        <v>0</v>
      </c>
      <c r="AX69" s="488">
        <f t="shared" si="39"/>
        <v>0</v>
      </c>
      <c r="AY69" s="3235">
        <f t="shared" si="40"/>
        <v>0</v>
      </c>
      <c r="AZ69" s="3166">
        <f t="shared" si="41"/>
        <v>0</v>
      </c>
      <c r="BA69" s="3166">
        <f t="shared" si="42"/>
        <v>0</v>
      </c>
      <c r="BB69" s="3166">
        <f t="shared" si="43"/>
        <v>0</v>
      </c>
      <c r="BC69" s="3166">
        <f t="shared" si="44"/>
        <v>0</v>
      </c>
      <c r="BD69" s="3166">
        <f t="shared" si="45"/>
        <v>0</v>
      </c>
      <c r="BE69" s="3166">
        <f t="shared" si="46"/>
        <v>0</v>
      </c>
      <c r="BF69" s="3166">
        <f t="shared" si="47"/>
        <v>0</v>
      </c>
      <c r="BG69" s="3166">
        <f t="shared" si="48"/>
        <v>0</v>
      </c>
      <c r="BH69" s="3166">
        <f t="shared" si="49"/>
        <v>0</v>
      </c>
      <c r="BI69" s="3166">
        <f t="shared" si="50"/>
        <v>0</v>
      </c>
      <c r="BJ69" s="3166">
        <f t="shared" si="51"/>
        <v>0</v>
      </c>
      <c r="BK69" s="3166">
        <f t="shared" si="52"/>
        <v>0</v>
      </c>
      <c r="BL69" s="3166">
        <f t="shared" si="53"/>
        <v>0</v>
      </c>
      <c r="BM69" s="3166">
        <f t="shared" si="54"/>
        <v>0</v>
      </c>
      <c r="BN69" s="3166">
        <f t="shared" si="55"/>
        <v>0</v>
      </c>
      <c r="BO69" s="3166">
        <f t="shared" si="56"/>
        <v>0</v>
      </c>
      <c r="BP69" s="3166">
        <f t="shared" si="57"/>
        <v>0</v>
      </c>
      <c r="BQ69" s="3166">
        <f t="shared" si="58"/>
        <v>0</v>
      </c>
      <c r="BR69" s="3166">
        <f t="shared" si="59"/>
        <v>0</v>
      </c>
      <c r="BS69" s="3166">
        <f t="shared" si="60"/>
        <v>0</v>
      </c>
      <c r="BT69" s="3240">
        <f t="shared" si="61"/>
        <v>0</v>
      </c>
    </row>
    <row r="70" spans="1:72">
      <c r="A70" s="3163"/>
      <c r="B70" s="3164"/>
      <c r="C70" s="3164"/>
      <c r="D70" s="3176"/>
      <c r="E70" s="3166">
        <f t="shared" si="33"/>
        <v>0</v>
      </c>
      <c r="F70" s="3167"/>
      <c r="G70" s="3168">
        <f t="shared" si="34"/>
        <v>0</v>
      </c>
      <c r="H70" s="3169">
        <f t="shared" si="35"/>
        <v>0</v>
      </c>
      <c r="I70" s="3187"/>
      <c r="J70" s="3187"/>
      <c r="K70" s="3187"/>
      <c r="L70" s="3187"/>
      <c r="M70" s="3187"/>
      <c r="N70" s="3187"/>
      <c r="O70" s="3187"/>
      <c r="P70" s="3187"/>
      <c r="Q70" s="3187"/>
      <c r="R70" s="3187"/>
      <c r="S70" s="3187"/>
      <c r="T70" s="3187"/>
      <c r="U70" s="3187"/>
      <c r="V70" s="3187"/>
      <c r="W70" s="3187"/>
      <c r="X70" s="3187"/>
      <c r="Y70" s="3187"/>
      <c r="Z70" s="3187"/>
      <c r="AA70" s="3187"/>
      <c r="AB70" s="3187"/>
      <c r="AC70" s="3166">
        <f t="shared" si="36"/>
        <v>0</v>
      </c>
      <c r="AD70" s="3198"/>
      <c r="AE70" s="3198"/>
      <c r="AF70" s="3198"/>
      <c r="AG70" s="3198"/>
      <c r="AH70" s="3198"/>
      <c r="AI70" s="3198"/>
      <c r="AJ70" s="3198"/>
      <c r="AK70" s="3198"/>
      <c r="AL70" s="3198"/>
      <c r="AM70" s="3198"/>
      <c r="AN70" s="3198"/>
      <c r="AO70" s="3198"/>
      <c r="AP70" s="3198"/>
      <c r="AQ70" s="3198"/>
      <c r="AR70" s="3198"/>
      <c r="AS70" s="3198"/>
      <c r="AT70" s="3218"/>
      <c r="AU70" s="3219"/>
      <c r="AV70" s="488">
        <f t="shared" si="37"/>
        <v>0</v>
      </c>
      <c r="AW70" s="488">
        <f t="shared" si="38"/>
        <v>0</v>
      </c>
      <c r="AX70" s="488">
        <f t="shared" si="39"/>
        <v>0</v>
      </c>
      <c r="AY70" s="3235">
        <f t="shared" si="40"/>
        <v>0</v>
      </c>
      <c r="AZ70" s="3166">
        <f t="shared" si="41"/>
        <v>0</v>
      </c>
      <c r="BA70" s="3166">
        <f t="shared" si="42"/>
        <v>0</v>
      </c>
      <c r="BB70" s="3166">
        <f t="shared" si="43"/>
        <v>0</v>
      </c>
      <c r="BC70" s="3166">
        <f t="shared" si="44"/>
        <v>0</v>
      </c>
      <c r="BD70" s="3166">
        <f t="shared" si="45"/>
        <v>0</v>
      </c>
      <c r="BE70" s="3166">
        <f t="shared" si="46"/>
        <v>0</v>
      </c>
      <c r="BF70" s="3166">
        <f t="shared" si="47"/>
        <v>0</v>
      </c>
      <c r="BG70" s="3166">
        <f t="shared" si="48"/>
        <v>0</v>
      </c>
      <c r="BH70" s="3166">
        <f t="shared" si="49"/>
        <v>0</v>
      </c>
      <c r="BI70" s="3166">
        <f t="shared" si="50"/>
        <v>0</v>
      </c>
      <c r="BJ70" s="3166">
        <f t="shared" si="51"/>
        <v>0</v>
      </c>
      <c r="BK70" s="3166">
        <f t="shared" si="52"/>
        <v>0</v>
      </c>
      <c r="BL70" s="3166">
        <f t="shared" si="53"/>
        <v>0</v>
      </c>
      <c r="BM70" s="3166">
        <f t="shared" si="54"/>
        <v>0</v>
      </c>
      <c r="BN70" s="3166">
        <f t="shared" si="55"/>
        <v>0</v>
      </c>
      <c r="BO70" s="3166">
        <f t="shared" si="56"/>
        <v>0</v>
      </c>
      <c r="BP70" s="3166">
        <f t="shared" si="57"/>
        <v>0</v>
      </c>
      <c r="BQ70" s="3166">
        <f t="shared" si="58"/>
        <v>0</v>
      </c>
      <c r="BR70" s="3166">
        <f t="shared" si="59"/>
        <v>0</v>
      </c>
      <c r="BS70" s="3166">
        <f t="shared" si="60"/>
        <v>0</v>
      </c>
      <c r="BT70" s="3240">
        <f t="shared" si="61"/>
        <v>0</v>
      </c>
    </row>
    <row r="71" spans="1:72">
      <c r="A71" s="3163"/>
      <c r="B71" s="3164"/>
      <c r="C71" s="3164"/>
      <c r="D71" s="3176"/>
      <c r="E71" s="3166">
        <f t="shared" si="33"/>
        <v>0</v>
      </c>
      <c r="F71" s="3167"/>
      <c r="G71" s="3168">
        <f t="shared" si="34"/>
        <v>0</v>
      </c>
      <c r="H71" s="3169">
        <f t="shared" si="35"/>
        <v>0</v>
      </c>
      <c r="I71" s="3187"/>
      <c r="J71" s="3187"/>
      <c r="K71" s="3187"/>
      <c r="L71" s="3187"/>
      <c r="M71" s="3187"/>
      <c r="N71" s="3187"/>
      <c r="O71" s="3187"/>
      <c r="P71" s="3187"/>
      <c r="Q71" s="3187"/>
      <c r="R71" s="3187"/>
      <c r="S71" s="3187"/>
      <c r="T71" s="3187"/>
      <c r="U71" s="3187"/>
      <c r="V71" s="3187"/>
      <c r="W71" s="3187"/>
      <c r="X71" s="3187"/>
      <c r="Y71" s="3187"/>
      <c r="Z71" s="3187"/>
      <c r="AA71" s="3187"/>
      <c r="AB71" s="3187"/>
      <c r="AC71" s="3166">
        <f t="shared" si="36"/>
        <v>0</v>
      </c>
      <c r="AD71" s="3198"/>
      <c r="AE71" s="3198"/>
      <c r="AF71" s="3198"/>
      <c r="AG71" s="3198"/>
      <c r="AH71" s="3198"/>
      <c r="AI71" s="3198"/>
      <c r="AJ71" s="3198"/>
      <c r="AK71" s="3198"/>
      <c r="AL71" s="3198"/>
      <c r="AM71" s="3198"/>
      <c r="AN71" s="3198"/>
      <c r="AO71" s="3198"/>
      <c r="AP71" s="3198"/>
      <c r="AQ71" s="3198"/>
      <c r="AR71" s="3198"/>
      <c r="AS71" s="3198"/>
      <c r="AT71" s="3218"/>
      <c r="AU71" s="3219"/>
      <c r="AV71" s="488">
        <f t="shared" si="37"/>
        <v>0</v>
      </c>
      <c r="AW71" s="488">
        <f t="shared" si="38"/>
        <v>0</v>
      </c>
      <c r="AX71" s="488">
        <f t="shared" si="39"/>
        <v>0</v>
      </c>
      <c r="AY71" s="3235">
        <f t="shared" si="40"/>
        <v>0</v>
      </c>
      <c r="AZ71" s="3166">
        <f t="shared" si="41"/>
        <v>0</v>
      </c>
      <c r="BA71" s="3166">
        <f t="shared" si="42"/>
        <v>0</v>
      </c>
      <c r="BB71" s="3166">
        <f t="shared" si="43"/>
        <v>0</v>
      </c>
      <c r="BC71" s="3166">
        <f t="shared" si="44"/>
        <v>0</v>
      </c>
      <c r="BD71" s="3166">
        <f t="shared" si="45"/>
        <v>0</v>
      </c>
      <c r="BE71" s="3166">
        <f t="shared" si="46"/>
        <v>0</v>
      </c>
      <c r="BF71" s="3166">
        <f t="shared" si="47"/>
        <v>0</v>
      </c>
      <c r="BG71" s="3166">
        <f t="shared" si="48"/>
        <v>0</v>
      </c>
      <c r="BH71" s="3166">
        <f t="shared" si="49"/>
        <v>0</v>
      </c>
      <c r="BI71" s="3166">
        <f t="shared" si="50"/>
        <v>0</v>
      </c>
      <c r="BJ71" s="3166">
        <f t="shared" si="51"/>
        <v>0</v>
      </c>
      <c r="BK71" s="3166">
        <f t="shared" si="52"/>
        <v>0</v>
      </c>
      <c r="BL71" s="3166">
        <f t="shared" si="53"/>
        <v>0</v>
      </c>
      <c r="BM71" s="3166">
        <f t="shared" si="54"/>
        <v>0</v>
      </c>
      <c r="BN71" s="3166">
        <f t="shared" si="55"/>
        <v>0</v>
      </c>
      <c r="BO71" s="3166">
        <f t="shared" si="56"/>
        <v>0</v>
      </c>
      <c r="BP71" s="3166">
        <f t="shared" si="57"/>
        <v>0</v>
      </c>
      <c r="BQ71" s="3166">
        <f t="shared" si="58"/>
        <v>0</v>
      </c>
      <c r="BR71" s="3166">
        <f t="shared" si="59"/>
        <v>0</v>
      </c>
      <c r="BS71" s="3166">
        <f t="shared" si="60"/>
        <v>0</v>
      </c>
      <c r="BT71" s="3240">
        <f t="shared" si="61"/>
        <v>0</v>
      </c>
    </row>
    <row r="72" spans="1:72">
      <c r="A72" s="3163"/>
      <c r="B72" s="3164"/>
      <c r="C72" s="3164"/>
      <c r="D72" s="3176"/>
      <c r="E72" s="3166">
        <f t="shared" si="33"/>
        <v>0</v>
      </c>
      <c r="F72" s="3167"/>
      <c r="G72" s="3168">
        <f t="shared" si="34"/>
        <v>0</v>
      </c>
      <c r="H72" s="3169">
        <f t="shared" si="35"/>
        <v>0</v>
      </c>
      <c r="I72" s="3187"/>
      <c r="J72" s="3187"/>
      <c r="K72" s="3187"/>
      <c r="L72" s="3187"/>
      <c r="M72" s="3187"/>
      <c r="N72" s="3187"/>
      <c r="O72" s="3187"/>
      <c r="P72" s="3187"/>
      <c r="Q72" s="3187"/>
      <c r="R72" s="3187"/>
      <c r="S72" s="3187"/>
      <c r="T72" s="3187"/>
      <c r="U72" s="3187"/>
      <c r="V72" s="3187"/>
      <c r="W72" s="3187"/>
      <c r="X72" s="3187"/>
      <c r="Y72" s="3187"/>
      <c r="Z72" s="3187"/>
      <c r="AA72" s="3187"/>
      <c r="AB72" s="3187"/>
      <c r="AC72" s="3166">
        <f t="shared" si="36"/>
        <v>0</v>
      </c>
      <c r="AD72" s="3198"/>
      <c r="AE72" s="3198"/>
      <c r="AF72" s="3198"/>
      <c r="AG72" s="3198"/>
      <c r="AH72" s="3198"/>
      <c r="AI72" s="3198"/>
      <c r="AJ72" s="3198"/>
      <c r="AK72" s="3198"/>
      <c r="AL72" s="3198"/>
      <c r="AM72" s="3198"/>
      <c r="AN72" s="3198"/>
      <c r="AO72" s="3198"/>
      <c r="AP72" s="3198"/>
      <c r="AQ72" s="3198"/>
      <c r="AR72" s="3198"/>
      <c r="AS72" s="3198"/>
      <c r="AT72" s="3218"/>
      <c r="AU72" s="3219"/>
      <c r="AV72" s="488">
        <f t="shared" si="37"/>
        <v>0</v>
      </c>
      <c r="AW72" s="488">
        <f t="shared" si="38"/>
        <v>0</v>
      </c>
      <c r="AX72" s="488">
        <f t="shared" si="39"/>
        <v>0</v>
      </c>
      <c r="AY72" s="3235">
        <f t="shared" si="40"/>
        <v>0</v>
      </c>
      <c r="AZ72" s="3166">
        <f t="shared" si="41"/>
        <v>0</v>
      </c>
      <c r="BA72" s="3166">
        <f t="shared" si="42"/>
        <v>0</v>
      </c>
      <c r="BB72" s="3166">
        <f t="shared" si="43"/>
        <v>0</v>
      </c>
      <c r="BC72" s="3166">
        <f t="shared" si="44"/>
        <v>0</v>
      </c>
      <c r="BD72" s="3166">
        <f t="shared" si="45"/>
        <v>0</v>
      </c>
      <c r="BE72" s="3166">
        <f t="shared" si="46"/>
        <v>0</v>
      </c>
      <c r="BF72" s="3166">
        <f t="shared" si="47"/>
        <v>0</v>
      </c>
      <c r="BG72" s="3166">
        <f t="shared" si="48"/>
        <v>0</v>
      </c>
      <c r="BH72" s="3166">
        <f t="shared" si="49"/>
        <v>0</v>
      </c>
      <c r="BI72" s="3166">
        <f t="shared" si="50"/>
        <v>0</v>
      </c>
      <c r="BJ72" s="3166">
        <f t="shared" si="51"/>
        <v>0</v>
      </c>
      <c r="BK72" s="3166">
        <f t="shared" si="52"/>
        <v>0</v>
      </c>
      <c r="BL72" s="3166">
        <f t="shared" si="53"/>
        <v>0</v>
      </c>
      <c r="BM72" s="3166">
        <f t="shared" si="54"/>
        <v>0</v>
      </c>
      <c r="BN72" s="3166">
        <f t="shared" si="55"/>
        <v>0</v>
      </c>
      <c r="BO72" s="3166">
        <f t="shared" si="56"/>
        <v>0</v>
      </c>
      <c r="BP72" s="3166">
        <f t="shared" si="57"/>
        <v>0</v>
      </c>
      <c r="BQ72" s="3166">
        <f t="shared" si="58"/>
        <v>0</v>
      </c>
      <c r="BR72" s="3166">
        <f t="shared" si="59"/>
        <v>0</v>
      </c>
      <c r="BS72" s="3166">
        <f t="shared" si="60"/>
        <v>0</v>
      </c>
      <c r="BT72" s="3240">
        <f t="shared" si="61"/>
        <v>0</v>
      </c>
    </row>
    <row r="73" spans="1:72">
      <c r="A73" s="3163"/>
      <c r="B73" s="3164"/>
      <c r="C73" s="3164"/>
      <c r="D73" s="3176"/>
      <c r="E73" s="3166">
        <f t="shared" si="33"/>
        <v>0</v>
      </c>
      <c r="F73" s="3167"/>
      <c r="G73" s="3168">
        <f t="shared" si="34"/>
        <v>0</v>
      </c>
      <c r="H73" s="3169">
        <f t="shared" si="35"/>
        <v>0</v>
      </c>
      <c r="I73" s="3187"/>
      <c r="J73" s="3187"/>
      <c r="K73" s="3187"/>
      <c r="L73" s="3187"/>
      <c r="M73" s="3187"/>
      <c r="N73" s="3187"/>
      <c r="O73" s="3187"/>
      <c r="P73" s="3187"/>
      <c r="Q73" s="3187"/>
      <c r="R73" s="3187"/>
      <c r="S73" s="3187"/>
      <c r="T73" s="3187"/>
      <c r="U73" s="3187"/>
      <c r="V73" s="3187"/>
      <c r="W73" s="3187"/>
      <c r="X73" s="3187"/>
      <c r="Y73" s="3187"/>
      <c r="Z73" s="3187"/>
      <c r="AA73" s="3187"/>
      <c r="AB73" s="3187"/>
      <c r="AC73" s="3166">
        <f t="shared" si="36"/>
        <v>0</v>
      </c>
      <c r="AD73" s="3198"/>
      <c r="AE73" s="3198"/>
      <c r="AF73" s="3198"/>
      <c r="AG73" s="3198"/>
      <c r="AH73" s="3198"/>
      <c r="AI73" s="3198"/>
      <c r="AJ73" s="3198"/>
      <c r="AK73" s="3198"/>
      <c r="AL73" s="3198"/>
      <c r="AM73" s="3198"/>
      <c r="AN73" s="3198"/>
      <c r="AO73" s="3198"/>
      <c r="AP73" s="3198"/>
      <c r="AQ73" s="3198"/>
      <c r="AR73" s="3198"/>
      <c r="AS73" s="3198"/>
      <c r="AT73" s="3218"/>
      <c r="AU73" s="3219"/>
      <c r="AV73" s="488">
        <f t="shared" si="37"/>
        <v>0</v>
      </c>
      <c r="AW73" s="488">
        <f t="shared" si="38"/>
        <v>0</v>
      </c>
      <c r="AX73" s="488">
        <f t="shared" si="39"/>
        <v>0</v>
      </c>
      <c r="AY73" s="3235">
        <f t="shared" si="40"/>
        <v>0</v>
      </c>
      <c r="AZ73" s="3166">
        <f t="shared" si="41"/>
        <v>0</v>
      </c>
      <c r="BA73" s="3166">
        <f t="shared" si="42"/>
        <v>0</v>
      </c>
      <c r="BB73" s="3166">
        <f t="shared" si="43"/>
        <v>0</v>
      </c>
      <c r="BC73" s="3166">
        <f t="shared" si="44"/>
        <v>0</v>
      </c>
      <c r="BD73" s="3166">
        <f t="shared" si="45"/>
        <v>0</v>
      </c>
      <c r="BE73" s="3166">
        <f t="shared" si="46"/>
        <v>0</v>
      </c>
      <c r="BF73" s="3166">
        <f t="shared" si="47"/>
        <v>0</v>
      </c>
      <c r="BG73" s="3166">
        <f t="shared" si="48"/>
        <v>0</v>
      </c>
      <c r="BH73" s="3166">
        <f t="shared" si="49"/>
        <v>0</v>
      </c>
      <c r="BI73" s="3166">
        <f t="shared" si="50"/>
        <v>0</v>
      </c>
      <c r="BJ73" s="3166">
        <f t="shared" si="51"/>
        <v>0</v>
      </c>
      <c r="BK73" s="3166">
        <f t="shared" si="52"/>
        <v>0</v>
      </c>
      <c r="BL73" s="3166">
        <f t="shared" si="53"/>
        <v>0</v>
      </c>
      <c r="BM73" s="3166">
        <f t="shared" si="54"/>
        <v>0</v>
      </c>
      <c r="BN73" s="3166">
        <f t="shared" si="55"/>
        <v>0</v>
      </c>
      <c r="BO73" s="3166">
        <f t="shared" si="56"/>
        <v>0</v>
      </c>
      <c r="BP73" s="3166">
        <f t="shared" si="57"/>
        <v>0</v>
      </c>
      <c r="BQ73" s="3166">
        <f t="shared" si="58"/>
        <v>0</v>
      </c>
      <c r="BR73" s="3166">
        <f t="shared" si="59"/>
        <v>0</v>
      </c>
      <c r="BS73" s="3166">
        <f t="shared" si="60"/>
        <v>0</v>
      </c>
      <c r="BT73" s="3240">
        <f t="shared" si="61"/>
        <v>0</v>
      </c>
    </row>
    <row r="74" spans="1:72">
      <c r="A74" s="3163"/>
      <c r="B74" s="3164"/>
      <c r="C74" s="3164"/>
      <c r="D74" s="3176"/>
      <c r="E74" s="3166">
        <f t="shared" si="33"/>
        <v>0</v>
      </c>
      <c r="F74" s="3167"/>
      <c r="G74" s="3168">
        <f t="shared" si="34"/>
        <v>0</v>
      </c>
      <c r="H74" s="3169">
        <f t="shared" si="35"/>
        <v>0</v>
      </c>
      <c r="I74" s="3187"/>
      <c r="J74" s="3187"/>
      <c r="K74" s="3187"/>
      <c r="L74" s="3187"/>
      <c r="M74" s="3187"/>
      <c r="N74" s="3187"/>
      <c r="O74" s="3187"/>
      <c r="P74" s="3187"/>
      <c r="Q74" s="3187"/>
      <c r="R74" s="3187"/>
      <c r="S74" s="3187"/>
      <c r="T74" s="3187"/>
      <c r="U74" s="3187"/>
      <c r="V74" s="3187"/>
      <c r="W74" s="3187"/>
      <c r="X74" s="3187"/>
      <c r="Y74" s="3187"/>
      <c r="Z74" s="3187"/>
      <c r="AA74" s="3187"/>
      <c r="AB74" s="3187"/>
      <c r="AC74" s="3166">
        <f t="shared" si="36"/>
        <v>0</v>
      </c>
      <c r="AD74" s="3198"/>
      <c r="AE74" s="3198"/>
      <c r="AF74" s="3198"/>
      <c r="AG74" s="3198"/>
      <c r="AH74" s="3198"/>
      <c r="AI74" s="3198"/>
      <c r="AJ74" s="3198"/>
      <c r="AK74" s="3198"/>
      <c r="AL74" s="3198"/>
      <c r="AM74" s="3198"/>
      <c r="AN74" s="3198"/>
      <c r="AO74" s="3198"/>
      <c r="AP74" s="3198"/>
      <c r="AQ74" s="3198"/>
      <c r="AR74" s="3198"/>
      <c r="AS74" s="3198"/>
      <c r="AT74" s="3218"/>
      <c r="AU74" s="3219"/>
      <c r="AV74" s="488">
        <f t="shared" si="37"/>
        <v>0</v>
      </c>
      <c r="AW74" s="488">
        <f t="shared" si="38"/>
        <v>0</v>
      </c>
      <c r="AX74" s="488">
        <f t="shared" si="39"/>
        <v>0</v>
      </c>
      <c r="AY74" s="3235">
        <f t="shared" si="40"/>
        <v>0</v>
      </c>
      <c r="AZ74" s="3166">
        <f t="shared" si="41"/>
        <v>0</v>
      </c>
      <c r="BA74" s="3166">
        <f t="shared" si="42"/>
        <v>0</v>
      </c>
      <c r="BB74" s="3166">
        <f t="shared" si="43"/>
        <v>0</v>
      </c>
      <c r="BC74" s="3166">
        <f t="shared" si="44"/>
        <v>0</v>
      </c>
      <c r="BD74" s="3166">
        <f t="shared" si="45"/>
        <v>0</v>
      </c>
      <c r="BE74" s="3166">
        <f t="shared" si="46"/>
        <v>0</v>
      </c>
      <c r="BF74" s="3166">
        <f t="shared" si="47"/>
        <v>0</v>
      </c>
      <c r="BG74" s="3166">
        <f t="shared" si="48"/>
        <v>0</v>
      </c>
      <c r="BH74" s="3166">
        <f t="shared" si="49"/>
        <v>0</v>
      </c>
      <c r="BI74" s="3166">
        <f t="shared" si="50"/>
        <v>0</v>
      </c>
      <c r="BJ74" s="3166">
        <f t="shared" si="51"/>
        <v>0</v>
      </c>
      <c r="BK74" s="3166">
        <f t="shared" si="52"/>
        <v>0</v>
      </c>
      <c r="BL74" s="3166">
        <f t="shared" si="53"/>
        <v>0</v>
      </c>
      <c r="BM74" s="3166">
        <f t="shared" si="54"/>
        <v>0</v>
      </c>
      <c r="BN74" s="3166">
        <f t="shared" si="55"/>
        <v>0</v>
      </c>
      <c r="BO74" s="3166">
        <f t="shared" si="56"/>
        <v>0</v>
      </c>
      <c r="BP74" s="3166">
        <f t="shared" si="57"/>
        <v>0</v>
      </c>
      <c r="BQ74" s="3166">
        <f t="shared" si="58"/>
        <v>0</v>
      </c>
      <c r="BR74" s="3166">
        <f t="shared" si="59"/>
        <v>0</v>
      </c>
      <c r="BS74" s="3166">
        <f t="shared" si="60"/>
        <v>0</v>
      </c>
      <c r="BT74" s="3240">
        <f t="shared" si="61"/>
        <v>0</v>
      </c>
    </row>
    <row r="75" spans="1:72">
      <c r="A75" s="3163"/>
      <c r="B75" s="3164"/>
      <c r="C75" s="3164"/>
      <c r="D75" s="3176"/>
      <c r="E75" s="3166">
        <f t="shared" si="33"/>
        <v>0</v>
      </c>
      <c r="F75" s="3167"/>
      <c r="G75" s="3168">
        <f t="shared" si="34"/>
        <v>0</v>
      </c>
      <c r="H75" s="3169">
        <f t="shared" si="35"/>
        <v>0</v>
      </c>
      <c r="I75" s="3187"/>
      <c r="J75" s="3187"/>
      <c r="K75" s="3187"/>
      <c r="L75" s="3187"/>
      <c r="M75" s="3187"/>
      <c r="N75" s="3187"/>
      <c r="O75" s="3187"/>
      <c r="P75" s="3187"/>
      <c r="Q75" s="3187"/>
      <c r="R75" s="3187"/>
      <c r="S75" s="3187"/>
      <c r="T75" s="3187"/>
      <c r="U75" s="3187"/>
      <c r="V75" s="3187"/>
      <c r="W75" s="3187"/>
      <c r="X75" s="3187"/>
      <c r="Y75" s="3187"/>
      <c r="Z75" s="3187"/>
      <c r="AA75" s="3187"/>
      <c r="AB75" s="3187"/>
      <c r="AC75" s="3166">
        <f t="shared" si="36"/>
        <v>0</v>
      </c>
      <c r="AD75" s="3198"/>
      <c r="AE75" s="3198"/>
      <c r="AF75" s="3198"/>
      <c r="AG75" s="3198"/>
      <c r="AH75" s="3198"/>
      <c r="AI75" s="3198"/>
      <c r="AJ75" s="3198"/>
      <c r="AK75" s="3198"/>
      <c r="AL75" s="3198"/>
      <c r="AM75" s="3198"/>
      <c r="AN75" s="3198"/>
      <c r="AO75" s="3198"/>
      <c r="AP75" s="3198"/>
      <c r="AQ75" s="3198"/>
      <c r="AR75" s="3198"/>
      <c r="AS75" s="3198"/>
      <c r="AT75" s="3218"/>
      <c r="AU75" s="3219"/>
      <c r="AV75" s="488">
        <f t="shared" si="37"/>
        <v>0</v>
      </c>
      <c r="AW75" s="488">
        <f t="shared" si="38"/>
        <v>0</v>
      </c>
      <c r="AX75" s="488">
        <f t="shared" si="39"/>
        <v>0</v>
      </c>
      <c r="AY75" s="3235">
        <f t="shared" si="40"/>
        <v>0</v>
      </c>
      <c r="AZ75" s="3166">
        <f t="shared" si="41"/>
        <v>0</v>
      </c>
      <c r="BA75" s="3166">
        <f t="shared" si="42"/>
        <v>0</v>
      </c>
      <c r="BB75" s="3166">
        <f t="shared" si="43"/>
        <v>0</v>
      </c>
      <c r="BC75" s="3166">
        <f t="shared" si="44"/>
        <v>0</v>
      </c>
      <c r="BD75" s="3166">
        <f t="shared" si="45"/>
        <v>0</v>
      </c>
      <c r="BE75" s="3166">
        <f t="shared" si="46"/>
        <v>0</v>
      </c>
      <c r="BF75" s="3166">
        <f t="shared" si="47"/>
        <v>0</v>
      </c>
      <c r="BG75" s="3166">
        <f t="shared" si="48"/>
        <v>0</v>
      </c>
      <c r="BH75" s="3166">
        <f t="shared" si="49"/>
        <v>0</v>
      </c>
      <c r="BI75" s="3166">
        <f t="shared" si="50"/>
        <v>0</v>
      </c>
      <c r="BJ75" s="3166">
        <f t="shared" si="51"/>
        <v>0</v>
      </c>
      <c r="BK75" s="3166">
        <f t="shared" si="52"/>
        <v>0</v>
      </c>
      <c r="BL75" s="3166">
        <f t="shared" si="53"/>
        <v>0</v>
      </c>
      <c r="BM75" s="3166">
        <f t="shared" si="54"/>
        <v>0</v>
      </c>
      <c r="BN75" s="3166">
        <f t="shared" si="55"/>
        <v>0</v>
      </c>
      <c r="BO75" s="3166">
        <f t="shared" si="56"/>
        <v>0</v>
      </c>
      <c r="BP75" s="3166">
        <f t="shared" si="57"/>
        <v>0</v>
      </c>
      <c r="BQ75" s="3166">
        <f t="shared" si="58"/>
        <v>0</v>
      </c>
      <c r="BR75" s="3166">
        <f t="shared" si="59"/>
        <v>0</v>
      </c>
      <c r="BS75" s="3166">
        <f t="shared" si="60"/>
        <v>0</v>
      </c>
      <c r="BT75" s="3240">
        <f t="shared" si="61"/>
        <v>0</v>
      </c>
    </row>
    <row r="76" spans="1:72">
      <c r="A76" s="3163"/>
      <c r="B76" s="3164"/>
      <c r="C76" s="3164"/>
      <c r="D76" s="3176"/>
      <c r="E76" s="3166">
        <f t="shared" si="33"/>
        <v>0</v>
      </c>
      <c r="F76" s="3167"/>
      <c r="G76" s="3168">
        <f t="shared" si="34"/>
        <v>0</v>
      </c>
      <c r="H76" s="3169">
        <f t="shared" si="35"/>
        <v>0</v>
      </c>
      <c r="I76" s="3187"/>
      <c r="J76" s="3187"/>
      <c r="K76" s="3187"/>
      <c r="L76" s="3187"/>
      <c r="M76" s="3187"/>
      <c r="N76" s="3187"/>
      <c r="O76" s="3187"/>
      <c r="P76" s="3187"/>
      <c r="Q76" s="3187"/>
      <c r="R76" s="3187"/>
      <c r="S76" s="3187"/>
      <c r="T76" s="3187"/>
      <c r="U76" s="3187"/>
      <c r="V76" s="3187"/>
      <c r="W76" s="3187"/>
      <c r="X76" s="3187"/>
      <c r="Y76" s="3187"/>
      <c r="Z76" s="3187"/>
      <c r="AA76" s="3187"/>
      <c r="AB76" s="3187"/>
      <c r="AC76" s="3166">
        <f t="shared" si="36"/>
        <v>0</v>
      </c>
      <c r="AD76" s="3198"/>
      <c r="AE76" s="3198"/>
      <c r="AF76" s="3198"/>
      <c r="AG76" s="3198"/>
      <c r="AH76" s="3198"/>
      <c r="AI76" s="3198"/>
      <c r="AJ76" s="3198"/>
      <c r="AK76" s="3198"/>
      <c r="AL76" s="3198"/>
      <c r="AM76" s="3198"/>
      <c r="AN76" s="3198"/>
      <c r="AO76" s="3198"/>
      <c r="AP76" s="3198"/>
      <c r="AQ76" s="3198"/>
      <c r="AR76" s="3198"/>
      <c r="AS76" s="3198"/>
      <c r="AT76" s="3218"/>
      <c r="AU76" s="3219"/>
      <c r="AV76" s="488">
        <f t="shared" si="37"/>
        <v>0</v>
      </c>
      <c r="AW76" s="488">
        <f t="shared" si="38"/>
        <v>0</v>
      </c>
      <c r="AX76" s="488">
        <f t="shared" si="39"/>
        <v>0</v>
      </c>
      <c r="AY76" s="3235">
        <f t="shared" si="40"/>
        <v>0</v>
      </c>
      <c r="AZ76" s="3166">
        <f t="shared" si="41"/>
        <v>0</v>
      </c>
      <c r="BA76" s="3166">
        <f t="shared" si="42"/>
        <v>0</v>
      </c>
      <c r="BB76" s="3166">
        <f t="shared" si="43"/>
        <v>0</v>
      </c>
      <c r="BC76" s="3166">
        <f t="shared" si="44"/>
        <v>0</v>
      </c>
      <c r="BD76" s="3166">
        <f t="shared" si="45"/>
        <v>0</v>
      </c>
      <c r="BE76" s="3166">
        <f t="shared" si="46"/>
        <v>0</v>
      </c>
      <c r="BF76" s="3166">
        <f t="shared" si="47"/>
        <v>0</v>
      </c>
      <c r="BG76" s="3166">
        <f t="shared" si="48"/>
        <v>0</v>
      </c>
      <c r="BH76" s="3166">
        <f t="shared" si="49"/>
        <v>0</v>
      </c>
      <c r="BI76" s="3166">
        <f t="shared" si="50"/>
        <v>0</v>
      </c>
      <c r="BJ76" s="3166">
        <f t="shared" si="51"/>
        <v>0</v>
      </c>
      <c r="BK76" s="3166">
        <f t="shared" si="52"/>
        <v>0</v>
      </c>
      <c r="BL76" s="3166">
        <f t="shared" si="53"/>
        <v>0</v>
      </c>
      <c r="BM76" s="3166">
        <f t="shared" si="54"/>
        <v>0</v>
      </c>
      <c r="BN76" s="3166">
        <f t="shared" si="55"/>
        <v>0</v>
      </c>
      <c r="BO76" s="3166">
        <f t="shared" si="56"/>
        <v>0</v>
      </c>
      <c r="BP76" s="3166">
        <f t="shared" si="57"/>
        <v>0</v>
      </c>
      <c r="BQ76" s="3166">
        <f t="shared" si="58"/>
        <v>0</v>
      </c>
      <c r="BR76" s="3166">
        <f t="shared" si="59"/>
        <v>0</v>
      </c>
      <c r="BS76" s="3166">
        <f t="shared" si="60"/>
        <v>0</v>
      </c>
      <c r="BT76" s="3240">
        <f t="shared" si="61"/>
        <v>0</v>
      </c>
    </row>
    <row r="77" spans="1:72">
      <c r="A77" s="3163"/>
      <c r="B77" s="3164"/>
      <c r="C77" s="3164"/>
      <c r="D77" s="3176"/>
      <c r="E77" s="3166">
        <f t="shared" si="33"/>
        <v>0</v>
      </c>
      <c r="F77" s="3167"/>
      <c r="G77" s="3168">
        <f t="shared" si="34"/>
        <v>0</v>
      </c>
      <c r="H77" s="3169">
        <f t="shared" si="35"/>
        <v>0</v>
      </c>
      <c r="I77" s="3187"/>
      <c r="J77" s="3187"/>
      <c r="K77" s="3187"/>
      <c r="L77" s="3187"/>
      <c r="M77" s="3187"/>
      <c r="N77" s="3187"/>
      <c r="O77" s="3187"/>
      <c r="P77" s="3187"/>
      <c r="Q77" s="3187"/>
      <c r="R77" s="3187"/>
      <c r="S77" s="3187"/>
      <c r="T77" s="3187"/>
      <c r="U77" s="3187"/>
      <c r="V77" s="3187"/>
      <c r="W77" s="3187"/>
      <c r="X77" s="3187"/>
      <c r="Y77" s="3187"/>
      <c r="Z77" s="3187"/>
      <c r="AA77" s="3187"/>
      <c r="AB77" s="3187"/>
      <c r="AC77" s="3166">
        <f t="shared" si="36"/>
        <v>0</v>
      </c>
      <c r="AD77" s="3198"/>
      <c r="AE77" s="3198"/>
      <c r="AF77" s="3198"/>
      <c r="AG77" s="3198"/>
      <c r="AH77" s="3198"/>
      <c r="AI77" s="3198"/>
      <c r="AJ77" s="3198"/>
      <c r="AK77" s="3198"/>
      <c r="AL77" s="3198"/>
      <c r="AM77" s="3198"/>
      <c r="AN77" s="3198"/>
      <c r="AO77" s="3198"/>
      <c r="AP77" s="3198"/>
      <c r="AQ77" s="3198"/>
      <c r="AR77" s="3198"/>
      <c r="AS77" s="3198"/>
      <c r="AT77" s="3218"/>
      <c r="AU77" s="3219"/>
      <c r="AV77" s="488">
        <f t="shared" si="37"/>
        <v>0</v>
      </c>
      <c r="AW77" s="488">
        <f t="shared" si="38"/>
        <v>0</v>
      </c>
      <c r="AX77" s="488">
        <f t="shared" si="39"/>
        <v>0</v>
      </c>
      <c r="AY77" s="3235">
        <f t="shared" si="40"/>
        <v>0</v>
      </c>
      <c r="AZ77" s="3166">
        <f t="shared" si="41"/>
        <v>0</v>
      </c>
      <c r="BA77" s="3166">
        <f t="shared" si="42"/>
        <v>0</v>
      </c>
      <c r="BB77" s="3166">
        <f t="shared" si="43"/>
        <v>0</v>
      </c>
      <c r="BC77" s="3166">
        <f t="shared" si="44"/>
        <v>0</v>
      </c>
      <c r="BD77" s="3166">
        <f t="shared" si="45"/>
        <v>0</v>
      </c>
      <c r="BE77" s="3166">
        <f t="shared" si="46"/>
        <v>0</v>
      </c>
      <c r="BF77" s="3166">
        <f t="shared" si="47"/>
        <v>0</v>
      </c>
      <c r="BG77" s="3166">
        <f t="shared" si="48"/>
        <v>0</v>
      </c>
      <c r="BH77" s="3166">
        <f t="shared" si="49"/>
        <v>0</v>
      </c>
      <c r="BI77" s="3166">
        <f t="shared" si="50"/>
        <v>0</v>
      </c>
      <c r="BJ77" s="3166">
        <f t="shared" si="51"/>
        <v>0</v>
      </c>
      <c r="BK77" s="3166">
        <f t="shared" si="52"/>
        <v>0</v>
      </c>
      <c r="BL77" s="3166">
        <f t="shared" si="53"/>
        <v>0</v>
      </c>
      <c r="BM77" s="3166">
        <f t="shared" si="54"/>
        <v>0</v>
      </c>
      <c r="BN77" s="3166">
        <f t="shared" si="55"/>
        <v>0</v>
      </c>
      <c r="BO77" s="3166">
        <f t="shared" si="56"/>
        <v>0</v>
      </c>
      <c r="BP77" s="3166">
        <f t="shared" si="57"/>
        <v>0</v>
      </c>
      <c r="BQ77" s="3166">
        <f t="shared" si="58"/>
        <v>0</v>
      </c>
      <c r="BR77" s="3166">
        <f t="shared" si="59"/>
        <v>0</v>
      </c>
      <c r="BS77" s="3166">
        <f t="shared" si="60"/>
        <v>0</v>
      </c>
      <c r="BT77" s="3240">
        <f t="shared" si="61"/>
        <v>0</v>
      </c>
    </row>
    <row r="78" spans="1:72">
      <c r="A78" s="3163"/>
      <c r="B78" s="3164"/>
      <c r="C78" s="3164"/>
      <c r="D78" s="3176"/>
      <c r="E78" s="3166">
        <f t="shared" si="33"/>
        <v>0</v>
      </c>
      <c r="F78" s="3167"/>
      <c r="G78" s="3168">
        <f t="shared" si="34"/>
        <v>0</v>
      </c>
      <c r="H78" s="3169">
        <f t="shared" si="35"/>
        <v>0</v>
      </c>
      <c r="I78" s="3187"/>
      <c r="J78" s="3187"/>
      <c r="K78" s="3187"/>
      <c r="L78" s="3187"/>
      <c r="M78" s="3187"/>
      <c r="N78" s="3187"/>
      <c r="O78" s="3187"/>
      <c r="P78" s="3187"/>
      <c r="Q78" s="3187"/>
      <c r="R78" s="3187"/>
      <c r="S78" s="3187"/>
      <c r="T78" s="3187"/>
      <c r="U78" s="3187"/>
      <c r="V78" s="3187"/>
      <c r="W78" s="3187"/>
      <c r="X78" s="3187"/>
      <c r="Y78" s="3187"/>
      <c r="Z78" s="3187"/>
      <c r="AA78" s="3187"/>
      <c r="AB78" s="3187"/>
      <c r="AC78" s="3166">
        <f t="shared" si="36"/>
        <v>0</v>
      </c>
      <c r="AD78" s="3198"/>
      <c r="AE78" s="3198"/>
      <c r="AF78" s="3198"/>
      <c r="AG78" s="3198"/>
      <c r="AH78" s="3198"/>
      <c r="AI78" s="3198"/>
      <c r="AJ78" s="3198"/>
      <c r="AK78" s="3198"/>
      <c r="AL78" s="3198"/>
      <c r="AM78" s="3198"/>
      <c r="AN78" s="3198"/>
      <c r="AO78" s="3198"/>
      <c r="AP78" s="3198"/>
      <c r="AQ78" s="3198"/>
      <c r="AR78" s="3198"/>
      <c r="AS78" s="3198"/>
      <c r="AT78" s="3218"/>
      <c r="AU78" s="3219"/>
      <c r="AV78" s="488">
        <f t="shared" si="37"/>
        <v>0</v>
      </c>
      <c r="AW78" s="488">
        <f t="shared" si="38"/>
        <v>0</v>
      </c>
      <c r="AX78" s="488">
        <f t="shared" si="39"/>
        <v>0</v>
      </c>
      <c r="AY78" s="3235">
        <f t="shared" si="40"/>
        <v>0</v>
      </c>
      <c r="AZ78" s="3166">
        <f t="shared" si="41"/>
        <v>0</v>
      </c>
      <c r="BA78" s="3166">
        <f t="shared" si="42"/>
        <v>0</v>
      </c>
      <c r="BB78" s="3166">
        <f t="shared" si="43"/>
        <v>0</v>
      </c>
      <c r="BC78" s="3166">
        <f t="shared" si="44"/>
        <v>0</v>
      </c>
      <c r="BD78" s="3166">
        <f t="shared" si="45"/>
        <v>0</v>
      </c>
      <c r="BE78" s="3166">
        <f t="shared" si="46"/>
        <v>0</v>
      </c>
      <c r="BF78" s="3166">
        <f t="shared" si="47"/>
        <v>0</v>
      </c>
      <c r="BG78" s="3166">
        <f t="shared" si="48"/>
        <v>0</v>
      </c>
      <c r="BH78" s="3166">
        <f t="shared" si="49"/>
        <v>0</v>
      </c>
      <c r="BI78" s="3166">
        <f t="shared" si="50"/>
        <v>0</v>
      </c>
      <c r="BJ78" s="3166">
        <f t="shared" si="51"/>
        <v>0</v>
      </c>
      <c r="BK78" s="3166">
        <f t="shared" si="52"/>
        <v>0</v>
      </c>
      <c r="BL78" s="3166">
        <f t="shared" si="53"/>
        <v>0</v>
      </c>
      <c r="BM78" s="3166">
        <f t="shared" si="54"/>
        <v>0</v>
      </c>
      <c r="BN78" s="3166">
        <f t="shared" si="55"/>
        <v>0</v>
      </c>
      <c r="BO78" s="3166">
        <f t="shared" si="56"/>
        <v>0</v>
      </c>
      <c r="BP78" s="3166">
        <f t="shared" si="57"/>
        <v>0</v>
      </c>
      <c r="BQ78" s="3166">
        <f t="shared" si="58"/>
        <v>0</v>
      </c>
      <c r="BR78" s="3166">
        <f t="shared" si="59"/>
        <v>0</v>
      </c>
      <c r="BS78" s="3166">
        <f t="shared" si="60"/>
        <v>0</v>
      </c>
      <c r="BT78" s="3240">
        <f t="shared" si="61"/>
        <v>0</v>
      </c>
    </row>
    <row r="79" spans="1:72">
      <c r="A79" s="3163"/>
      <c r="B79" s="3164"/>
      <c r="C79" s="3164"/>
      <c r="D79" s="3176"/>
      <c r="E79" s="3166">
        <f t="shared" si="33"/>
        <v>0</v>
      </c>
      <c r="F79" s="3167"/>
      <c r="G79" s="3168">
        <f t="shared" si="34"/>
        <v>0</v>
      </c>
      <c r="H79" s="3169">
        <f t="shared" si="35"/>
        <v>0</v>
      </c>
      <c r="I79" s="3187"/>
      <c r="J79" s="3187"/>
      <c r="K79" s="3187"/>
      <c r="L79" s="3187"/>
      <c r="M79" s="3187"/>
      <c r="N79" s="3187"/>
      <c r="O79" s="3187"/>
      <c r="P79" s="3187"/>
      <c r="Q79" s="3187"/>
      <c r="R79" s="3187"/>
      <c r="S79" s="3187"/>
      <c r="T79" s="3187"/>
      <c r="U79" s="3187"/>
      <c r="V79" s="3187"/>
      <c r="W79" s="3187"/>
      <c r="X79" s="3187"/>
      <c r="Y79" s="3187"/>
      <c r="Z79" s="3187"/>
      <c r="AA79" s="3187"/>
      <c r="AB79" s="3187"/>
      <c r="AC79" s="3166">
        <f t="shared" si="36"/>
        <v>0</v>
      </c>
      <c r="AD79" s="3198"/>
      <c r="AE79" s="3198"/>
      <c r="AF79" s="3198"/>
      <c r="AG79" s="3198"/>
      <c r="AH79" s="3198"/>
      <c r="AI79" s="3198"/>
      <c r="AJ79" s="3198"/>
      <c r="AK79" s="3198"/>
      <c r="AL79" s="3198"/>
      <c r="AM79" s="3198"/>
      <c r="AN79" s="3198"/>
      <c r="AO79" s="3198"/>
      <c r="AP79" s="3198"/>
      <c r="AQ79" s="3198"/>
      <c r="AR79" s="3198"/>
      <c r="AS79" s="3198"/>
      <c r="AT79" s="3218"/>
      <c r="AU79" s="3219"/>
      <c r="AV79" s="488">
        <f t="shared" si="37"/>
        <v>0</v>
      </c>
      <c r="AW79" s="488">
        <f t="shared" si="38"/>
        <v>0</v>
      </c>
      <c r="AX79" s="488">
        <f t="shared" si="39"/>
        <v>0</v>
      </c>
      <c r="AY79" s="3235">
        <f t="shared" si="40"/>
        <v>0</v>
      </c>
      <c r="AZ79" s="3166">
        <f t="shared" si="41"/>
        <v>0</v>
      </c>
      <c r="BA79" s="3166">
        <f t="shared" si="42"/>
        <v>0</v>
      </c>
      <c r="BB79" s="3166">
        <f t="shared" si="43"/>
        <v>0</v>
      </c>
      <c r="BC79" s="3166">
        <f t="shared" si="44"/>
        <v>0</v>
      </c>
      <c r="BD79" s="3166">
        <f t="shared" si="45"/>
        <v>0</v>
      </c>
      <c r="BE79" s="3166">
        <f t="shared" si="46"/>
        <v>0</v>
      </c>
      <c r="BF79" s="3166">
        <f t="shared" si="47"/>
        <v>0</v>
      </c>
      <c r="BG79" s="3166">
        <f t="shared" si="48"/>
        <v>0</v>
      </c>
      <c r="BH79" s="3166">
        <f t="shared" si="49"/>
        <v>0</v>
      </c>
      <c r="BI79" s="3166">
        <f t="shared" si="50"/>
        <v>0</v>
      </c>
      <c r="BJ79" s="3166">
        <f t="shared" si="51"/>
        <v>0</v>
      </c>
      <c r="BK79" s="3166">
        <f t="shared" si="52"/>
        <v>0</v>
      </c>
      <c r="BL79" s="3166">
        <f t="shared" si="53"/>
        <v>0</v>
      </c>
      <c r="BM79" s="3166">
        <f t="shared" si="54"/>
        <v>0</v>
      </c>
      <c r="BN79" s="3166">
        <f t="shared" si="55"/>
        <v>0</v>
      </c>
      <c r="BO79" s="3166">
        <f t="shared" si="56"/>
        <v>0</v>
      </c>
      <c r="BP79" s="3166">
        <f t="shared" si="57"/>
        <v>0</v>
      </c>
      <c r="BQ79" s="3166">
        <f t="shared" si="58"/>
        <v>0</v>
      </c>
      <c r="BR79" s="3166">
        <f t="shared" si="59"/>
        <v>0</v>
      </c>
      <c r="BS79" s="3166">
        <f t="shared" si="60"/>
        <v>0</v>
      </c>
      <c r="BT79" s="3240">
        <f t="shared" si="61"/>
        <v>0</v>
      </c>
    </row>
    <row r="80" spans="1:72">
      <c r="A80" s="3163"/>
      <c r="B80" s="3164"/>
      <c r="C80" s="3164"/>
      <c r="D80" s="3176"/>
      <c r="E80" s="3166">
        <f t="shared" si="33"/>
        <v>0</v>
      </c>
      <c r="F80" s="3167"/>
      <c r="G80" s="3168">
        <f t="shared" si="34"/>
        <v>0</v>
      </c>
      <c r="H80" s="3169">
        <f t="shared" si="35"/>
        <v>0</v>
      </c>
      <c r="I80" s="3187"/>
      <c r="J80" s="3187"/>
      <c r="K80" s="3187"/>
      <c r="L80" s="3187"/>
      <c r="M80" s="3187"/>
      <c r="N80" s="3187"/>
      <c r="O80" s="3187"/>
      <c r="P80" s="3187"/>
      <c r="Q80" s="3187"/>
      <c r="R80" s="3187"/>
      <c r="S80" s="3187"/>
      <c r="T80" s="3187"/>
      <c r="U80" s="3187"/>
      <c r="V80" s="3187"/>
      <c r="W80" s="3187"/>
      <c r="X80" s="3187"/>
      <c r="Y80" s="3187"/>
      <c r="Z80" s="3187"/>
      <c r="AA80" s="3187"/>
      <c r="AB80" s="3187"/>
      <c r="AC80" s="3166">
        <f t="shared" si="36"/>
        <v>0</v>
      </c>
      <c r="AD80" s="3198"/>
      <c r="AE80" s="3198"/>
      <c r="AF80" s="3198"/>
      <c r="AG80" s="3198"/>
      <c r="AH80" s="3198"/>
      <c r="AI80" s="3198"/>
      <c r="AJ80" s="3198"/>
      <c r="AK80" s="3198"/>
      <c r="AL80" s="3198"/>
      <c r="AM80" s="3198"/>
      <c r="AN80" s="3198"/>
      <c r="AO80" s="3198"/>
      <c r="AP80" s="3198"/>
      <c r="AQ80" s="3198"/>
      <c r="AR80" s="3198"/>
      <c r="AS80" s="3198"/>
      <c r="AT80" s="3218"/>
      <c r="AU80" s="3219"/>
      <c r="AV80" s="488">
        <f t="shared" si="37"/>
        <v>0</v>
      </c>
      <c r="AW80" s="488">
        <f t="shared" si="38"/>
        <v>0</v>
      </c>
      <c r="AX80" s="488">
        <f t="shared" si="39"/>
        <v>0</v>
      </c>
      <c r="AY80" s="3235">
        <f t="shared" si="40"/>
        <v>0</v>
      </c>
      <c r="AZ80" s="3166">
        <f t="shared" si="41"/>
        <v>0</v>
      </c>
      <c r="BA80" s="3166">
        <f t="shared" si="42"/>
        <v>0</v>
      </c>
      <c r="BB80" s="3166">
        <f t="shared" si="43"/>
        <v>0</v>
      </c>
      <c r="BC80" s="3166">
        <f t="shared" si="44"/>
        <v>0</v>
      </c>
      <c r="BD80" s="3166">
        <f t="shared" si="45"/>
        <v>0</v>
      </c>
      <c r="BE80" s="3166">
        <f t="shared" si="46"/>
        <v>0</v>
      </c>
      <c r="BF80" s="3166">
        <f t="shared" si="47"/>
        <v>0</v>
      </c>
      <c r="BG80" s="3166">
        <f t="shared" si="48"/>
        <v>0</v>
      </c>
      <c r="BH80" s="3166">
        <f t="shared" si="49"/>
        <v>0</v>
      </c>
      <c r="BI80" s="3166">
        <f t="shared" si="50"/>
        <v>0</v>
      </c>
      <c r="BJ80" s="3166">
        <f t="shared" si="51"/>
        <v>0</v>
      </c>
      <c r="BK80" s="3166">
        <f t="shared" si="52"/>
        <v>0</v>
      </c>
      <c r="BL80" s="3166">
        <f t="shared" si="53"/>
        <v>0</v>
      </c>
      <c r="BM80" s="3166">
        <f t="shared" si="54"/>
        <v>0</v>
      </c>
      <c r="BN80" s="3166">
        <f t="shared" si="55"/>
        <v>0</v>
      </c>
      <c r="BO80" s="3166">
        <f t="shared" si="56"/>
        <v>0</v>
      </c>
      <c r="BP80" s="3166">
        <f t="shared" si="57"/>
        <v>0</v>
      </c>
      <c r="BQ80" s="3166">
        <f t="shared" si="58"/>
        <v>0</v>
      </c>
      <c r="BR80" s="3166">
        <f t="shared" si="59"/>
        <v>0</v>
      </c>
      <c r="BS80" s="3166">
        <f t="shared" si="60"/>
        <v>0</v>
      </c>
      <c r="BT80" s="3240">
        <f t="shared" si="61"/>
        <v>0</v>
      </c>
    </row>
    <row r="81" spans="1:72">
      <c r="A81" s="3163"/>
      <c r="B81" s="3164"/>
      <c r="C81" s="3164"/>
      <c r="D81" s="3176"/>
      <c r="E81" s="3166">
        <f t="shared" si="33"/>
        <v>0</v>
      </c>
      <c r="F81" s="3167"/>
      <c r="G81" s="3168">
        <f t="shared" si="34"/>
        <v>0</v>
      </c>
      <c r="H81" s="3169">
        <f t="shared" si="35"/>
        <v>0</v>
      </c>
      <c r="I81" s="3187"/>
      <c r="J81" s="3187"/>
      <c r="K81" s="3187"/>
      <c r="L81" s="3187"/>
      <c r="M81" s="3187"/>
      <c r="N81" s="3187"/>
      <c r="O81" s="3187"/>
      <c r="P81" s="3187"/>
      <c r="Q81" s="3187"/>
      <c r="R81" s="3187"/>
      <c r="S81" s="3187"/>
      <c r="T81" s="3187"/>
      <c r="U81" s="3187"/>
      <c r="V81" s="3187"/>
      <c r="W81" s="3187"/>
      <c r="X81" s="3187"/>
      <c r="Y81" s="3187"/>
      <c r="Z81" s="3187"/>
      <c r="AA81" s="3187"/>
      <c r="AB81" s="3187"/>
      <c r="AC81" s="3166">
        <f t="shared" si="36"/>
        <v>0</v>
      </c>
      <c r="AD81" s="3198"/>
      <c r="AE81" s="3198"/>
      <c r="AF81" s="3198"/>
      <c r="AG81" s="3198"/>
      <c r="AH81" s="3198"/>
      <c r="AI81" s="3198"/>
      <c r="AJ81" s="3198"/>
      <c r="AK81" s="3198"/>
      <c r="AL81" s="3198"/>
      <c r="AM81" s="3198"/>
      <c r="AN81" s="3198"/>
      <c r="AO81" s="3198"/>
      <c r="AP81" s="3198"/>
      <c r="AQ81" s="3198"/>
      <c r="AR81" s="3198"/>
      <c r="AS81" s="3198"/>
      <c r="AT81" s="3218"/>
      <c r="AU81" s="3219"/>
      <c r="AV81" s="488">
        <f t="shared" si="37"/>
        <v>0</v>
      </c>
      <c r="AW81" s="488">
        <f t="shared" si="38"/>
        <v>0</v>
      </c>
      <c r="AX81" s="488">
        <f t="shared" si="39"/>
        <v>0</v>
      </c>
      <c r="AY81" s="3235">
        <f t="shared" si="40"/>
        <v>0</v>
      </c>
      <c r="AZ81" s="3166">
        <f t="shared" si="41"/>
        <v>0</v>
      </c>
      <c r="BA81" s="3166">
        <f t="shared" si="42"/>
        <v>0</v>
      </c>
      <c r="BB81" s="3166">
        <f t="shared" si="43"/>
        <v>0</v>
      </c>
      <c r="BC81" s="3166">
        <f t="shared" si="44"/>
        <v>0</v>
      </c>
      <c r="BD81" s="3166">
        <f t="shared" si="45"/>
        <v>0</v>
      </c>
      <c r="BE81" s="3166">
        <f t="shared" si="46"/>
        <v>0</v>
      </c>
      <c r="BF81" s="3166">
        <f t="shared" si="47"/>
        <v>0</v>
      </c>
      <c r="BG81" s="3166">
        <f t="shared" si="48"/>
        <v>0</v>
      </c>
      <c r="BH81" s="3166">
        <f t="shared" si="49"/>
        <v>0</v>
      </c>
      <c r="BI81" s="3166">
        <f t="shared" si="50"/>
        <v>0</v>
      </c>
      <c r="BJ81" s="3166">
        <f t="shared" si="51"/>
        <v>0</v>
      </c>
      <c r="BK81" s="3166">
        <f t="shared" si="52"/>
        <v>0</v>
      </c>
      <c r="BL81" s="3166">
        <f t="shared" si="53"/>
        <v>0</v>
      </c>
      <c r="BM81" s="3166">
        <f t="shared" si="54"/>
        <v>0</v>
      </c>
      <c r="BN81" s="3166">
        <f t="shared" si="55"/>
        <v>0</v>
      </c>
      <c r="BO81" s="3166">
        <f t="shared" si="56"/>
        <v>0</v>
      </c>
      <c r="BP81" s="3166">
        <f t="shared" si="57"/>
        <v>0</v>
      </c>
      <c r="BQ81" s="3166">
        <f t="shared" si="58"/>
        <v>0</v>
      </c>
      <c r="BR81" s="3166">
        <f t="shared" si="59"/>
        <v>0</v>
      </c>
      <c r="BS81" s="3166">
        <f t="shared" si="60"/>
        <v>0</v>
      </c>
      <c r="BT81" s="3240">
        <f t="shared" si="61"/>
        <v>0</v>
      </c>
    </row>
    <row r="82" spans="1:72">
      <c r="A82" s="3163"/>
      <c r="B82" s="3164"/>
      <c r="C82" s="3164"/>
      <c r="D82" s="3176"/>
      <c r="E82" s="3166">
        <f t="shared" si="33"/>
        <v>0</v>
      </c>
      <c r="F82" s="3167"/>
      <c r="G82" s="3168">
        <f t="shared" si="34"/>
        <v>0</v>
      </c>
      <c r="H82" s="3169">
        <f t="shared" si="35"/>
        <v>0</v>
      </c>
      <c r="I82" s="3187"/>
      <c r="J82" s="3187"/>
      <c r="K82" s="3187"/>
      <c r="L82" s="3187"/>
      <c r="M82" s="3187"/>
      <c r="N82" s="3187"/>
      <c r="O82" s="3187"/>
      <c r="P82" s="3187"/>
      <c r="Q82" s="3187"/>
      <c r="R82" s="3187"/>
      <c r="S82" s="3187"/>
      <c r="T82" s="3187"/>
      <c r="U82" s="3187"/>
      <c r="V82" s="3187"/>
      <c r="W82" s="3187"/>
      <c r="X82" s="3187"/>
      <c r="Y82" s="3187"/>
      <c r="Z82" s="3187"/>
      <c r="AA82" s="3187"/>
      <c r="AB82" s="3187"/>
      <c r="AC82" s="3166">
        <f t="shared" si="36"/>
        <v>0</v>
      </c>
      <c r="AD82" s="3198"/>
      <c r="AE82" s="3198"/>
      <c r="AF82" s="3198"/>
      <c r="AG82" s="3198"/>
      <c r="AH82" s="3198"/>
      <c r="AI82" s="3198"/>
      <c r="AJ82" s="3198"/>
      <c r="AK82" s="3198"/>
      <c r="AL82" s="3198"/>
      <c r="AM82" s="3198"/>
      <c r="AN82" s="3198"/>
      <c r="AO82" s="3198"/>
      <c r="AP82" s="3198"/>
      <c r="AQ82" s="3198"/>
      <c r="AR82" s="3198"/>
      <c r="AS82" s="3198"/>
      <c r="AT82" s="3218"/>
      <c r="AU82" s="3219"/>
      <c r="AV82" s="488">
        <f t="shared" si="37"/>
        <v>0</v>
      </c>
      <c r="AW82" s="488">
        <f t="shared" si="38"/>
        <v>0</v>
      </c>
      <c r="AX82" s="488">
        <f t="shared" si="39"/>
        <v>0</v>
      </c>
      <c r="AY82" s="3235">
        <f t="shared" si="40"/>
        <v>0</v>
      </c>
      <c r="AZ82" s="3166">
        <f t="shared" si="41"/>
        <v>0</v>
      </c>
      <c r="BA82" s="3166">
        <f t="shared" si="42"/>
        <v>0</v>
      </c>
      <c r="BB82" s="3166">
        <f t="shared" si="43"/>
        <v>0</v>
      </c>
      <c r="BC82" s="3166">
        <f t="shared" si="44"/>
        <v>0</v>
      </c>
      <c r="BD82" s="3166">
        <f t="shared" si="45"/>
        <v>0</v>
      </c>
      <c r="BE82" s="3166">
        <f t="shared" si="46"/>
        <v>0</v>
      </c>
      <c r="BF82" s="3166">
        <f t="shared" si="47"/>
        <v>0</v>
      </c>
      <c r="BG82" s="3166">
        <f t="shared" si="48"/>
        <v>0</v>
      </c>
      <c r="BH82" s="3166">
        <f t="shared" si="49"/>
        <v>0</v>
      </c>
      <c r="BI82" s="3166">
        <f t="shared" si="50"/>
        <v>0</v>
      </c>
      <c r="BJ82" s="3166">
        <f t="shared" si="51"/>
        <v>0</v>
      </c>
      <c r="BK82" s="3166">
        <f t="shared" si="52"/>
        <v>0</v>
      </c>
      <c r="BL82" s="3166">
        <f t="shared" si="53"/>
        <v>0</v>
      </c>
      <c r="BM82" s="3166">
        <f t="shared" si="54"/>
        <v>0</v>
      </c>
      <c r="BN82" s="3166">
        <f t="shared" si="55"/>
        <v>0</v>
      </c>
      <c r="BO82" s="3166">
        <f t="shared" si="56"/>
        <v>0</v>
      </c>
      <c r="BP82" s="3166">
        <f t="shared" si="57"/>
        <v>0</v>
      </c>
      <c r="BQ82" s="3166">
        <f t="shared" si="58"/>
        <v>0</v>
      </c>
      <c r="BR82" s="3166">
        <f t="shared" si="59"/>
        <v>0</v>
      </c>
      <c r="BS82" s="3166">
        <f t="shared" si="60"/>
        <v>0</v>
      </c>
      <c r="BT82" s="3240">
        <f t="shared" si="61"/>
        <v>0</v>
      </c>
    </row>
    <row r="83" spans="1:72">
      <c r="A83" s="3163"/>
      <c r="B83" s="3164"/>
      <c r="C83" s="3164"/>
      <c r="D83" s="3176"/>
      <c r="E83" s="3166">
        <f t="shared" si="33"/>
        <v>0</v>
      </c>
      <c r="F83" s="3167"/>
      <c r="G83" s="3168">
        <f t="shared" si="34"/>
        <v>0</v>
      </c>
      <c r="H83" s="3169">
        <f t="shared" si="35"/>
        <v>0</v>
      </c>
      <c r="I83" s="3187"/>
      <c r="J83" s="3187"/>
      <c r="K83" s="3187"/>
      <c r="L83" s="3187"/>
      <c r="M83" s="3187"/>
      <c r="N83" s="3187"/>
      <c r="O83" s="3187"/>
      <c r="P83" s="3187"/>
      <c r="Q83" s="3187"/>
      <c r="R83" s="3187"/>
      <c r="S83" s="3187"/>
      <c r="T83" s="3187"/>
      <c r="U83" s="3187"/>
      <c r="V83" s="3187"/>
      <c r="W83" s="3187"/>
      <c r="X83" s="3187"/>
      <c r="Y83" s="3187"/>
      <c r="Z83" s="3187"/>
      <c r="AA83" s="3187"/>
      <c r="AB83" s="3187"/>
      <c r="AC83" s="3166">
        <f t="shared" si="36"/>
        <v>0</v>
      </c>
      <c r="AD83" s="3198"/>
      <c r="AE83" s="3198"/>
      <c r="AF83" s="3198"/>
      <c r="AG83" s="3198"/>
      <c r="AH83" s="3198"/>
      <c r="AI83" s="3198"/>
      <c r="AJ83" s="3198"/>
      <c r="AK83" s="3198"/>
      <c r="AL83" s="3198"/>
      <c r="AM83" s="3198"/>
      <c r="AN83" s="3198"/>
      <c r="AO83" s="3198"/>
      <c r="AP83" s="3198"/>
      <c r="AQ83" s="3198"/>
      <c r="AR83" s="3198"/>
      <c r="AS83" s="3198"/>
      <c r="AT83" s="3218"/>
      <c r="AU83" s="3219"/>
      <c r="AV83" s="488">
        <f t="shared" si="37"/>
        <v>0</v>
      </c>
      <c r="AW83" s="488">
        <f t="shared" si="38"/>
        <v>0</v>
      </c>
      <c r="AX83" s="488">
        <f t="shared" si="39"/>
        <v>0</v>
      </c>
      <c r="AY83" s="3235">
        <f t="shared" si="40"/>
        <v>0</v>
      </c>
      <c r="AZ83" s="3166">
        <f t="shared" si="41"/>
        <v>0</v>
      </c>
      <c r="BA83" s="3166">
        <f t="shared" si="42"/>
        <v>0</v>
      </c>
      <c r="BB83" s="3166">
        <f t="shared" si="43"/>
        <v>0</v>
      </c>
      <c r="BC83" s="3166">
        <f t="shared" si="44"/>
        <v>0</v>
      </c>
      <c r="BD83" s="3166">
        <f t="shared" si="45"/>
        <v>0</v>
      </c>
      <c r="BE83" s="3166">
        <f t="shared" si="46"/>
        <v>0</v>
      </c>
      <c r="BF83" s="3166">
        <f t="shared" si="47"/>
        <v>0</v>
      </c>
      <c r="BG83" s="3166">
        <f t="shared" si="48"/>
        <v>0</v>
      </c>
      <c r="BH83" s="3166">
        <f t="shared" si="49"/>
        <v>0</v>
      </c>
      <c r="BI83" s="3166">
        <f t="shared" si="50"/>
        <v>0</v>
      </c>
      <c r="BJ83" s="3166">
        <f t="shared" si="51"/>
        <v>0</v>
      </c>
      <c r="BK83" s="3166">
        <f t="shared" si="52"/>
        <v>0</v>
      </c>
      <c r="BL83" s="3166">
        <f t="shared" si="53"/>
        <v>0</v>
      </c>
      <c r="BM83" s="3166">
        <f t="shared" si="54"/>
        <v>0</v>
      </c>
      <c r="BN83" s="3166">
        <f t="shared" si="55"/>
        <v>0</v>
      </c>
      <c r="BO83" s="3166">
        <f t="shared" si="56"/>
        <v>0</v>
      </c>
      <c r="BP83" s="3166">
        <f t="shared" si="57"/>
        <v>0</v>
      </c>
      <c r="BQ83" s="3166">
        <f t="shared" si="58"/>
        <v>0</v>
      </c>
      <c r="BR83" s="3166">
        <f t="shared" si="59"/>
        <v>0</v>
      </c>
      <c r="BS83" s="3166">
        <f t="shared" si="60"/>
        <v>0</v>
      </c>
      <c r="BT83" s="3240">
        <f t="shared" si="61"/>
        <v>0</v>
      </c>
    </row>
    <row r="84" spans="1:72">
      <c r="A84" s="3163"/>
      <c r="B84" s="3164"/>
      <c r="C84" s="3164"/>
      <c r="D84" s="3176"/>
      <c r="E84" s="3166">
        <f t="shared" si="33"/>
        <v>0</v>
      </c>
      <c r="F84" s="3167"/>
      <c r="G84" s="3168">
        <f t="shared" si="34"/>
        <v>0</v>
      </c>
      <c r="H84" s="3169">
        <f t="shared" si="35"/>
        <v>0</v>
      </c>
      <c r="I84" s="3187"/>
      <c r="J84" s="3187"/>
      <c r="K84" s="3187"/>
      <c r="L84" s="3187"/>
      <c r="M84" s="3187"/>
      <c r="N84" s="3187"/>
      <c r="O84" s="3187"/>
      <c r="P84" s="3187"/>
      <c r="Q84" s="3187"/>
      <c r="R84" s="3187"/>
      <c r="S84" s="3187"/>
      <c r="T84" s="3187"/>
      <c r="U84" s="3187"/>
      <c r="V84" s="3187"/>
      <c r="W84" s="3187"/>
      <c r="X84" s="3187"/>
      <c r="Y84" s="3187"/>
      <c r="Z84" s="3187"/>
      <c r="AA84" s="3187"/>
      <c r="AB84" s="3187"/>
      <c r="AC84" s="3166">
        <f t="shared" si="36"/>
        <v>0</v>
      </c>
      <c r="AD84" s="3198"/>
      <c r="AE84" s="3198"/>
      <c r="AF84" s="3198"/>
      <c r="AG84" s="3198"/>
      <c r="AH84" s="3198"/>
      <c r="AI84" s="3198"/>
      <c r="AJ84" s="3198"/>
      <c r="AK84" s="3198"/>
      <c r="AL84" s="3198"/>
      <c r="AM84" s="3198"/>
      <c r="AN84" s="3198"/>
      <c r="AO84" s="3198"/>
      <c r="AP84" s="3198"/>
      <c r="AQ84" s="3198"/>
      <c r="AR84" s="3198"/>
      <c r="AS84" s="3198"/>
      <c r="AT84" s="3218"/>
      <c r="AU84" s="3219"/>
      <c r="AV84" s="488">
        <f t="shared" si="37"/>
        <v>0</v>
      </c>
      <c r="AW84" s="488">
        <f t="shared" si="38"/>
        <v>0</v>
      </c>
      <c r="AX84" s="488">
        <f t="shared" si="39"/>
        <v>0</v>
      </c>
      <c r="AY84" s="3235">
        <f t="shared" si="40"/>
        <v>0</v>
      </c>
      <c r="AZ84" s="3166">
        <f t="shared" si="41"/>
        <v>0</v>
      </c>
      <c r="BA84" s="3166">
        <f t="shared" si="42"/>
        <v>0</v>
      </c>
      <c r="BB84" s="3166">
        <f t="shared" si="43"/>
        <v>0</v>
      </c>
      <c r="BC84" s="3166">
        <f t="shared" si="44"/>
        <v>0</v>
      </c>
      <c r="BD84" s="3166">
        <f t="shared" si="45"/>
        <v>0</v>
      </c>
      <c r="BE84" s="3166">
        <f t="shared" si="46"/>
        <v>0</v>
      </c>
      <c r="BF84" s="3166">
        <f t="shared" si="47"/>
        <v>0</v>
      </c>
      <c r="BG84" s="3166">
        <f t="shared" si="48"/>
        <v>0</v>
      </c>
      <c r="BH84" s="3166">
        <f t="shared" si="49"/>
        <v>0</v>
      </c>
      <c r="BI84" s="3166">
        <f t="shared" si="50"/>
        <v>0</v>
      </c>
      <c r="BJ84" s="3166">
        <f t="shared" si="51"/>
        <v>0</v>
      </c>
      <c r="BK84" s="3166">
        <f t="shared" si="52"/>
        <v>0</v>
      </c>
      <c r="BL84" s="3166">
        <f t="shared" si="53"/>
        <v>0</v>
      </c>
      <c r="BM84" s="3166">
        <f t="shared" si="54"/>
        <v>0</v>
      </c>
      <c r="BN84" s="3166">
        <f t="shared" si="55"/>
        <v>0</v>
      </c>
      <c r="BO84" s="3166">
        <f t="shared" si="56"/>
        <v>0</v>
      </c>
      <c r="BP84" s="3166">
        <f t="shared" si="57"/>
        <v>0</v>
      </c>
      <c r="BQ84" s="3166">
        <f t="shared" si="58"/>
        <v>0</v>
      </c>
      <c r="BR84" s="3166">
        <f t="shared" si="59"/>
        <v>0</v>
      </c>
      <c r="BS84" s="3166">
        <f t="shared" si="60"/>
        <v>0</v>
      </c>
      <c r="BT84" s="3240">
        <f t="shared" si="61"/>
        <v>0</v>
      </c>
    </row>
    <row r="85" spans="1:72">
      <c r="A85" s="3163"/>
      <c r="B85" s="3164"/>
      <c r="C85" s="3164"/>
      <c r="D85" s="3176"/>
      <c r="E85" s="3166">
        <f t="shared" si="33"/>
        <v>0</v>
      </c>
      <c r="F85" s="3167"/>
      <c r="G85" s="3168">
        <f t="shared" si="34"/>
        <v>0</v>
      </c>
      <c r="H85" s="3169">
        <f t="shared" si="35"/>
        <v>0</v>
      </c>
      <c r="I85" s="3187"/>
      <c r="J85" s="3187"/>
      <c r="K85" s="3187"/>
      <c r="L85" s="3187"/>
      <c r="M85" s="3187"/>
      <c r="N85" s="3187"/>
      <c r="O85" s="3187"/>
      <c r="P85" s="3187"/>
      <c r="Q85" s="3187"/>
      <c r="R85" s="3187"/>
      <c r="S85" s="3187"/>
      <c r="T85" s="3187"/>
      <c r="U85" s="3187"/>
      <c r="V85" s="3187"/>
      <c r="W85" s="3187"/>
      <c r="X85" s="3187"/>
      <c r="Y85" s="3187"/>
      <c r="Z85" s="3187"/>
      <c r="AA85" s="3187"/>
      <c r="AB85" s="3187"/>
      <c r="AC85" s="3166">
        <f t="shared" si="36"/>
        <v>0</v>
      </c>
      <c r="AD85" s="3198"/>
      <c r="AE85" s="3198"/>
      <c r="AF85" s="3198"/>
      <c r="AG85" s="3198"/>
      <c r="AH85" s="3198"/>
      <c r="AI85" s="3198"/>
      <c r="AJ85" s="3198"/>
      <c r="AK85" s="3198"/>
      <c r="AL85" s="3198"/>
      <c r="AM85" s="3198"/>
      <c r="AN85" s="3198"/>
      <c r="AO85" s="3198"/>
      <c r="AP85" s="3198"/>
      <c r="AQ85" s="3198"/>
      <c r="AR85" s="3198"/>
      <c r="AS85" s="3198"/>
      <c r="AT85" s="3218"/>
      <c r="AU85" s="3219"/>
      <c r="AV85" s="488">
        <f t="shared" si="37"/>
        <v>0</v>
      </c>
      <c r="AW85" s="488">
        <f t="shared" si="38"/>
        <v>0</v>
      </c>
      <c r="AX85" s="488">
        <f t="shared" si="39"/>
        <v>0</v>
      </c>
      <c r="AY85" s="3235">
        <f t="shared" si="40"/>
        <v>0</v>
      </c>
      <c r="AZ85" s="3166">
        <f t="shared" si="41"/>
        <v>0</v>
      </c>
      <c r="BA85" s="3166">
        <f t="shared" si="42"/>
        <v>0</v>
      </c>
      <c r="BB85" s="3166">
        <f t="shared" si="43"/>
        <v>0</v>
      </c>
      <c r="BC85" s="3166">
        <f t="shared" si="44"/>
        <v>0</v>
      </c>
      <c r="BD85" s="3166">
        <f t="shared" si="45"/>
        <v>0</v>
      </c>
      <c r="BE85" s="3166">
        <f t="shared" si="46"/>
        <v>0</v>
      </c>
      <c r="BF85" s="3166">
        <f t="shared" si="47"/>
        <v>0</v>
      </c>
      <c r="BG85" s="3166">
        <f t="shared" si="48"/>
        <v>0</v>
      </c>
      <c r="BH85" s="3166">
        <f t="shared" si="49"/>
        <v>0</v>
      </c>
      <c r="BI85" s="3166">
        <f t="shared" si="50"/>
        <v>0</v>
      </c>
      <c r="BJ85" s="3166">
        <f t="shared" si="51"/>
        <v>0</v>
      </c>
      <c r="BK85" s="3166">
        <f t="shared" si="52"/>
        <v>0</v>
      </c>
      <c r="BL85" s="3166">
        <f t="shared" si="53"/>
        <v>0</v>
      </c>
      <c r="BM85" s="3166">
        <f t="shared" si="54"/>
        <v>0</v>
      </c>
      <c r="BN85" s="3166">
        <f t="shared" si="55"/>
        <v>0</v>
      </c>
      <c r="BO85" s="3166">
        <f t="shared" si="56"/>
        <v>0</v>
      </c>
      <c r="BP85" s="3166">
        <f t="shared" si="57"/>
        <v>0</v>
      </c>
      <c r="BQ85" s="3166">
        <f t="shared" si="58"/>
        <v>0</v>
      </c>
      <c r="BR85" s="3166">
        <f t="shared" si="59"/>
        <v>0</v>
      </c>
      <c r="BS85" s="3166">
        <f t="shared" si="60"/>
        <v>0</v>
      </c>
      <c r="BT85" s="3240">
        <f t="shared" si="61"/>
        <v>0</v>
      </c>
    </row>
    <row r="86" spans="1:72">
      <c r="A86" s="3163"/>
      <c r="B86" s="3164"/>
      <c r="C86" s="3164"/>
      <c r="D86" s="3176"/>
      <c r="E86" s="3166">
        <f t="shared" si="33"/>
        <v>0</v>
      </c>
      <c r="F86" s="3167"/>
      <c r="G86" s="3168">
        <f t="shared" si="34"/>
        <v>0</v>
      </c>
      <c r="H86" s="3169">
        <f t="shared" si="35"/>
        <v>0</v>
      </c>
      <c r="I86" s="3187"/>
      <c r="J86" s="3187"/>
      <c r="K86" s="3187"/>
      <c r="L86" s="3187"/>
      <c r="M86" s="3187"/>
      <c r="N86" s="3187"/>
      <c r="O86" s="3187"/>
      <c r="P86" s="3187"/>
      <c r="Q86" s="3187"/>
      <c r="R86" s="3187"/>
      <c r="S86" s="3187"/>
      <c r="T86" s="3187"/>
      <c r="U86" s="3187"/>
      <c r="V86" s="3187"/>
      <c r="W86" s="3187"/>
      <c r="X86" s="3187"/>
      <c r="Y86" s="3187"/>
      <c r="Z86" s="3187"/>
      <c r="AA86" s="3187"/>
      <c r="AB86" s="3187"/>
      <c r="AC86" s="3166">
        <f t="shared" si="36"/>
        <v>0</v>
      </c>
      <c r="AD86" s="3198"/>
      <c r="AE86" s="3198"/>
      <c r="AF86" s="3198"/>
      <c r="AG86" s="3198"/>
      <c r="AH86" s="3198"/>
      <c r="AI86" s="3198"/>
      <c r="AJ86" s="3198"/>
      <c r="AK86" s="3198"/>
      <c r="AL86" s="3198"/>
      <c r="AM86" s="3198"/>
      <c r="AN86" s="3198"/>
      <c r="AO86" s="3198"/>
      <c r="AP86" s="3198"/>
      <c r="AQ86" s="3198"/>
      <c r="AR86" s="3198"/>
      <c r="AS86" s="3198"/>
      <c r="AT86" s="3218"/>
      <c r="AU86" s="3219"/>
      <c r="AV86" s="488">
        <f t="shared" si="37"/>
        <v>0</v>
      </c>
      <c r="AW86" s="488">
        <f t="shared" si="38"/>
        <v>0</v>
      </c>
      <c r="AX86" s="488">
        <f t="shared" si="39"/>
        <v>0</v>
      </c>
      <c r="AY86" s="3235">
        <f t="shared" si="40"/>
        <v>0</v>
      </c>
      <c r="AZ86" s="3166">
        <f t="shared" si="41"/>
        <v>0</v>
      </c>
      <c r="BA86" s="3166">
        <f t="shared" si="42"/>
        <v>0</v>
      </c>
      <c r="BB86" s="3166">
        <f t="shared" si="43"/>
        <v>0</v>
      </c>
      <c r="BC86" s="3166">
        <f t="shared" si="44"/>
        <v>0</v>
      </c>
      <c r="BD86" s="3166">
        <f t="shared" si="45"/>
        <v>0</v>
      </c>
      <c r="BE86" s="3166">
        <f t="shared" si="46"/>
        <v>0</v>
      </c>
      <c r="BF86" s="3166">
        <f t="shared" si="47"/>
        <v>0</v>
      </c>
      <c r="BG86" s="3166">
        <f t="shared" si="48"/>
        <v>0</v>
      </c>
      <c r="BH86" s="3166">
        <f t="shared" si="49"/>
        <v>0</v>
      </c>
      <c r="BI86" s="3166">
        <f t="shared" si="50"/>
        <v>0</v>
      </c>
      <c r="BJ86" s="3166">
        <f t="shared" si="51"/>
        <v>0</v>
      </c>
      <c r="BK86" s="3166">
        <f t="shared" si="52"/>
        <v>0</v>
      </c>
      <c r="BL86" s="3166">
        <f t="shared" si="53"/>
        <v>0</v>
      </c>
      <c r="BM86" s="3166">
        <f t="shared" si="54"/>
        <v>0</v>
      </c>
      <c r="BN86" s="3166">
        <f t="shared" si="55"/>
        <v>0</v>
      </c>
      <c r="BO86" s="3166">
        <f t="shared" si="56"/>
        <v>0</v>
      </c>
      <c r="BP86" s="3166">
        <f t="shared" si="57"/>
        <v>0</v>
      </c>
      <c r="BQ86" s="3166">
        <f t="shared" si="58"/>
        <v>0</v>
      </c>
      <c r="BR86" s="3166">
        <f t="shared" si="59"/>
        <v>0</v>
      </c>
      <c r="BS86" s="3166">
        <f t="shared" si="60"/>
        <v>0</v>
      </c>
      <c r="BT86" s="3240">
        <f t="shared" si="61"/>
        <v>0</v>
      </c>
    </row>
    <row r="87" spans="1:72">
      <c r="A87" s="3163"/>
      <c r="B87" s="3164"/>
      <c r="C87" s="3164"/>
      <c r="D87" s="3176"/>
      <c r="E87" s="3166">
        <f t="shared" si="33"/>
        <v>0</v>
      </c>
      <c r="F87" s="3167"/>
      <c r="G87" s="3168">
        <f t="shared" si="34"/>
        <v>0</v>
      </c>
      <c r="H87" s="3169">
        <f t="shared" si="35"/>
        <v>0</v>
      </c>
      <c r="I87" s="3187"/>
      <c r="J87" s="3187"/>
      <c r="K87" s="3187"/>
      <c r="L87" s="3187"/>
      <c r="M87" s="3187"/>
      <c r="N87" s="3187"/>
      <c r="O87" s="3187"/>
      <c r="P87" s="3187"/>
      <c r="Q87" s="3187"/>
      <c r="R87" s="3187"/>
      <c r="S87" s="3187"/>
      <c r="T87" s="3187"/>
      <c r="U87" s="3187"/>
      <c r="V87" s="3187"/>
      <c r="W87" s="3187"/>
      <c r="X87" s="3187"/>
      <c r="Y87" s="3187"/>
      <c r="Z87" s="3187"/>
      <c r="AA87" s="3187"/>
      <c r="AB87" s="3187"/>
      <c r="AC87" s="3166">
        <f t="shared" si="36"/>
        <v>0</v>
      </c>
      <c r="AD87" s="3198"/>
      <c r="AE87" s="3198"/>
      <c r="AF87" s="3198"/>
      <c r="AG87" s="3198"/>
      <c r="AH87" s="3198"/>
      <c r="AI87" s="3198"/>
      <c r="AJ87" s="3198"/>
      <c r="AK87" s="3198"/>
      <c r="AL87" s="3198"/>
      <c r="AM87" s="3198"/>
      <c r="AN87" s="3198"/>
      <c r="AO87" s="3198"/>
      <c r="AP87" s="3198"/>
      <c r="AQ87" s="3198"/>
      <c r="AR87" s="3198"/>
      <c r="AS87" s="3198"/>
      <c r="AT87" s="3218"/>
      <c r="AU87" s="3219"/>
      <c r="AV87" s="488">
        <f t="shared" si="37"/>
        <v>0</v>
      </c>
      <c r="AW87" s="488">
        <f t="shared" si="38"/>
        <v>0</v>
      </c>
      <c r="AX87" s="488">
        <f t="shared" si="39"/>
        <v>0</v>
      </c>
      <c r="AY87" s="3235">
        <f t="shared" si="40"/>
        <v>0</v>
      </c>
      <c r="AZ87" s="3166">
        <f t="shared" si="41"/>
        <v>0</v>
      </c>
      <c r="BA87" s="3166">
        <f t="shared" si="42"/>
        <v>0</v>
      </c>
      <c r="BB87" s="3166">
        <f t="shared" si="43"/>
        <v>0</v>
      </c>
      <c r="BC87" s="3166">
        <f t="shared" si="44"/>
        <v>0</v>
      </c>
      <c r="BD87" s="3166">
        <f t="shared" si="45"/>
        <v>0</v>
      </c>
      <c r="BE87" s="3166">
        <f t="shared" si="46"/>
        <v>0</v>
      </c>
      <c r="BF87" s="3166">
        <f t="shared" si="47"/>
        <v>0</v>
      </c>
      <c r="BG87" s="3166">
        <f t="shared" si="48"/>
        <v>0</v>
      </c>
      <c r="BH87" s="3166">
        <f t="shared" si="49"/>
        <v>0</v>
      </c>
      <c r="BI87" s="3166">
        <f t="shared" si="50"/>
        <v>0</v>
      </c>
      <c r="BJ87" s="3166">
        <f t="shared" si="51"/>
        <v>0</v>
      </c>
      <c r="BK87" s="3166">
        <f t="shared" si="52"/>
        <v>0</v>
      </c>
      <c r="BL87" s="3166">
        <f t="shared" si="53"/>
        <v>0</v>
      </c>
      <c r="BM87" s="3166">
        <f t="shared" si="54"/>
        <v>0</v>
      </c>
      <c r="BN87" s="3166">
        <f t="shared" si="55"/>
        <v>0</v>
      </c>
      <c r="BO87" s="3166">
        <f t="shared" si="56"/>
        <v>0</v>
      </c>
      <c r="BP87" s="3166">
        <f t="shared" si="57"/>
        <v>0</v>
      </c>
      <c r="BQ87" s="3166">
        <f t="shared" si="58"/>
        <v>0</v>
      </c>
      <c r="BR87" s="3166">
        <f t="shared" si="59"/>
        <v>0</v>
      </c>
      <c r="BS87" s="3166">
        <f t="shared" si="60"/>
        <v>0</v>
      </c>
      <c r="BT87" s="3240">
        <f t="shared" si="61"/>
        <v>0</v>
      </c>
    </row>
    <row r="88" spans="1:72">
      <c r="A88" s="3163"/>
      <c r="B88" s="3164"/>
      <c r="C88" s="3164"/>
      <c r="D88" s="3176"/>
      <c r="E88" s="3166">
        <f t="shared" si="33"/>
        <v>0</v>
      </c>
      <c r="F88" s="3167"/>
      <c r="G88" s="3168">
        <f t="shared" si="34"/>
        <v>0</v>
      </c>
      <c r="H88" s="3169">
        <f t="shared" si="35"/>
        <v>0</v>
      </c>
      <c r="I88" s="3187"/>
      <c r="J88" s="3187"/>
      <c r="K88" s="3187"/>
      <c r="L88" s="3187"/>
      <c r="M88" s="3187"/>
      <c r="N88" s="3187"/>
      <c r="O88" s="3187"/>
      <c r="P88" s="3187"/>
      <c r="Q88" s="3187"/>
      <c r="R88" s="3187"/>
      <c r="S88" s="3187"/>
      <c r="T88" s="3187"/>
      <c r="U88" s="3187"/>
      <c r="V88" s="3187"/>
      <c r="W88" s="3187"/>
      <c r="X88" s="3187"/>
      <c r="Y88" s="3187"/>
      <c r="Z88" s="3187"/>
      <c r="AA88" s="3187"/>
      <c r="AB88" s="3187"/>
      <c r="AC88" s="3166">
        <f t="shared" si="36"/>
        <v>0</v>
      </c>
      <c r="AD88" s="3198"/>
      <c r="AE88" s="3198"/>
      <c r="AF88" s="3198"/>
      <c r="AG88" s="3198"/>
      <c r="AH88" s="3198"/>
      <c r="AI88" s="3198"/>
      <c r="AJ88" s="3198"/>
      <c r="AK88" s="3198"/>
      <c r="AL88" s="3198"/>
      <c r="AM88" s="3198"/>
      <c r="AN88" s="3198"/>
      <c r="AO88" s="3198"/>
      <c r="AP88" s="3198"/>
      <c r="AQ88" s="3198"/>
      <c r="AR88" s="3198"/>
      <c r="AS88" s="3198"/>
      <c r="AT88" s="3218"/>
      <c r="AU88" s="3219"/>
      <c r="AV88" s="488">
        <f t="shared" si="37"/>
        <v>0</v>
      </c>
      <c r="AW88" s="488">
        <f t="shared" si="38"/>
        <v>0</v>
      </c>
      <c r="AX88" s="488">
        <f t="shared" si="39"/>
        <v>0</v>
      </c>
      <c r="AY88" s="3235">
        <f t="shared" si="40"/>
        <v>0</v>
      </c>
      <c r="AZ88" s="3166">
        <f t="shared" si="41"/>
        <v>0</v>
      </c>
      <c r="BA88" s="3166">
        <f t="shared" si="42"/>
        <v>0</v>
      </c>
      <c r="BB88" s="3166">
        <f t="shared" si="43"/>
        <v>0</v>
      </c>
      <c r="BC88" s="3166">
        <f t="shared" si="44"/>
        <v>0</v>
      </c>
      <c r="BD88" s="3166">
        <f t="shared" si="45"/>
        <v>0</v>
      </c>
      <c r="BE88" s="3166">
        <f t="shared" si="46"/>
        <v>0</v>
      </c>
      <c r="BF88" s="3166">
        <f t="shared" si="47"/>
        <v>0</v>
      </c>
      <c r="BG88" s="3166">
        <f t="shared" si="48"/>
        <v>0</v>
      </c>
      <c r="BH88" s="3166">
        <f t="shared" si="49"/>
        <v>0</v>
      </c>
      <c r="BI88" s="3166">
        <f t="shared" si="50"/>
        <v>0</v>
      </c>
      <c r="BJ88" s="3166">
        <f t="shared" si="51"/>
        <v>0</v>
      </c>
      <c r="BK88" s="3166">
        <f t="shared" si="52"/>
        <v>0</v>
      </c>
      <c r="BL88" s="3166">
        <f t="shared" si="53"/>
        <v>0</v>
      </c>
      <c r="BM88" s="3166">
        <f t="shared" si="54"/>
        <v>0</v>
      </c>
      <c r="BN88" s="3166">
        <f t="shared" si="55"/>
        <v>0</v>
      </c>
      <c r="BO88" s="3166">
        <f t="shared" si="56"/>
        <v>0</v>
      </c>
      <c r="BP88" s="3166">
        <f t="shared" si="57"/>
        <v>0</v>
      </c>
      <c r="BQ88" s="3166">
        <f t="shared" si="58"/>
        <v>0</v>
      </c>
      <c r="BR88" s="3166">
        <f t="shared" si="59"/>
        <v>0</v>
      </c>
      <c r="BS88" s="3166">
        <f t="shared" si="60"/>
        <v>0</v>
      </c>
      <c r="BT88" s="3240">
        <f t="shared" si="61"/>
        <v>0</v>
      </c>
    </row>
    <row r="89" spans="1:72">
      <c r="A89" s="3163"/>
      <c r="B89" s="3164"/>
      <c r="C89" s="3164"/>
      <c r="D89" s="3176"/>
      <c r="E89" s="3166">
        <f t="shared" si="33"/>
        <v>0</v>
      </c>
      <c r="F89" s="3167"/>
      <c r="G89" s="3168">
        <f t="shared" si="34"/>
        <v>0</v>
      </c>
      <c r="H89" s="3169">
        <f t="shared" si="35"/>
        <v>0</v>
      </c>
      <c r="I89" s="3187"/>
      <c r="J89" s="3187"/>
      <c r="K89" s="3187"/>
      <c r="L89" s="3187"/>
      <c r="M89" s="3187"/>
      <c r="N89" s="3187"/>
      <c r="O89" s="3187"/>
      <c r="P89" s="3187"/>
      <c r="Q89" s="3187"/>
      <c r="R89" s="3187"/>
      <c r="S89" s="3187"/>
      <c r="T89" s="3187"/>
      <c r="U89" s="3187"/>
      <c r="V89" s="3187"/>
      <c r="W89" s="3187"/>
      <c r="X89" s="3187"/>
      <c r="Y89" s="3187"/>
      <c r="Z89" s="3187"/>
      <c r="AA89" s="3187"/>
      <c r="AB89" s="3187"/>
      <c r="AC89" s="3166">
        <f t="shared" si="36"/>
        <v>0</v>
      </c>
      <c r="AD89" s="3198"/>
      <c r="AE89" s="3198"/>
      <c r="AF89" s="3198"/>
      <c r="AG89" s="3198"/>
      <c r="AH89" s="3198"/>
      <c r="AI89" s="3198"/>
      <c r="AJ89" s="3198"/>
      <c r="AK89" s="3198"/>
      <c r="AL89" s="3198"/>
      <c r="AM89" s="3198"/>
      <c r="AN89" s="3198"/>
      <c r="AO89" s="3198"/>
      <c r="AP89" s="3198"/>
      <c r="AQ89" s="3198"/>
      <c r="AR89" s="3198"/>
      <c r="AS89" s="3198"/>
      <c r="AT89" s="3218"/>
      <c r="AU89" s="3219"/>
      <c r="AV89" s="488">
        <f t="shared" si="37"/>
        <v>0</v>
      </c>
      <c r="AW89" s="488">
        <f t="shared" si="38"/>
        <v>0</v>
      </c>
      <c r="AX89" s="488">
        <f t="shared" si="39"/>
        <v>0</v>
      </c>
      <c r="AY89" s="3235">
        <f t="shared" si="40"/>
        <v>0</v>
      </c>
      <c r="AZ89" s="3166">
        <f t="shared" si="41"/>
        <v>0</v>
      </c>
      <c r="BA89" s="3166">
        <f t="shared" si="42"/>
        <v>0</v>
      </c>
      <c r="BB89" s="3166">
        <f t="shared" si="43"/>
        <v>0</v>
      </c>
      <c r="BC89" s="3166">
        <f t="shared" si="44"/>
        <v>0</v>
      </c>
      <c r="BD89" s="3166">
        <f t="shared" si="45"/>
        <v>0</v>
      </c>
      <c r="BE89" s="3166">
        <f t="shared" si="46"/>
        <v>0</v>
      </c>
      <c r="BF89" s="3166">
        <f t="shared" si="47"/>
        <v>0</v>
      </c>
      <c r="BG89" s="3166">
        <f t="shared" si="48"/>
        <v>0</v>
      </c>
      <c r="BH89" s="3166">
        <f t="shared" si="49"/>
        <v>0</v>
      </c>
      <c r="BI89" s="3166">
        <f t="shared" si="50"/>
        <v>0</v>
      </c>
      <c r="BJ89" s="3166">
        <f t="shared" si="51"/>
        <v>0</v>
      </c>
      <c r="BK89" s="3166">
        <f t="shared" si="52"/>
        <v>0</v>
      </c>
      <c r="BL89" s="3166">
        <f t="shared" si="53"/>
        <v>0</v>
      </c>
      <c r="BM89" s="3166">
        <f t="shared" si="54"/>
        <v>0</v>
      </c>
      <c r="BN89" s="3166">
        <f t="shared" si="55"/>
        <v>0</v>
      </c>
      <c r="BO89" s="3166">
        <f t="shared" si="56"/>
        <v>0</v>
      </c>
      <c r="BP89" s="3166">
        <f t="shared" si="57"/>
        <v>0</v>
      </c>
      <c r="BQ89" s="3166">
        <f t="shared" si="58"/>
        <v>0</v>
      </c>
      <c r="BR89" s="3166">
        <f t="shared" si="59"/>
        <v>0</v>
      </c>
      <c r="BS89" s="3166">
        <f t="shared" si="60"/>
        <v>0</v>
      </c>
      <c r="BT89" s="3240">
        <f t="shared" si="61"/>
        <v>0</v>
      </c>
    </row>
    <row r="90" spans="1:72">
      <c r="A90" s="3163"/>
      <c r="B90" s="3164"/>
      <c r="C90" s="3164"/>
      <c r="D90" s="3176"/>
      <c r="E90" s="3166">
        <f t="shared" si="33"/>
        <v>0</v>
      </c>
      <c r="F90" s="3167"/>
      <c r="G90" s="3168">
        <f t="shared" si="34"/>
        <v>0</v>
      </c>
      <c r="H90" s="3169">
        <f t="shared" si="35"/>
        <v>0</v>
      </c>
      <c r="I90" s="3187"/>
      <c r="J90" s="3187"/>
      <c r="K90" s="3187"/>
      <c r="L90" s="3187"/>
      <c r="M90" s="3187"/>
      <c r="N90" s="3187"/>
      <c r="O90" s="3187"/>
      <c r="P90" s="3187"/>
      <c r="Q90" s="3187"/>
      <c r="R90" s="3187"/>
      <c r="S90" s="3187"/>
      <c r="T90" s="3187"/>
      <c r="U90" s="3187"/>
      <c r="V90" s="3187"/>
      <c r="W90" s="3187"/>
      <c r="X90" s="3187"/>
      <c r="Y90" s="3187"/>
      <c r="Z90" s="3187"/>
      <c r="AA90" s="3187"/>
      <c r="AB90" s="3187"/>
      <c r="AC90" s="3166">
        <f t="shared" si="36"/>
        <v>0</v>
      </c>
      <c r="AD90" s="3198"/>
      <c r="AE90" s="3198"/>
      <c r="AF90" s="3198"/>
      <c r="AG90" s="3198"/>
      <c r="AH90" s="3198"/>
      <c r="AI90" s="3198"/>
      <c r="AJ90" s="3198"/>
      <c r="AK90" s="3198"/>
      <c r="AL90" s="3198"/>
      <c r="AM90" s="3198"/>
      <c r="AN90" s="3198"/>
      <c r="AO90" s="3198"/>
      <c r="AP90" s="3198"/>
      <c r="AQ90" s="3198"/>
      <c r="AR90" s="3198"/>
      <c r="AS90" s="3198"/>
      <c r="AT90" s="3218"/>
      <c r="AU90" s="3219"/>
      <c r="AV90" s="488">
        <f t="shared" si="37"/>
        <v>0</v>
      </c>
      <c r="AW90" s="488">
        <f t="shared" si="38"/>
        <v>0</v>
      </c>
      <c r="AX90" s="488">
        <f t="shared" si="39"/>
        <v>0</v>
      </c>
      <c r="AY90" s="3235">
        <f t="shared" si="40"/>
        <v>0</v>
      </c>
      <c r="AZ90" s="3166">
        <f t="shared" si="41"/>
        <v>0</v>
      </c>
      <c r="BA90" s="3166">
        <f t="shared" si="42"/>
        <v>0</v>
      </c>
      <c r="BB90" s="3166">
        <f t="shared" si="43"/>
        <v>0</v>
      </c>
      <c r="BC90" s="3166">
        <f t="shared" si="44"/>
        <v>0</v>
      </c>
      <c r="BD90" s="3166">
        <f t="shared" si="45"/>
        <v>0</v>
      </c>
      <c r="BE90" s="3166">
        <f t="shared" si="46"/>
        <v>0</v>
      </c>
      <c r="BF90" s="3166">
        <f t="shared" si="47"/>
        <v>0</v>
      </c>
      <c r="BG90" s="3166">
        <f t="shared" si="48"/>
        <v>0</v>
      </c>
      <c r="BH90" s="3166">
        <f t="shared" si="49"/>
        <v>0</v>
      </c>
      <c r="BI90" s="3166">
        <f t="shared" si="50"/>
        <v>0</v>
      </c>
      <c r="BJ90" s="3166">
        <f t="shared" si="51"/>
        <v>0</v>
      </c>
      <c r="BK90" s="3166">
        <f t="shared" si="52"/>
        <v>0</v>
      </c>
      <c r="BL90" s="3166">
        <f t="shared" si="53"/>
        <v>0</v>
      </c>
      <c r="BM90" s="3166">
        <f t="shared" si="54"/>
        <v>0</v>
      </c>
      <c r="BN90" s="3166">
        <f t="shared" si="55"/>
        <v>0</v>
      </c>
      <c r="BO90" s="3166">
        <f t="shared" si="56"/>
        <v>0</v>
      </c>
      <c r="BP90" s="3166">
        <f t="shared" si="57"/>
        <v>0</v>
      </c>
      <c r="BQ90" s="3166">
        <f t="shared" si="58"/>
        <v>0</v>
      </c>
      <c r="BR90" s="3166">
        <f t="shared" si="59"/>
        <v>0</v>
      </c>
      <c r="BS90" s="3166">
        <f t="shared" si="60"/>
        <v>0</v>
      </c>
      <c r="BT90" s="3240">
        <f t="shared" si="61"/>
        <v>0</v>
      </c>
    </row>
    <row r="91" spans="1:72">
      <c r="A91" s="3163"/>
      <c r="B91" s="3164"/>
      <c r="C91" s="3164"/>
      <c r="D91" s="3176"/>
      <c r="E91" s="3166">
        <f t="shared" si="33"/>
        <v>0</v>
      </c>
      <c r="F91" s="3167"/>
      <c r="G91" s="3168">
        <f t="shared" si="34"/>
        <v>0</v>
      </c>
      <c r="H91" s="3169">
        <f t="shared" si="35"/>
        <v>0</v>
      </c>
      <c r="I91" s="3187"/>
      <c r="J91" s="3187"/>
      <c r="K91" s="3187"/>
      <c r="L91" s="3187"/>
      <c r="M91" s="3187"/>
      <c r="N91" s="3187"/>
      <c r="O91" s="3187"/>
      <c r="P91" s="3187"/>
      <c r="Q91" s="3187"/>
      <c r="R91" s="3187"/>
      <c r="S91" s="3187"/>
      <c r="T91" s="3187"/>
      <c r="U91" s="3187"/>
      <c r="V91" s="3187"/>
      <c r="W91" s="3187"/>
      <c r="X91" s="3187"/>
      <c r="Y91" s="3187"/>
      <c r="Z91" s="3187"/>
      <c r="AA91" s="3187"/>
      <c r="AB91" s="3187"/>
      <c r="AC91" s="3166">
        <f t="shared" si="36"/>
        <v>0</v>
      </c>
      <c r="AD91" s="3198"/>
      <c r="AE91" s="3198"/>
      <c r="AF91" s="3198"/>
      <c r="AG91" s="3198"/>
      <c r="AH91" s="3198"/>
      <c r="AI91" s="3198"/>
      <c r="AJ91" s="3198"/>
      <c r="AK91" s="3198"/>
      <c r="AL91" s="3198"/>
      <c r="AM91" s="3198"/>
      <c r="AN91" s="3198"/>
      <c r="AO91" s="3198"/>
      <c r="AP91" s="3198"/>
      <c r="AQ91" s="3198"/>
      <c r="AR91" s="3198"/>
      <c r="AS91" s="3198"/>
      <c r="AT91" s="3218"/>
      <c r="AU91" s="3219"/>
      <c r="AV91" s="488">
        <f t="shared" si="37"/>
        <v>0</v>
      </c>
      <c r="AW91" s="488">
        <f t="shared" si="38"/>
        <v>0</v>
      </c>
      <c r="AX91" s="488">
        <f t="shared" si="39"/>
        <v>0</v>
      </c>
      <c r="AY91" s="3235">
        <f t="shared" si="40"/>
        <v>0</v>
      </c>
      <c r="AZ91" s="3166">
        <f t="shared" si="41"/>
        <v>0</v>
      </c>
      <c r="BA91" s="3166">
        <f t="shared" si="42"/>
        <v>0</v>
      </c>
      <c r="BB91" s="3166">
        <f t="shared" si="43"/>
        <v>0</v>
      </c>
      <c r="BC91" s="3166">
        <f t="shared" si="44"/>
        <v>0</v>
      </c>
      <c r="BD91" s="3166">
        <f t="shared" si="45"/>
        <v>0</v>
      </c>
      <c r="BE91" s="3166">
        <f t="shared" si="46"/>
        <v>0</v>
      </c>
      <c r="BF91" s="3166">
        <f t="shared" si="47"/>
        <v>0</v>
      </c>
      <c r="BG91" s="3166">
        <f t="shared" si="48"/>
        <v>0</v>
      </c>
      <c r="BH91" s="3166">
        <f t="shared" si="49"/>
        <v>0</v>
      </c>
      <c r="BI91" s="3166">
        <f t="shared" si="50"/>
        <v>0</v>
      </c>
      <c r="BJ91" s="3166">
        <f t="shared" si="51"/>
        <v>0</v>
      </c>
      <c r="BK91" s="3166">
        <f t="shared" si="52"/>
        <v>0</v>
      </c>
      <c r="BL91" s="3166">
        <f t="shared" si="53"/>
        <v>0</v>
      </c>
      <c r="BM91" s="3166">
        <f t="shared" si="54"/>
        <v>0</v>
      </c>
      <c r="BN91" s="3166">
        <f t="shared" si="55"/>
        <v>0</v>
      </c>
      <c r="BO91" s="3166">
        <f t="shared" si="56"/>
        <v>0</v>
      </c>
      <c r="BP91" s="3166">
        <f t="shared" si="57"/>
        <v>0</v>
      </c>
      <c r="BQ91" s="3166">
        <f t="shared" si="58"/>
        <v>0</v>
      </c>
      <c r="BR91" s="3166">
        <f t="shared" si="59"/>
        <v>0</v>
      </c>
      <c r="BS91" s="3166">
        <f t="shared" si="60"/>
        <v>0</v>
      </c>
      <c r="BT91" s="3240">
        <f t="shared" si="61"/>
        <v>0</v>
      </c>
    </row>
    <row r="92" spans="1:72">
      <c r="A92" s="3163"/>
      <c r="B92" s="3164"/>
      <c r="C92" s="3164"/>
      <c r="D92" s="3176"/>
      <c r="E92" s="3166">
        <f t="shared" si="33"/>
        <v>0</v>
      </c>
      <c r="F92" s="3167"/>
      <c r="G92" s="3168">
        <f t="shared" si="34"/>
        <v>0</v>
      </c>
      <c r="H92" s="3169">
        <f t="shared" si="35"/>
        <v>0</v>
      </c>
      <c r="I92" s="3187"/>
      <c r="J92" s="3187"/>
      <c r="K92" s="3187"/>
      <c r="L92" s="3187"/>
      <c r="M92" s="3187"/>
      <c r="N92" s="3187"/>
      <c r="O92" s="3187"/>
      <c r="P92" s="3187"/>
      <c r="Q92" s="3187"/>
      <c r="R92" s="3187"/>
      <c r="S92" s="3187"/>
      <c r="T92" s="3187"/>
      <c r="U92" s="3187"/>
      <c r="V92" s="3187"/>
      <c r="W92" s="3187"/>
      <c r="X92" s="3187"/>
      <c r="Y92" s="3187"/>
      <c r="Z92" s="3187"/>
      <c r="AA92" s="3187"/>
      <c r="AB92" s="3187"/>
      <c r="AC92" s="3166">
        <f t="shared" si="36"/>
        <v>0</v>
      </c>
      <c r="AD92" s="3198"/>
      <c r="AE92" s="3198"/>
      <c r="AF92" s="3198"/>
      <c r="AG92" s="3198"/>
      <c r="AH92" s="3198"/>
      <c r="AI92" s="3198"/>
      <c r="AJ92" s="3198"/>
      <c r="AK92" s="3198"/>
      <c r="AL92" s="3198"/>
      <c r="AM92" s="3198"/>
      <c r="AN92" s="3198"/>
      <c r="AO92" s="3198"/>
      <c r="AP92" s="3198"/>
      <c r="AQ92" s="3198"/>
      <c r="AR92" s="3198"/>
      <c r="AS92" s="3198"/>
      <c r="AT92" s="3218"/>
      <c r="AU92" s="3219"/>
      <c r="AV92" s="488">
        <f t="shared" si="37"/>
        <v>0</v>
      </c>
      <c r="AW92" s="488">
        <f t="shared" si="38"/>
        <v>0</v>
      </c>
      <c r="AX92" s="488">
        <f t="shared" si="39"/>
        <v>0</v>
      </c>
      <c r="AY92" s="3235">
        <f t="shared" si="40"/>
        <v>0</v>
      </c>
      <c r="AZ92" s="3166">
        <f t="shared" si="41"/>
        <v>0</v>
      </c>
      <c r="BA92" s="3166">
        <f t="shared" si="42"/>
        <v>0</v>
      </c>
      <c r="BB92" s="3166">
        <f t="shared" si="43"/>
        <v>0</v>
      </c>
      <c r="BC92" s="3166">
        <f t="shared" si="44"/>
        <v>0</v>
      </c>
      <c r="BD92" s="3166">
        <f t="shared" si="45"/>
        <v>0</v>
      </c>
      <c r="BE92" s="3166">
        <f t="shared" si="46"/>
        <v>0</v>
      </c>
      <c r="BF92" s="3166">
        <f t="shared" si="47"/>
        <v>0</v>
      </c>
      <c r="BG92" s="3166">
        <f t="shared" si="48"/>
        <v>0</v>
      </c>
      <c r="BH92" s="3166">
        <f t="shared" si="49"/>
        <v>0</v>
      </c>
      <c r="BI92" s="3166">
        <f t="shared" si="50"/>
        <v>0</v>
      </c>
      <c r="BJ92" s="3166">
        <f t="shared" si="51"/>
        <v>0</v>
      </c>
      <c r="BK92" s="3166">
        <f t="shared" si="52"/>
        <v>0</v>
      </c>
      <c r="BL92" s="3166">
        <f t="shared" si="53"/>
        <v>0</v>
      </c>
      <c r="BM92" s="3166">
        <f t="shared" si="54"/>
        <v>0</v>
      </c>
      <c r="BN92" s="3166">
        <f t="shared" si="55"/>
        <v>0</v>
      </c>
      <c r="BO92" s="3166">
        <f t="shared" si="56"/>
        <v>0</v>
      </c>
      <c r="BP92" s="3166">
        <f t="shared" si="57"/>
        <v>0</v>
      </c>
      <c r="BQ92" s="3166">
        <f t="shared" si="58"/>
        <v>0</v>
      </c>
      <c r="BR92" s="3166">
        <f t="shared" si="59"/>
        <v>0</v>
      </c>
      <c r="BS92" s="3166">
        <f t="shared" si="60"/>
        <v>0</v>
      </c>
      <c r="BT92" s="3240">
        <f t="shared" si="61"/>
        <v>0</v>
      </c>
    </row>
    <row r="93" spans="1:72">
      <c r="A93" s="3163"/>
      <c r="B93" s="3164"/>
      <c r="C93" s="3164"/>
      <c r="D93" s="3176"/>
      <c r="E93" s="3166">
        <f t="shared" si="33"/>
        <v>0</v>
      </c>
      <c r="F93" s="3167"/>
      <c r="G93" s="3168">
        <f t="shared" si="34"/>
        <v>0</v>
      </c>
      <c r="H93" s="3169">
        <f t="shared" si="35"/>
        <v>0</v>
      </c>
      <c r="I93" s="3187"/>
      <c r="J93" s="3187"/>
      <c r="K93" s="3187"/>
      <c r="L93" s="3187"/>
      <c r="M93" s="3187"/>
      <c r="N93" s="3187"/>
      <c r="O93" s="3187"/>
      <c r="P93" s="3187"/>
      <c r="Q93" s="3187"/>
      <c r="R93" s="3187"/>
      <c r="S93" s="3187"/>
      <c r="T93" s="3187"/>
      <c r="U93" s="3187"/>
      <c r="V93" s="3187"/>
      <c r="W93" s="3187"/>
      <c r="X93" s="3187"/>
      <c r="Y93" s="3187"/>
      <c r="Z93" s="3187"/>
      <c r="AA93" s="3187"/>
      <c r="AB93" s="3187"/>
      <c r="AC93" s="3166">
        <f t="shared" si="36"/>
        <v>0</v>
      </c>
      <c r="AD93" s="3198"/>
      <c r="AE93" s="3198"/>
      <c r="AF93" s="3198"/>
      <c r="AG93" s="3198"/>
      <c r="AH93" s="3198"/>
      <c r="AI93" s="3198"/>
      <c r="AJ93" s="3198"/>
      <c r="AK93" s="3198"/>
      <c r="AL93" s="3198"/>
      <c r="AM93" s="3198"/>
      <c r="AN93" s="3198"/>
      <c r="AO93" s="3198"/>
      <c r="AP93" s="3198"/>
      <c r="AQ93" s="3198"/>
      <c r="AR93" s="3198"/>
      <c r="AS93" s="3198"/>
      <c r="AT93" s="3218"/>
      <c r="AU93" s="3219"/>
      <c r="AV93" s="488">
        <f t="shared" si="37"/>
        <v>0</v>
      </c>
      <c r="AW93" s="488">
        <f t="shared" si="38"/>
        <v>0</v>
      </c>
      <c r="AX93" s="488">
        <f t="shared" si="39"/>
        <v>0</v>
      </c>
      <c r="AY93" s="3235">
        <f t="shared" si="40"/>
        <v>0</v>
      </c>
      <c r="AZ93" s="3166">
        <f t="shared" si="41"/>
        <v>0</v>
      </c>
      <c r="BA93" s="3166">
        <f t="shared" si="42"/>
        <v>0</v>
      </c>
      <c r="BB93" s="3166">
        <f t="shared" si="43"/>
        <v>0</v>
      </c>
      <c r="BC93" s="3166">
        <f t="shared" si="44"/>
        <v>0</v>
      </c>
      <c r="BD93" s="3166">
        <f t="shared" si="45"/>
        <v>0</v>
      </c>
      <c r="BE93" s="3166">
        <f t="shared" si="46"/>
        <v>0</v>
      </c>
      <c r="BF93" s="3166">
        <f t="shared" si="47"/>
        <v>0</v>
      </c>
      <c r="BG93" s="3166">
        <f t="shared" si="48"/>
        <v>0</v>
      </c>
      <c r="BH93" s="3166">
        <f t="shared" si="49"/>
        <v>0</v>
      </c>
      <c r="BI93" s="3166">
        <f t="shared" si="50"/>
        <v>0</v>
      </c>
      <c r="BJ93" s="3166">
        <f t="shared" si="51"/>
        <v>0</v>
      </c>
      <c r="BK93" s="3166">
        <f t="shared" si="52"/>
        <v>0</v>
      </c>
      <c r="BL93" s="3166">
        <f t="shared" si="53"/>
        <v>0</v>
      </c>
      <c r="BM93" s="3166">
        <f t="shared" si="54"/>
        <v>0</v>
      </c>
      <c r="BN93" s="3166">
        <f t="shared" si="55"/>
        <v>0</v>
      </c>
      <c r="BO93" s="3166">
        <f t="shared" si="56"/>
        <v>0</v>
      </c>
      <c r="BP93" s="3166">
        <f t="shared" si="57"/>
        <v>0</v>
      </c>
      <c r="BQ93" s="3166">
        <f t="shared" si="58"/>
        <v>0</v>
      </c>
      <c r="BR93" s="3166">
        <f t="shared" si="59"/>
        <v>0</v>
      </c>
      <c r="BS93" s="3166">
        <f t="shared" si="60"/>
        <v>0</v>
      </c>
      <c r="BT93" s="3240">
        <f t="shared" si="61"/>
        <v>0</v>
      </c>
    </row>
    <row r="94" spans="1:72">
      <c r="A94" s="3163"/>
      <c r="B94" s="3164"/>
      <c r="C94" s="3164"/>
      <c r="D94" s="3176"/>
      <c r="E94" s="3166">
        <f t="shared" si="33"/>
        <v>0</v>
      </c>
      <c r="F94" s="3167"/>
      <c r="G94" s="3168">
        <f t="shared" si="34"/>
        <v>0</v>
      </c>
      <c r="H94" s="3169">
        <f t="shared" si="35"/>
        <v>0</v>
      </c>
      <c r="I94" s="3187"/>
      <c r="J94" s="3187"/>
      <c r="K94" s="3187"/>
      <c r="L94" s="3187"/>
      <c r="M94" s="3187"/>
      <c r="N94" s="3187"/>
      <c r="O94" s="3187"/>
      <c r="P94" s="3187"/>
      <c r="Q94" s="3187"/>
      <c r="R94" s="3187"/>
      <c r="S94" s="3187"/>
      <c r="T94" s="3187"/>
      <c r="U94" s="3187"/>
      <c r="V94" s="3187"/>
      <c r="W94" s="3187"/>
      <c r="X94" s="3187"/>
      <c r="Y94" s="3187"/>
      <c r="Z94" s="3187"/>
      <c r="AA94" s="3187"/>
      <c r="AB94" s="3187"/>
      <c r="AC94" s="3166">
        <f t="shared" si="36"/>
        <v>0</v>
      </c>
      <c r="AD94" s="3198"/>
      <c r="AE94" s="3198"/>
      <c r="AF94" s="3198"/>
      <c r="AG94" s="3198"/>
      <c r="AH94" s="3198"/>
      <c r="AI94" s="3198"/>
      <c r="AJ94" s="3198"/>
      <c r="AK94" s="3198"/>
      <c r="AL94" s="3198"/>
      <c r="AM94" s="3198"/>
      <c r="AN94" s="3198"/>
      <c r="AO94" s="3198"/>
      <c r="AP94" s="3198"/>
      <c r="AQ94" s="3198"/>
      <c r="AR94" s="3198"/>
      <c r="AS94" s="3198"/>
      <c r="AT94" s="3218"/>
      <c r="AU94" s="3219"/>
      <c r="AV94" s="488">
        <f t="shared" si="37"/>
        <v>0</v>
      </c>
      <c r="AW94" s="488">
        <f t="shared" si="38"/>
        <v>0</v>
      </c>
      <c r="AX94" s="488">
        <f t="shared" si="39"/>
        <v>0</v>
      </c>
      <c r="AY94" s="3235">
        <f t="shared" si="40"/>
        <v>0</v>
      </c>
      <c r="AZ94" s="3166">
        <f t="shared" si="41"/>
        <v>0</v>
      </c>
      <c r="BA94" s="3166">
        <f t="shared" si="42"/>
        <v>0</v>
      </c>
      <c r="BB94" s="3166">
        <f t="shared" si="43"/>
        <v>0</v>
      </c>
      <c r="BC94" s="3166">
        <f t="shared" si="44"/>
        <v>0</v>
      </c>
      <c r="BD94" s="3166">
        <f t="shared" si="45"/>
        <v>0</v>
      </c>
      <c r="BE94" s="3166">
        <f t="shared" si="46"/>
        <v>0</v>
      </c>
      <c r="BF94" s="3166">
        <f t="shared" si="47"/>
        <v>0</v>
      </c>
      <c r="BG94" s="3166">
        <f t="shared" si="48"/>
        <v>0</v>
      </c>
      <c r="BH94" s="3166">
        <f t="shared" si="49"/>
        <v>0</v>
      </c>
      <c r="BI94" s="3166">
        <f t="shared" si="50"/>
        <v>0</v>
      </c>
      <c r="BJ94" s="3166">
        <f t="shared" si="51"/>
        <v>0</v>
      </c>
      <c r="BK94" s="3166">
        <f t="shared" si="52"/>
        <v>0</v>
      </c>
      <c r="BL94" s="3166">
        <f t="shared" si="53"/>
        <v>0</v>
      </c>
      <c r="BM94" s="3166">
        <f t="shared" si="54"/>
        <v>0</v>
      </c>
      <c r="BN94" s="3166">
        <f t="shared" si="55"/>
        <v>0</v>
      </c>
      <c r="BO94" s="3166">
        <f t="shared" si="56"/>
        <v>0</v>
      </c>
      <c r="BP94" s="3166">
        <f t="shared" si="57"/>
        <v>0</v>
      </c>
      <c r="BQ94" s="3166">
        <f t="shared" si="58"/>
        <v>0</v>
      </c>
      <c r="BR94" s="3166">
        <f t="shared" si="59"/>
        <v>0</v>
      </c>
      <c r="BS94" s="3166">
        <f t="shared" si="60"/>
        <v>0</v>
      </c>
      <c r="BT94" s="3240">
        <f t="shared" si="61"/>
        <v>0</v>
      </c>
    </row>
    <row r="95" spans="1:72">
      <c r="A95" s="3163"/>
      <c r="B95" s="3164"/>
      <c r="C95" s="3164"/>
      <c r="D95" s="3176"/>
      <c r="E95" s="3166">
        <f t="shared" si="33"/>
        <v>0</v>
      </c>
      <c r="F95" s="3167"/>
      <c r="G95" s="3168">
        <f t="shared" si="34"/>
        <v>0</v>
      </c>
      <c r="H95" s="3169">
        <f t="shared" si="35"/>
        <v>0</v>
      </c>
      <c r="I95" s="3187"/>
      <c r="J95" s="3187"/>
      <c r="K95" s="3187"/>
      <c r="L95" s="3187"/>
      <c r="M95" s="3187"/>
      <c r="N95" s="3187"/>
      <c r="O95" s="3187"/>
      <c r="P95" s="3187"/>
      <c r="Q95" s="3187"/>
      <c r="R95" s="3187"/>
      <c r="S95" s="3187"/>
      <c r="T95" s="3187"/>
      <c r="U95" s="3187"/>
      <c r="V95" s="3187"/>
      <c r="W95" s="3187"/>
      <c r="X95" s="3187"/>
      <c r="Y95" s="3187"/>
      <c r="Z95" s="3187"/>
      <c r="AA95" s="3187"/>
      <c r="AB95" s="3187"/>
      <c r="AC95" s="3166">
        <f t="shared" si="36"/>
        <v>0</v>
      </c>
      <c r="AD95" s="3198"/>
      <c r="AE95" s="3198"/>
      <c r="AF95" s="3198"/>
      <c r="AG95" s="3198"/>
      <c r="AH95" s="3198"/>
      <c r="AI95" s="3198"/>
      <c r="AJ95" s="3198"/>
      <c r="AK95" s="3198"/>
      <c r="AL95" s="3198"/>
      <c r="AM95" s="3198"/>
      <c r="AN95" s="3198"/>
      <c r="AO95" s="3198"/>
      <c r="AP95" s="3198"/>
      <c r="AQ95" s="3198"/>
      <c r="AR95" s="3198"/>
      <c r="AS95" s="3198"/>
      <c r="AT95" s="3218"/>
      <c r="AU95" s="3219"/>
      <c r="AV95" s="488">
        <f t="shared" si="37"/>
        <v>0</v>
      </c>
      <c r="AW95" s="488">
        <f t="shared" si="38"/>
        <v>0</v>
      </c>
      <c r="AX95" s="488">
        <f t="shared" si="39"/>
        <v>0</v>
      </c>
      <c r="AY95" s="3235">
        <f t="shared" si="40"/>
        <v>0</v>
      </c>
      <c r="AZ95" s="3166">
        <f t="shared" si="41"/>
        <v>0</v>
      </c>
      <c r="BA95" s="3166">
        <f t="shared" si="42"/>
        <v>0</v>
      </c>
      <c r="BB95" s="3166">
        <f t="shared" si="43"/>
        <v>0</v>
      </c>
      <c r="BC95" s="3166">
        <f t="shared" si="44"/>
        <v>0</v>
      </c>
      <c r="BD95" s="3166">
        <f t="shared" si="45"/>
        <v>0</v>
      </c>
      <c r="BE95" s="3166">
        <f t="shared" si="46"/>
        <v>0</v>
      </c>
      <c r="BF95" s="3166">
        <f t="shared" si="47"/>
        <v>0</v>
      </c>
      <c r="BG95" s="3166">
        <f t="shared" si="48"/>
        <v>0</v>
      </c>
      <c r="BH95" s="3166">
        <f t="shared" si="49"/>
        <v>0</v>
      </c>
      <c r="BI95" s="3166">
        <f t="shared" si="50"/>
        <v>0</v>
      </c>
      <c r="BJ95" s="3166">
        <f t="shared" si="51"/>
        <v>0</v>
      </c>
      <c r="BK95" s="3166">
        <f t="shared" si="52"/>
        <v>0</v>
      </c>
      <c r="BL95" s="3166">
        <f t="shared" si="53"/>
        <v>0</v>
      </c>
      <c r="BM95" s="3166">
        <f t="shared" si="54"/>
        <v>0</v>
      </c>
      <c r="BN95" s="3166">
        <f t="shared" si="55"/>
        <v>0</v>
      </c>
      <c r="BO95" s="3166">
        <f t="shared" si="56"/>
        <v>0</v>
      </c>
      <c r="BP95" s="3166">
        <f t="shared" si="57"/>
        <v>0</v>
      </c>
      <c r="BQ95" s="3166">
        <f t="shared" si="58"/>
        <v>0</v>
      </c>
      <c r="BR95" s="3166">
        <f t="shared" si="59"/>
        <v>0</v>
      </c>
      <c r="BS95" s="3166">
        <f t="shared" si="60"/>
        <v>0</v>
      </c>
      <c r="BT95" s="3240">
        <f t="shared" si="61"/>
        <v>0</v>
      </c>
    </row>
    <row r="96" spans="1:72">
      <c r="A96" s="3163"/>
      <c r="B96" s="3164"/>
      <c r="C96" s="3164"/>
      <c r="D96" s="3176"/>
      <c r="E96" s="3166">
        <f t="shared" si="33"/>
        <v>0</v>
      </c>
      <c r="F96" s="3167"/>
      <c r="G96" s="3168">
        <f t="shared" si="34"/>
        <v>0</v>
      </c>
      <c r="H96" s="3169">
        <f t="shared" si="35"/>
        <v>0</v>
      </c>
      <c r="I96" s="3187"/>
      <c r="J96" s="3187"/>
      <c r="K96" s="3187"/>
      <c r="L96" s="3187"/>
      <c r="M96" s="3187"/>
      <c r="N96" s="3187"/>
      <c r="O96" s="3187"/>
      <c r="P96" s="3187"/>
      <c r="Q96" s="3187"/>
      <c r="R96" s="3187"/>
      <c r="S96" s="3187"/>
      <c r="T96" s="3187"/>
      <c r="U96" s="3187"/>
      <c r="V96" s="3187"/>
      <c r="W96" s="3187"/>
      <c r="X96" s="3187"/>
      <c r="Y96" s="3187"/>
      <c r="Z96" s="3187"/>
      <c r="AA96" s="3187"/>
      <c r="AB96" s="3187"/>
      <c r="AC96" s="3166">
        <f t="shared" si="36"/>
        <v>0</v>
      </c>
      <c r="AD96" s="3198"/>
      <c r="AE96" s="3198"/>
      <c r="AF96" s="3198"/>
      <c r="AG96" s="3198"/>
      <c r="AH96" s="3198"/>
      <c r="AI96" s="3198"/>
      <c r="AJ96" s="3198"/>
      <c r="AK96" s="3198"/>
      <c r="AL96" s="3198"/>
      <c r="AM96" s="3198"/>
      <c r="AN96" s="3198"/>
      <c r="AO96" s="3198"/>
      <c r="AP96" s="3198"/>
      <c r="AQ96" s="3198"/>
      <c r="AR96" s="3198"/>
      <c r="AS96" s="3198"/>
      <c r="AT96" s="3218"/>
      <c r="AU96" s="3219"/>
      <c r="AV96" s="488">
        <f t="shared" si="37"/>
        <v>0</v>
      </c>
      <c r="AW96" s="488">
        <f t="shared" si="38"/>
        <v>0</v>
      </c>
      <c r="AX96" s="488">
        <f t="shared" si="39"/>
        <v>0</v>
      </c>
      <c r="AY96" s="3235">
        <f t="shared" si="40"/>
        <v>0</v>
      </c>
      <c r="AZ96" s="3166">
        <f t="shared" si="41"/>
        <v>0</v>
      </c>
      <c r="BA96" s="3166">
        <f t="shared" si="42"/>
        <v>0</v>
      </c>
      <c r="BB96" s="3166">
        <f t="shared" si="43"/>
        <v>0</v>
      </c>
      <c r="BC96" s="3166">
        <f t="shared" si="44"/>
        <v>0</v>
      </c>
      <c r="BD96" s="3166">
        <f t="shared" si="45"/>
        <v>0</v>
      </c>
      <c r="BE96" s="3166">
        <f t="shared" si="46"/>
        <v>0</v>
      </c>
      <c r="BF96" s="3166">
        <f t="shared" si="47"/>
        <v>0</v>
      </c>
      <c r="BG96" s="3166">
        <f t="shared" si="48"/>
        <v>0</v>
      </c>
      <c r="BH96" s="3166">
        <f t="shared" si="49"/>
        <v>0</v>
      </c>
      <c r="BI96" s="3166">
        <f t="shared" si="50"/>
        <v>0</v>
      </c>
      <c r="BJ96" s="3166">
        <f t="shared" si="51"/>
        <v>0</v>
      </c>
      <c r="BK96" s="3166">
        <f t="shared" si="52"/>
        <v>0</v>
      </c>
      <c r="BL96" s="3166">
        <f t="shared" si="53"/>
        <v>0</v>
      </c>
      <c r="BM96" s="3166">
        <f t="shared" si="54"/>
        <v>0</v>
      </c>
      <c r="BN96" s="3166">
        <f t="shared" si="55"/>
        <v>0</v>
      </c>
      <c r="BO96" s="3166">
        <f t="shared" si="56"/>
        <v>0</v>
      </c>
      <c r="BP96" s="3166">
        <f t="shared" si="57"/>
        <v>0</v>
      </c>
      <c r="BQ96" s="3166">
        <f t="shared" si="58"/>
        <v>0</v>
      </c>
      <c r="BR96" s="3166">
        <f t="shared" si="59"/>
        <v>0</v>
      </c>
      <c r="BS96" s="3166">
        <f t="shared" si="60"/>
        <v>0</v>
      </c>
      <c r="BT96" s="3240">
        <f t="shared" si="61"/>
        <v>0</v>
      </c>
    </row>
    <row r="97" spans="1:72">
      <c r="A97" s="3163"/>
      <c r="B97" s="3164"/>
      <c r="C97" s="3164"/>
      <c r="D97" s="3176"/>
      <c r="E97" s="3166">
        <f t="shared" si="33"/>
        <v>0</v>
      </c>
      <c r="F97" s="3167"/>
      <c r="G97" s="3168">
        <f t="shared" si="34"/>
        <v>0</v>
      </c>
      <c r="H97" s="3169">
        <f t="shared" si="35"/>
        <v>0</v>
      </c>
      <c r="I97" s="3187"/>
      <c r="J97" s="3187"/>
      <c r="K97" s="3187"/>
      <c r="L97" s="3187"/>
      <c r="M97" s="3187"/>
      <c r="N97" s="3187"/>
      <c r="O97" s="3187"/>
      <c r="P97" s="3187"/>
      <c r="Q97" s="3187"/>
      <c r="R97" s="3187"/>
      <c r="S97" s="3187"/>
      <c r="T97" s="3187"/>
      <c r="U97" s="3187"/>
      <c r="V97" s="3187"/>
      <c r="W97" s="3187"/>
      <c r="X97" s="3187"/>
      <c r="Y97" s="3187"/>
      <c r="Z97" s="3187"/>
      <c r="AA97" s="3187"/>
      <c r="AB97" s="3187"/>
      <c r="AC97" s="3166">
        <f t="shared" si="36"/>
        <v>0</v>
      </c>
      <c r="AD97" s="3198"/>
      <c r="AE97" s="3198"/>
      <c r="AF97" s="3198"/>
      <c r="AG97" s="3198"/>
      <c r="AH97" s="3198"/>
      <c r="AI97" s="3198"/>
      <c r="AJ97" s="3198"/>
      <c r="AK97" s="3198"/>
      <c r="AL97" s="3198"/>
      <c r="AM97" s="3198"/>
      <c r="AN97" s="3198"/>
      <c r="AO97" s="3198"/>
      <c r="AP97" s="3198"/>
      <c r="AQ97" s="3198"/>
      <c r="AR97" s="3198"/>
      <c r="AS97" s="3198"/>
      <c r="AT97" s="3218"/>
      <c r="AU97" s="3219"/>
      <c r="AV97" s="488">
        <f t="shared" si="37"/>
        <v>0</v>
      </c>
      <c r="AW97" s="488">
        <f t="shared" si="38"/>
        <v>0</v>
      </c>
      <c r="AX97" s="488">
        <f t="shared" si="39"/>
        <v>0</v>
      </c>
      <c r="AY97" s="3235">
        <f t="shared" si="40"/>
        <v>0</v>
      </c>
      <c r="AZ97" s="3166">
        <f t="shared" si="41"/>
        <v>0</v>
      </c>
      <c r="BA97" s="3166">
        <f t="shared" si="42"/>
        <v>0</v>
      </c>
      <c r="BB97" s="3166">
        <f t="shared" si="43"/>
        <v>0</v>
      </c>
      <c r="BC97" s="3166">
        <f t="shared" si="44"/>
        <v>0</v>
      </c>
      <c r="BD97" s="3166">
        <f t="shared" si="45"/>
        <v>0</v>
      </c>
      <c r="BE97" s="3166">
        <f t="shared" si="46"/>
        <v>0</v>
      </c>
      <c r="BF97" s="3166">
        <f t="shared" si="47"/>
        <v>0</v>
      </c>
      <c r="BG97" s="3166">
        <f t="shared" si="48"/>
        <v>0</v>
      </c>
      <c r="BH97" s="3166">
        <f t="shared" si="49"/>
        <v>0</v>
      </c>
      <c r="BI97" s="3166">
        <f t="shared" si="50"/>
        <v>0</v>
      </c>
      <c r="BJ97" s="3166">
        <f t="shared" si="51"/>
        <v>0</v>
      </c>
      <c r="BK97" s="3166">
        <f t="shared" si="52"/>
        <v>0</v>
      </c>
      <c r="BL97" s="3166">
        <f t="shared" si="53"/>
        <v>0</v>
      </c>
      <c r="BM97" s="3166">
        <f t="shared" si="54"/>
        <v>0</v>
      </c>
      <c r="BN97" s="3166">
        <f t="shared" si="55"/>
        <v>0</v>
      </c>
      <c r="BO97" s="3166">
        <f t="shared" si="56"/>
        <v>0</v>
      </c>
      <c r="BP97" s="3166">
        <f t="shared" si="57"/>
        <v>0</v>
      </c>
      <c r="BQ97" s="3166">
        <f t="shared" si="58"/>
        <v>0</v>
      </c>
      <c r="BR97" s="3166">
        <f t="shared" si="59"/>
        <v>0</v>
      </c>
      <c r="BS97" s="3166">
        <f t="shared" si="60"/>
        <v>0</v>
      </c>
      <c r="BT97" s="3240">
        <f t="shared" si="61"/>
        <v>0</v>
      </c>
    </row>
    <row r="98" spans="1:72">
      <c r="A98" s="3163"/>
      <c r="B98" s="3164"/>
      <c r="C98" s="3164"/>
      <c r="D98" s="3176"/>
      <c r="E98" s="3166">
        <f t="shared" si="33"/>
        <v>0</v>
      </c>
      <c r="F98" s="3167"/>
      <c r="G98" s="3168">
        <f t="shared" si="34"/>
        <v>0</v>
      </c>
      <c r="H98" s="3169">
        <f t="shared" si="35"/>
        <v>0</v>
      </c>
      <c r="I98" s="3187"/>
      <c r="J98" s="3187"/>
      <c r="K98" s="3187"/>
      <c r="L98" s="3187"/>
      <c r="M98" s="3187"/>
      <c r="N98" s="3187"/>
      <c r="O98" s="3187"/>
      <c r="P98" s="3187"/>
      <c r="Q98" s="3187"/>
      <c r="R98" s="3187"/>
      <c r="S98" s="3187"/>
      <c r="T98" s="3187"/>
      <c r="U98" s="3187"/>
      <c r="V98" s="3187"/>
      <c r="W98" s="3187"/>
      <c r="X98" s="3187"/>
      <c r="Y98" s="3187"/>
      <c r="Z98" s="3187"/>
      <c r="AA98" s="3187"/>
      <c r="AB98" s="3187"/>
      <c r="AC98" s="3166">
        <f t="shared" si="36"/>
        <v>0</v>
      </c>
      <c r="AD98" s="3198"/>
      <c r="AE98" s="3198"/>
      <c r="AF98" s="3198"/>
      <c r="AG98" s="3198"/>
      <c r="AH98" s="3198"/>
      <c r="AI98" s="3198"/>
      <c r="AJ98" s="3198"/>
      <c r="AK98" s="3198"/>
      <c r="AL98" s="3198"/>
      <c r="AM98" s="3198"/>
      <c r="AN98" s="3198"/>
      <c r="AO98" s="3198"/>
      <c r="AP98" s="3198"/>
      <c r="AQ98" s="3198"/>
      <c r="AR98" s="3198"/>
      <c r="AS98" s="3198"/>
      <c r="AT98" s="3218"/>
      <c r="AU98" s="3219"/>
      <c r="AV98" s="488">
        <f t="shared" si="37"/>
        <v>0</v>
      </c>
      <c r="AW98" s="488">
        <f t="shared" si="38"/>
        <v>0</v>
      </c>
      <c r="AX98" s="488">
        <f t="shared" si="39"/>
        <v>0</v>
      </c>
      <c r="AY98" s="3235">
        <f t="shared" si="40"/>
        <v>0</v>
      </c>
      <c r="AZ98" s="3166">
        <f t="shared" si="41"/>
        <v>0</v>
      </c>
      <c r="BA98" s="3166">
        <f t="shared" si="42"/>
        <v>0</v>
      </c>
      <c r="BB98" s="3166">
        <f t="shared" si="43"/>
        <v>0</v>
      </c>
      <c r="BC98" s="3166">
        <f t="shared" si="44"/>
        <v>0</v>
      </c>
      <c r="BD98" s="3166">
        <f t="shared" si="45"/>
        <v>0</v>
      </c>
      <c r="BE98" s="3166">
        <f t="shared" si="46"/>
        <v>0</v>
      </c>
      <c r="BF98" s="3166">
        <f t="shared" si="47"/>
        <v>0</v>
      </c>
      <c r="BG98" s="3166">
        <f t="shared" si="48"/>
        <v>0</v>
      </c>
      <c r="BH98" s="3166">
        <f t="shared" si="49"/>
        <v>0</v>
      </c>
      <c r="BI98" s="3166">
        <f t="shared" si="50"/>
        <v>0</v>
      </c>
      <c r="BJ98" s="3166">
        <f t="shared" si="51"/>
        <v>0</v>
      </c>
      <c r="BK98" s="3166">
        <f t="shared" si="52"/>
        <v>0</v>
      </c>
      <c r="BL98" s="3166">
        <f t="shared" si="53"/>
        <v>0</v>
      </c>
      <c r="BM98" s="3166">
        <f t="shared" si="54"/>
        <v>0</v>
      </c>
      <c r="BN98" s="3166">
        <f t="shared" si="55"/>
        <v>0</v>
      </c>
      <c r="BO98" s="3166">
        <f t="shared" si="56"/>
        <v>0</v>
      </c>
      <c r="BP98" s="3166">
        <f t="shared" si="57"/>
        <v>0</v>
      </c>
      <c r="BQ98" s="3166">
        <f t="shared" si="58"/>
        <v>0</v>
      </c>
      <c r="BR98" s="3166">
        <f t="shared" si="59"/>
        <v>0</v>
      </c>
      <c r="BS98" s="3166">
        <f t="shared" si="60"/>
        <v>0</v>
      </c>
      <c r="BT98" s="3240">
        <f t="shared" si="61"/>
        <v>0</v>
      </c>
    </row>
    <row r="99" spans="1:72">
      <c r="A99" s="3163"/>
      <c r="B99" s="3164"/>
      <c r="C99" s="3164"/>
      <c r="D99" s="3176"/>
      <c r="E99" s="3166">
        <f t="shared" si="33"/>
        <v>0</v>
      </c>
      <c r="F99" s="3167"/>
      <c r="G99" s="3168">
        <f t="shared" si="34"/>
        <v>0</v>
      </c>
      <c r="H99" s="3169">
        <f t="shared" si="35"/>
        <v>0</v>
      </c>
      <c r="I99" s="3187"/>
      <c r="J99" s="3187"/>
      <c r="K99" s="3187"/>
      <c r="L99" s="3187"/>
      <c r="M99" s="3187"/>
      <c r="N99" s="3187"/>
      <c r="O99" s="3187"/>
      <c r="P99" s="3187"/>
      <c r="Q99" s="3187"/>
      <c r="R99" s="3187"/>
      <c r="S99" s="3187"/>
      <c r="T99" s="3187"/>
      <c r="U99" s="3187"/>
      <c r="V99" s="3187"/>
      <c r="W99" s="3187"/>
      <c r="X99" s="3187"/>
      <c r="Y99" s="3187"/>
      <c r="Z99" s="3187"/>
      <c r="AA99" s="3187"/>
      <c r="AB99" s="3187"/>
      <c r="AC99" s="3166">
        <f t="shared" si="36"/>
        <v>0</v>
      </c>
      <c r="AD99" s="3198"/>
      <c r="AE99" s="3198"/>
      <c r="AF99" s="3198"/>
      <c r="AG99" s="3198"/>
      <c r="AH99" s="3198"/>
      <c r="AI99" s="3198"/>
      <c r="AJ99" s="3198"/>
      <c r="AK99" s="3198"/>
      <c r="AL99" s="3198"/>
      <c r="AM99" s="3198"/>
      <c r="AN99" s="3198"/>
      <c r="AO99" s="3198"/>
      <c r="AP99" s="3198"/>
      <c r="AQ99" s="3198"/>
      <c r="AR99" s="3198"/>
      <c r="AS99" s="3198"/>
      <c r="AT99" s="3218"/>
      <c r="AU99" s="3219"/>
      <c r="AV99" s="488">
        <f t="shared" si="37"/>
        <v>0</v>
      </c>
      <c r="AW99" s="488">
        <f t="shared" si="38"/>
        <v>0</v>
      </c>
      <c r="AX99" s="488">
        <f t="shared" si="39"/>
        <v>0</v>
      </c>
      <c r="AY99" s="3235">
        <f t="shared" si="40"/>
        <v>0</v>
      </c>
      <c r="AZ99" s="3166">
        <f t="shared" si="41"/>
        <v>0</v>
      </c>
      <c r="BA99" s="3166">
        <f t="shared" si="42"/>
        <v>0</v>
      </c>
      <c r="BB99" s="3166">
        <f t="shared" si="43"/>
        <v>0</v>
      </c>
      <c r="BC99" s="3166">
        <f t="shared" si="44"/>
        <v>0</v>
      </c>
      <c r="BD99" s="3166">
        <f t="shared" si="45"/>
        <v>0</v>
      </c>
      <c r="BE99" s="3166">
        <f t="shared" si="46"/>
        <v>0</v>
      </c>
      <c r="BF99" s="3166">
        <f t="shared" si="47"/>
        <v>0</v>
      </c>
      <c r="BG99" s="3166">
        <f t="shared" si="48"/>
        <v>0</v>
      </c>
      <c r="BH99" s="3166">
        <f t="shared" si="49"/>
        <v>0</v>
      </c>
      <c r="BI99" s="3166">
        <f t="shared" si="50"/>
        <v>0</v>
      </c>
      <c r="BJ99" s="3166">
        <f t="shared" si="51"/>
        <v>0</v>
      </c>
      <c r="BK99" s="3166">
        <f t="shared" si="52"/>
        <v>0</v>
      </c>
      <c r="BL99" s="3166">
        <f t="shared" si="53"/>
        <v>0</v>
      </c>
      <c r="BM99" s="3166">
        <f t="shared" si="54"/>
        <v>0</v>
      </c>
      <c r="BN99" s="3166">
        <f t="shared" si="55"/>
        <v>0</v>
      </c>
      <c r="BO99" s="3166">
        <f t="shared" si="56"/>
        <v>0</v>
      </c>
      <c r="BP99" s="3166">
        <f t="shared" si="57"/>
        <v>0</v>
      </c>
      <c r="BQ99" s="3166">
        <f t="shared" si="58"/>
        <v>0</v>
      </c>
      <c r="BR99" s="3166">
        <f t="shared" si="59"/>
        <v>0</v>
      </c>
      <c r="BS99" s="3166">
        <f t="shared" si="60"/>
        <v>0</v>
      </c>
      <c r="BT99" s="3240">
        <f t="shared" si="61"/>
        <v>0</v>
      </c>
    </row>
    <row r="100" spans="1:72">
      <c r="A100" s="3163"/>
      <c r="B100" s="3164"/>
      <c r="C100" s="3164"/>
      <c r="D100" s="3176"/>
      <c r="E100" s="3166">
        <f t="shared" si="33"/>
        <v>0</v>
      </c>
      <c r="F100" s="3167"/>
      <c r="G100" s="3168">
        <f t="shared" si="34"/>
        <v>0</v>
      </c>
      <c r="H100" s="3169">
        <f t="shared" si="35"/>
        <v>0</v>
      </c>
      <c r="I100" s="3187"/>
      <c r="J100" s="3187"/>
      <c r="K100" s="3187"/>
      <c r="L100" s="3187"/>
      <c r="M100" s="3187"/>
      <c r="N100" s="3187"/>
      <c r="O100" s="3187"/>
      <c r="P100" s="3187"/>
      <c r="Q100" s="3187"/>
      <c r="R100" s="3187"/>
      <c r="S100" s="3187"/>
      <c r="T100" s="3187"/>
      <c r="U100" s="3187"/>
      <c r="V100" s="3187"/>
      <c r="W100" s="3187"/>
      <c r="X100" s="3187"/>
      <c r="Y100" s="3187"/>
      <c r="Z100" s="3187"/>
      <c r="AA100" s="3187"/>
      <c r="AB100" s="3187"/>
      <c r="AC100" s="3166">
        <f t="shared" si="36"/>
        <v>0</v>
      </c>
      <c r="AD100" s="3198"/>
      <c r="AE100" s="3198"/>
      <c r="AF100" s="3198"/>
      <c r="AG100" s="3198"/>
      <c r="AH100" s="3198"/>
      <c r="AI100" s="3198"/>
      <c r="AJ100" s="3198"/>
      <c r="AK100" s="3198"/>
      <c r="AL100" s="3198"/>
      <c r="AM100" s="3198"/>
      <c r="AN100" s="3198"/>
      <c r="AO100" s="3198"/>
      <c r="AP100" s="3198"/>
      <c r="AQ100" s="3198"/>
      <c r="AR100" s="3198"/>
      <c r="AS100" s="3198"/>
      <c r="AT100" s="3218"/>
      <c r="AU100" s="3219"/>
      <c r="AV100" s="488">
        <f t="shared" si="37"/>
        <v>0</v>
      </c>
      <c r="AW100" s="488">
        <f t="shared" si="38"/>
        <v>0</v>
      </c>
      <c r="AX100" s="488">
        <f t="shared" si="39"/>
        <v>0</v>
      </c>
      <c r="AY100" s="3235">
        <f t="shared" si="40"/>
        <v>0</v>
      </c>
      <c r="AZ100" s="3166">
        <f t="shared" si="41"/>
        <v>0</v>
      </c>
      <c r="BA100" s="3166">
        <f t="shared" si="42"/>
        <v>0</v>
      </c>
      <c r="BB100" s="3166">
        <f t="shared" si="43"/>
        <v>0</v>
      </c>
      <c r="BC100" s="3166">
        <f t="shared" si="44"/>
        <v>0</v>
      </c>
      <c r="BD100" s="3166">
        <f t="shared" si="45"/>
        <v>0</v>
      </c>
      <c r="BE100" s="3166">
        <f t="shared" si="46"/>
        <v>0</v>
      </c>
      <c r="BF100" s="3166">
        <f t="shared" si="47"/>
        <v>0</v>
      </c>
      <c r="BG100" s="3166">
        <f t="shared" si="48"/>
        <v>0</v>
      </c>
      <c r="BH100" s="3166">
        <f t="shared" si="49"/>
        <v>0</v>
      </c>
      <c r="BI100" s="3166">
        <f t="shared" si="50"/>
        <v>0</v>
      </c>
      <c r="BJ100" s="3166">
        <f t="shared" si="51"/>
        <v>0</v>
      </c>
      <c r="BK100" s="3166">
        <f t="shared" si="52"/>
        <v>0</v>
      </c>
      <c r="BL100" s="3166">
        <f t="shared" si="53"/>
        <v>0</v>
      </c>
      <c r="BM100" s="3166">
        <f t="shared" si="54"/>
        <v>0</v>
      </c>
      <c r="BN100" s="3166">
        <f t="shared" si="55"/>
        <v>0</v>
      </c>
      <c r="BO100" s="3166">
        <f t="shared" si="56"/>
        <v>0</v>
      </c>
      <c r="BP100" s="3166">
        <f t="shared" si="57"/>
        <v>0</v>
      </c>
      <c r="BQ100" s="3166">
        <f t="shared" si="58"/>
        <v>0</v>
      </c>
      <c r="BR100" s="3166">
        <f t="shared" si="59"/>
        <v>0</v>
      </c>
      <c r="BS100" s="3166">
        <f t="shared" si="60"/>
        <v>0</v>
      </c>
      <c r="BT100" s="3240">
        <f t="shared" si="61"/>
        <v>0</v>
      </c>
    </row>
    <row r="101" spans="1:72">
      <c r="A101" s="3163"/>
      <c r="B101" s="3164"/>
      <c r="C101" s="3164"/>
      <c r="D101" s="3176"/>
      <c r="E101" s="3166">
        <f t="shared" si="33"/>
        <v>0</v>
      </c>
      <c r="F101" s="3167"/>
      <c r="G101" s="3168">
        <f t="shared" si="34"/>
        <v>0</v>
      </c>
      <c r="H101" s="3169">
        <f t="shared" si="35"/>
        <v>0</v>
      </c>
      <c r="I101" s="3187"/>
      <c r="J101" s="3187"/>
      <c r="K101" s="3187"/>
      <c r="L101" s="3187"/>
      <c r="M101" s="3187"/>
      <c r="N101" s="3187"/>
      <c r="O101" s="3187"/>
      <c r="P101" s="3187"/>
      <c r="Q101" s="3187"/>
      <c r="R101" s="3187"/>
      <c r="S101" s="3187"/>
      <c r="T101" s="3187"/>
      <c r="U101" s="3187"/>
      <c r="V101" s="3187"/>
      <c r="W101" s="3187"/>
      <c r="X101" s="3187"/>
      <c r="Y101" s="3187"/>
      <c r="Z101" s="3187"/>
      <c r="AA101" s="3187"/>
      <c r="AB101" s="3187"/>
      <c r="AC101" s="3166">
        <f t="shared" si="36"/>
        <v>0</v>
      </c>
      <c r="AD101" s="3198"/>
      <c r="AE101" s="3198"/>
      <c r="AF101" s="3198"/>
      <c r="AG101" s="3198"/>
      <c r="AH101" s="3198"/>
      <c r="AI101" s="3198"/>
      <c r="AJ101" s="3198"/>
      <c r="AK101" s="3198"/>
      <c r="AL101" s="3198"/>
      <c r="AM101" s="3198"/>
      <c r="AN101" s="3198"/>
      <c r="AO101" s="3198"/>
      <c r="AP101" s="3198"/>
      <c r="AQ101" s="3198"/>
      <c r="AR101" s="3198"/>
      <c r="AS101" s="3198"/>
      <c r="AT101" s="3218"/>
      <c r="AU101" s="3219"/>
      <c r="AV101" s="488">
        <f t="shared" si="37"/>
        <v>0</v>
      </c>
      <c r="AW101" s="488">
        <f t="shared" si="38"/>
        <v>0</v>
      </c>
      <c r="AX101" s="488">
        <f t="shared" si="39"/>
        <v>0</v>
      </c>
      <c r="AY101" s="3235">
        <f t="shared" si="40"/>
        <v>0</v>
      </c>
      <c r="AZ101" s="3166">
        <f t="shared" si="41"/>
        <v>0</v>
      </c>
      <c r="BA101" s="3166">
        <f t="shared" si="42"/>
        <v>0</v>
      </c>
      <c r="BB101" s="3166">
        <f t="shared" si="43"/>
        <v>0</v>
      </c>
      <c r="BC101" s="3166">
        <f t="shared" si="44"/>
        <v>0</v>
      </c>
      <c r="BD101" s="3166">
        <f t="shared" si="45"/>
        <v>0</v>
      </c>
      <c r="BE101" s="3166">
        <f t="shared" si="46"/>
        <v>0</v>
      </c>
      <c r="BF101" s="3166">
        <f t="shared" si="47"/>
        <v>0</v>
      </c>
      <c r="BG101" s="3166">
        <f t="shared" si="48"/>
        <v>0</v>
      </c>
      <c r="BH101" s="3166">
        <f t="shared" si="49"/>
        <v>0</v>
      </c>
      <c r="BI101" s="3166">
        <f t="shared" si="50"/>
        <v>0</v>
      </c>
      <c r="BJ101" s="3166">
        <f t="shared" si="51"/>
        <v>0</v>
      </c>
      <c r="BK101" s="3166">
        <f t="shared" si="52"/>
        <v>0</v>
      </c>
      <c r="BL101" s="3166">
        <f t="shared" si="53"/>
        <v>0</v>
      </c>
      <c r="BM101" s="3166">
        <f t="shared" si="54"/>
        <v>0</v>
      </c>
      <c r="BN101" s="3166">
        <f t="shared" si="55"/>
        <v>0</v>
      </c>
      <c r="BO101" s="3166">
        <f t="shared" si="56"/>
        <v>0</v>
      </c>
      <c r="BP101" s="3166">
        <f t="shared" si="57"/>
        <v>0</v>
      </c>
      <c r="BQ101" s="3166">
        <f t="shared" si="58"/>
        <v>0</v>
      </c>
      <c r="BR101" s="3166">
        <f t="shared" si="59"/>
        <v>0</v>
      </c>
      <c r="BS101" s="3166">
        <f t="shared" si="60"/>
        <v>0</v>
      </c>
      <c r="BT101" s="3240">
        <f t="shared" si="61"/>
        <v>0</v>
      </c>
    </row>
    <row r="102" spans="1:72">
      <c r="A102" s="3163"/>
      <c r="B102" s="3164"/>
      <c r="C102" s="3164"/>
      <c r="D102" s="3176"/>
      <c r="E102" s="3166">
        <f t="shared" si="33"/>
        <v>0</v>
      </c>
      <c r="F102" s="3167"/>
      <c r="G102" s="3168">
        <f t="shared" si="34"/>
        <v>0</v>
      </c>
      <c r="H102" s="3169">
        <f t="shared" si="35"/>
        <v>0</v>
      </c>
      <c r="I102" s="3187"/>
      <c r="J102" s="3187"/>
      <c r="K102" s="3187"/>
      <c r="L102" s="3187"/>
      <c r="M102" s="3187"/>
      <c r="N102" s="3187"/>
      <c r="O102" s="3187"/>
      <c r="P102" s="3187"/>
      <c r="Q102" s="3187"/>
      <c r="R102" s="3187"/>
      <c r="S102" s="3187"/>
      <c r="T102" s="3187"/>
      <c r="U102" s="3187"/>
      <c r="V102" s="3187"/>
      <c r="W102" s="3187"/>
      <c r="X102" s="3187"/>
      <c r="Y102" s="3187"/>
      <c r="Z102" s="3187"/>
      <c r="AA102" s="3187"/>
      <c r="AB102" s="3187"/>
      <c r="AC102" s="3166">
        <f t="shared" si="36"/>
        <v>0</v>
      </c>
      <c r="AD102" s="3198"/>
      <c r="AE102" s="3198"/>
      <c r="AF102" s="3198"/>
      <c r="AG102" s="3198"/>
      <c r="AH102" s="3198"/>
      <c r="AI102" s="3198"/>
      <c r="AJ102" s="3198"/>
      <c r="AK102" s="3198"/>
      <c r="AL102" s="3198"/>
      <c r="AM102" s="3198"/>
      <c r="AN102" s="3198"/>
      <c r="AO102" s="3198"/>
      <c r="AP102" s="3198"/>
      <c r="AQ102" s="3198"/>
      <c r="AR102" s="3198"/>
      <c r="AS102" s="3198"/>
      <c r="AT102" s="3218"/>
      <c r="AU102" s="3219"/>
      <c r="AV102" s="488">
        <f t="shared" si="37"/>
        <v>0</v>
      </c>
      <c r="AW102" s="488">
        <f t="shared" si="38"/>
        <v>0</v>
      </c>
      <c r="AX102" s="488">
        <f t="shared" si="39"/>
        <v>0</v>
      </c>
      <c r="AY102" s="3235">
        <f t="shared" si="40"/>
        <v>0</v>
      </c>
      <c r="AZ102" s="3166">
        <f t="shared" si="41"/>
        <v>0</v>
      </c>
      <c r="BA102" s="3166">
        <f t="shared" si="42"/>
        <v>0</v>
      </c>
      <c r="BB102" s="3166">
        <f t="shared" si="43"/>
        <v>0</v>
      </c>
      <c r="BC102" s="3166">
        <f t="shared" si="44"/>
        <v>0</v>
      </c>
      <c r="BD102" s="3166">
        <f t="shared" si="45"/>
        <v>0</v>
      </c>
      <c r="BE102" s="3166">
        <f t="shared" si="46"/>
        <v>0</v>
      </c>
      <c r="BF102" s="3166">
        <f t="shared" si="47"/>
        <v>0</v>
      </c>
      <c r="BG102" s="3166">
        <f t="shared" si="48"/>
        <v>0</v>
      </c>
      <c r="BH102" s="3166">
        <f t="shared" si="49"/>
        <v>0</v>
      </c>
      <c r="BI102" s="3166">
        <f t="shared" si="50"/>
        <v>0</v>
      </c>
      <c r="BJ102" s="3166">
        <f t="shared" si="51"/>
        <v>0</v>
      </c>
      <c r="BK102" s="3166">
        <f t="shared" si="52"/>
        <v>0</v>
      </c>
      <c r="BL102" s="3166">
        <f t="shared" si="53"/>
        <v>0</v>
      </c>
      <c r="BM102" s="3166">
        <f t="shared" si="54"/>
        <v>0</v>
      </c>
      <c r="BN102" s="3166">
        <f t="shared" si="55"/>
        <v>0</v>
      </c>
      <c r="BO102" s="3166">
        <f t="shared" si="56"/>
        <v>0</v>
      </c>
      <c r="BP102" s="3166">
        <f t="shared" si="57"/>
        <v>0</v>
      </c>
      <c r="BQ102" s="3166">
        <f t="shared" si="58"/>
        <v>0</v>
      </c>
      <c r="BR102" s="3166">
        <f t="shared" si="59"/>
        <v>0</v>
      </c>
      <c r="BS102" s="3166">
        <f t="shared" si="60"/>
        <v>0</v>
      </c>
      <c r="BT102" s="3240">
        <f t="shared" si="61"/>
        <v>0</v>
      </c>
    </row>
    <row r="103" spans="1:72">
      <c r="A103" s="3163"/>
      <c r="B103" s="3164"/>
      <c r="C103" s="3164"/>
      <c r="D103" s="3176"/>
      <c r="E103" s="3166">
        <f t="shared" si="33"/>
        <v>0</v>
      </c>
      <c r="F103" s="3167"/>
      <c r="G103" s="3168">
        <f t="shared" si="34"/>
        <v>0</v>
      </c>
      <c r="H103" s="3169">
        <f t="shared" si="35"/>
        <v>0</v>
      </c>
      <c r="I103" s="3187"/>
      <c r="J103" s="3187"/>
      <c r="K103" s="3187"/>
      <c r="L103" s="3187"/>
      <c r="M103" s="3187"/>
      <c r="N103" s="3187"/>
      <c r="O103" s="3187"/>
      <c r="P103" s="3187"/>
      <c r="Q103" s="3187"/>
      <c r="R103" s="3187"/>
      <c r="S103" s="3187"/>
      <c r="T103" s="3187"/>
      <c r="U103" s="3187"/>
      <c r="V103" s="3187"/>
      <c r="W103" s="3187"/>
      <c r="X103" s="3187"/>
      <c r="Y103" s="3187"/>
      <c r="Z103" s="3187"/>
      <c r="AA103" s="3187"/>
      <c r="AB103" s="3187"/>
      <c r="AC103" s="3166">
        <f t="shared" si="36"/>
        <v>0</v>
      </c>
      <c r="AD103" s="3198"/>
      <c r="AE103" s="3198"/>
      <c r="AF103" s="3198"/>
      <c r="AG103" s="3198"/>
      <c r="AH103" s="3198"/>
      <c r="AI103" s="3198"/>
      <c r="AJ103" s="3198"/>
      <c r="AK103" s="3198"/>
      <c r="AL103" s="3198"/>
      <c r="AM103" s="3198"/>
      <c r="AN103" s="3198"/>
      <c r="AO103" s="3198"/>
      <c r="AP103" s="3198"/>
      <c r="AQ103" s="3198"/>
      <c r="AR103" s="3198"/>
      <c r="AS103" s="3198"/>
      <c r="AT103" s="3218"/>
      <c r="AU103" s="3219"/>
      <c r="AV103" s="488">
        <f t="shared" si="37"/>
        <v>0</v>
      </c>
      <c r="AW103" s="488">
        <f t="shared" si="38"/>
        <v>0</v>
      </c>
      <c r="AX103" s="488">
        <f t="shared" si="39"/>
        <v>0</v>
      </c>
      <c r="AY103" s="3235">
        <f t="shared" si="40"/>
        <v>0</v>
      </c>
      <c r="AZ103" s="3166">
        <f t="shared" si="41"/>
        <v>0</v>
      </c>
      <c r="BA103" s="3166">
        <f t="shared" si="42"/>
        <v>0</v>
      </c>
      <c r="BB103" s="3166">
        <f t="shared" si="43"/>
        <v>0</v>
      </c>
      <c r="BC103" s="3166">
        <f t="shared" si="44"/>
        <v>0</v>
      </c>
      <c r="BD103" s="3166">
        <f t="shared" si="45"/>
        <v>0</v>
      </c>
      <c r="BE103" s="3166">
        <f t="shared" si="46"/>
        <v>0</v>
      </c>
      <c r="BF103" s="3166">
        <f t="shared" si="47"/>
        <v>0</v>
      </c>
      <c r="BG103" s="3166">
        <f t="shared" si="48"/>
        <v>0</v>
      </c>
      <c r="BH103" s="3166">
        <f t="shared" si="49"/>
        <v>0</v>
      </c>
      <c r="BI103" s="3166">
        <f t="shared" si="50"/>
        <v>0</v>
      </c>
      <c r="BJ103" s="3166">
        <f t="shared" si="51"/>
        <v>0</v>
      </c>
      <c r="BK103" s="3166">
        <f t="shared" si="52"/>
        <v>0</v>
      </c>
      <c r="BL103" s="3166">
        <f t="shared" si="53"/>
        <v>0</v>
      </c>
      <c r="BM103" s="3166">
        <f t="shared" si="54"/>
        <v>0</v>
      </c>
      <c r="BN103" s="3166">
        <f t="shared" si="55"/>
        <v>0</v>
      </c>
      <c r="BO103" s="3166">
        <f t="shared" si="56"/>
        <v>0</v>
      </c>
      <c r="BP103" s="3166">
        <f t="shared" si="57"/>
        <v>0</v>
      </c>
      <c r="BQ103" s="3166">
        <f t="shared" si="58"/>
        <v>0</v>
      </c>
      <c r="BR103" s="3166">
        <f t="shared" si="59"/>
        <v>0</v>
      </c>
      <c r="BS103" s="3166">
        <f t="shared" si="60"/>
        <v>0</v>
      </c>
      <c r="BT103" s="3240">
        <f t="shared" si="61"/>
        <v>0</v>
      </c>
    </row>
    <row r="104" spans="1:72">
      <c r="A104" s="3163"/>
      <c r="B104" s="3164"/>
      <c r="C104" s="3164"/>
      <c r="D104" s="3176"/>
      <c r="E104" s="3166">
        <f t="shared" si="33"/>
        <v>0</v>
      </c>
      <c r="F104" s="3167"/>
      <c r="G104" s="3168">
        <f t="shared" si="34"/>
        <v>0</v>
      </c>
      <c r="H104" s="3169">
        <f t="shared" si="35"/>
        <v>0</v>
      </c>
      <c r="I104" s="3187"/>
      <c r="J104" s="3187"/>
      <c r="K104" s="3187"/>
      <c r="L104" s="3187"/>
      <c r="M104" s="3187"/>
      <c r="N104" s="3187"/>
      <c r="O104" s="3187"/>
      <c r="P104" s="3187"/>
      <c r="Q104" s="3187"/>
      <c r="R104" s="3187"/>
      <c r="S104" s="3187"/>
      <c r="T104" s="3187"/>
      <c r="U104" s="3187"/>
      <c r="V104" s="3187"/>
      <c r="W104" s="3187"/>
      <c r="X104" s="3187"/>
      <c r="Y104" s="3187"/>
      <c r="Z104" s="3187"/>
      <c r="AA104" s="3187"/>
      <c r="AB104" s="3187"/>
      <c r="AC104" s="3166">
        <f t="shared" si="36"/>
        <v>0</v>
      </c>
      <c r="AD104" s="3198"/>
      <c r="AE104" s="3198"/>
      <c r="AF104" s="3198"/>
      <c r="AG104" s="3198"/>
      <c r="AH104" s="3198"/>
      <c r="AI104" s="3198"/>
      <c r="AJ104" s="3198"/>
      <c r="AK104" s="3198"/>
      <c r="AL104" s="3198"/>
      <c r="AM104" s="3198"/>
      <c r="AN104" s="3198"/>
      <c r="AO104" s="3198"/>
      <c r="AP104" s="3198"/>
      <c r="AQ104" s="3198"/>
      <c r="AR104" s="3198"/>
      <c r="AS104" s="3198"/>
      <c r="AT104" s="3218"/>
      <c r="AU104" s="3219"/>
      <c r="AV104" s="488">
        <f t="shared" si="37"/>
        <v>0</v>
      </c>
      <c r="AW104" s="488">
        <f t="shared" si="38"/>
        <v>0</v>
      </c>
      <c r="AX104" s="488">
        <f t="shared" si="39"/>
        <v>0</v>
      </c>
      <c r="AY104" s="3235">
        <f t="shared" si="40"/>
        <v>0</v>
      </c>
      <c r="AZ104" s="3166">
        <f t="shared" si="41"/>
        <v>0</v>
      </c>
      <c r="BA104" s="3166">
        <f t="shared" si="42"/>
        <v>0</v>
      </c>
      <c r="BB104" s="3166">
        <f t="shared" si="43"/>
        <v>0</v>
      </c>
      <c r="BC104" s="3166">
        <f t="shared" si="44"/>
        <v>0</v>
      </c>
      <c r="BD104" s="3166">
        <f t="shared" si="45"/>
        <v>0</v>
      </c>
      <c r="BE104" s="3166">
        <f t="shared" si="46"/>
        <v>0</v>
      </c>
      <c r="BF104" s="3166">
        <f t="shared" si="47"/>
        <v>0</v>
      </c>
      <c r="BG104" s="3166">
        <f t="shared" si="48"/>
        <v>0</v>
      </c>
      <c r="BH104" s="3166">
        <f t="shared" si="49"/>
        <v>0</v>
      </c>
      <c r="BI104" s="3166">
        <f t="shared" si="50"/>
        <v>0</v>
      </c>
      <c r="BJ104" s="3166">
        <f t="shared" si="51"/>
        <v>0</v>
      </c>
      <c r="BK104" s="3166">
        <f t="shared" si="52"/>
        <v>0</v>
      </c>
      <c r="BL104" s="3166">
        <f t="shared" si="53"/>
        <v>0</v>
      </c>
      <c r="BM104" s="3166">
        <f t="shared" si="54"/>
        <v>0</v>
      </c>
      <c r="BN104" s="3166">
        <f t="shared" si="55"/>
        <v>0</v>
      </c>
      <c r="BO104" s="3166">
        <f t="shared" si="56"/>
        <v>0</v>
      </c>
      <c r="BP104" s="3166">
        <f t="shared" si="57"/>
        <v>0</v>
      </c>
      <c r="BQ104" s="3166">
        <f t="shared" si="58"/>
        <v>0</v>
      </c>
      <c r="BR104" s="3166">
        <f t="shared" si="59"/>
        <v>0</v>
      </c>
      <c r="BS104" s="3166">
        <f t="shared" si="60"/>
        <v>0</v>
      </c>
      <c r="BT104" s="3240">
        <f t="shared" si="61"/>
        <v>0</v>
      </c>
    </row>
    <row r="105" spans="1:72">
      <c r="A105" s="3163"/>
      <c r="B105" s="3164"/>
      <c r="C105" s="3164"/>
      <c r="D105" s="3176"/>
      <c r="E105" s="3166">
        <f t="shared" si="33"/>
        <v>0</v>
      </c>
      <c r="F105" s="3167"/>
      <c r="G105" s="3168">
        <f t="shared" si="34"/>
        <v>0</v>
      </c>
      <c r="H105" s="3169">
        <f t="shared" si="35"/>
        <v>0</v>
      </c>
      <c r="I105" s="3187"/>
      <c r="J105" s="3187"/>
      <c r="K105" s="3187"/>
      <c r="L105" s="3187"/>
      <c r="M105" s="3187"/>
      <c r="N105" s="3187"/>
      <c r="O105" s="3187"/>
      <c r="P105" s="3187"/>
      <c r="Q105" s="3187"/>
      <c r="R105" s="3187"/>
      <c r="S105" s="3187"/>
      <c r="T105" s="3187"/>
      <c r="U105" s="3187"/>
      <c r="V105" s="3187"/>
      <c r="W105" s="3187"/>
      <c r="X105" s="3187"/>
      <c r="Y105" s="3187"/>
      <c r="Z105" s="3187"/>
      <c r="AA105" s="3187"/>
      <c r="AB105" s="3187"/>
      <c r="AC105" s="3166">
        <f t="shared" si="36"/>
        <v>0</v>
      </c>
      <c r="AD105" s="3198"/>
      <c r="AE105" s="3198"/>
      <c r="AF105" s="3198"/>
      <c r="AG105" s="3198"/>
      <c r="AH105" s="3198"/>
      <c r="AI105" s="3198"/>
      <c r="AJ105" s="3198"/>
      <c r="AK105" s="3198"/>
      <c r="AL105" s="3198"/>
      <c r="AM105" s="3198"/>
      <c r="AN105" s="3198"/>
      <c r="AO105" s="3198"/>
      <c r="AP105" s="3198"/>
      <c r="AQ105" s="3198"/>
      <c r="AR105" s="3198"/>
      <c r="AS105" s="3198"/>
      <c r="AT105" s="3218"/>
      <c r="AU105" s="3219"/>
      <c r="AV105" s="488">
        <f t="shared" si="37"/>
        <v>0</v>
      </c>
      <c r="AW105" s="488">
        <f t="shared" si="38"/>
        <v>0</v>
      </c>
      <c r="AX105" s="488">
        <f t="shared" si="39"/>
        <v>0</v>
      </c>
      <c r="AY105" s="3235">
        <f t="shared" si="40"/>
        <v>0</v>
      </c>
      <c r="AZ105" s="3166">
        <f t="shared" si="41"/>
        <v>0</v>
      </c>
      <c r="BA105" s="3166">
        <f t="shared" si="42"/>
        <v>0</v>
      </c>
      <c r="BB105" s="3166">
        <f t="shared" si="43"/>
        <v>0</v>
      </c>
      <c r="BC105" s="3166">
        <f t="shared" si="44"/>
        <v>0</v>
      </c>
      <c r="BD105" s="3166">
        <f t="shared" si="45"/>
        <v>0</v>
      </c>
      <c r="BE105" s="3166">
        <f t="shared" si="46"/>
        <v>0</v>
      </c>
      <c r="BF105" s="3166">
        <f t="shared" si="47"/>
        <v>0</v>
      </c>
      <c r="BG105" s="3166">
        <f t="shared" si="48"/>
        <v>0</v>
      </c>
      <c r="BH105" s="3166">
        <f t="shared" si="49"/>
        <v>0</v>
      </c>
      <c r="BI105" s="3166">
        <f t="shared" si="50"/>
        <v>0</v>
      </c>
      <c r="BJ105" s="3166">
        <f t="shared" si="51"/>
        <v>0</v>
      </c>
      <c r="BK105" s="3166">
        <f t="shared" si="52"/>
        <v>0</v>
      </c>
      <c r="BL105" s="3166">
        <f t="shared" si="53"/>
        <v>0</v>
      </c>
      <c r="BM105" s="3166">
        <f t="shared" si="54"/>
        <v>0</v>
      </c>
      <c r="BN105" s="3166">
        <f t="shared" si="55"/>
        <v>0</v>
      </c>
      <c r="BO105" s="3166">
        <f t="shared" si="56"/>
        <v>0</v>
      </c>
      <c r="BP105" s="3166">
        <f t="shared" si="57"/>
        <v>0</v>
      </c>
      <c r="BQ105" s="3166">
        <f t="shared" si="58"/>
        <v>0</v>
      </c>
      <c r="BR105" s="3166">
        <f t="shared" si="59"/>
        <v>0</v>
      </c>
      <c r="BS105" s="3166">
        <f t="shared" si="60"/>
        <v>0</v>
      </c>
      <c r="BT105" s="3240">
        <f t="shared" si="61"/>
        <v>0</v>
      </c>
    </row>
    <row r="106" spans="1:72">
      <c r="A106" s="3163"/>
      <c r="B106" s="3164"/>
      <c r="C106" s="3164"/>
      <c r="D106" s="3176"/>
      <c r="E106" s="3166">
        <f t="shared" si="33"/>
        <v>0</v>
      </c>
      <c r="F106" s="3167"/>
      <c r="G106" s="3168">
        <f t="shared" si="34"/>
        <v>0</v>
      </c>
      <c r="H106" s="3169">
        <f t="shared" si="35"/>
        <v>0</v>
      </c>
      <c r="I106" s="3187"/>
      <c r="J106" s="3187"/>
      <c r="K106" s="3187"/>
      <c r="L106" s="3187"/>
      <c r="M106" s="3187"/>
      <c r="N106" s="3187"/>
      <c r="O106" s="3187"/>
      <c r="P106" s="3187"/>
      <c r="Q106" s="3187"/>
      <c r="R106" s="3187"/>
      <c r="S106" s="3187"/>
      <c r="T106" s="3187"/>
      <c r="U106" s="3187"/>
      <c r="V106" s="3187"/>
      <c r="W106" s="3187"/>
      <c r="X106" s="3187"/>
      <c r="Y106" s="3187"/>
      <c r="Z106" s="3187"/>
      <c r="AA106" s="3187"/>
      <c r="AB106" s="3187"/>
      <c r="AC106" s="3166">
        <f t="shared" si="36"/>
        <v>0</v>
      </c>
      <c r="AD106" s="3198"/>
      <c r="AE106" s="3198"/>
      <c r="AF106" s="3198"/>
      <c r="AG106" s="3198"/>
      <c r="AH106" s="3198"/>
      <c r="AI106" s="3198"/>
      <c r="AJ106" s="3198"/>
      <c r="AK106" s="3198"/>
      <c r="AL106" s="3198"/>
      <c r="AM106" s="3198"/>
      <c r="AN106" s="3198"/>
      <c r="AO106" s="3198"/>
      <c r="AP106" s="3198"/>
      <c r="AQ106" s="3198"/>
      <c r="AR106" s="3198"/>
      <c r="AS106" s="3198"/>
      <c r="AT106" s="3218"/>
      <c r="AU106" s="3219"/>
      <c r="AV106" s="488">
        <f t="shared" si="37"/>
        <v>0</v>
      </c>
      <c r="AW106" s="488">
        <f t="shared" si="38"/>
        <v>0</v>
      </c>
      <c r="AX106" s="488">
        <f t="shared" si="39"/>
        <v>0</v>
      </c>
      <c r="AY106" s="3235">
        <f t="shared" si="40"/>
        <v>0</v>
      </c>
      <c r="AZ106" s="3166">
        <f t="shared" si="41"/>
        <v>0</v>
      </c>
      <c r="BA106" s="3166">
        <f t="shared" si="42"/>
        <v>0</v>
      </c>
      <c r="BB106" s="3166">
        <f t="shared" si="43"/>
        <v>0</v>
      </c>
      <c r="BC106" s="3166">
        <f t="shared" si="44"/>
        <v>0</v>
      </c>
      <c r="BD106" s="3166">
        <f t="shared" si="45"/>
        <v>0</v>
      </c>
      <c r="BE106" s="3166">
        <f t="shared" si="46"/>
        <v>0</v>
      </c>
      <c r="BF106" s="3166">
        <f t="shared" si="47"/>
        <v>0</v>
      </c>
      <c r="BG106" s="3166">
        <f t="shared" si="48"/>
        <v>0</v>
      </c>
      <c r="BH106" s="3166">
        <f t="shared" si="49"/>
        <v>0</v>
      </c>
      <c r="BI106" s="3166">
        <f t="shared" si="50"/>
        <v>0</v>
      </c>
      <c r="BJ106" s="3166">
        <f t="shared" si="51"/>
        <v>0</v>
      </c>
      <c r="BK106" s="3166">
        <f t="shared" si="52"/>
        <v>0</v>
      </c>
      <c r="BL106" s="3166">
        <f t="shared" si="53"/>
        <v>0</v>
      </c>
      <c r="BM106" s="3166">
        <f t="shared" si="54"/>
        <v>0</v>
      </c>
      <c r="BN106" s="3166">
        <f t="shared" si="55"/>
        <v>0</v>
      </c>
      <c r="BO106" s="3166">
        <f t="shared" si="56"/>
        <v>0</v>
      </c>
      <c r="BP106" s="3166">
        <f t="shared" si="57"/>
        <v>0</v>
      </c>
      <c r="BQ106" s="3166">
        <f t="shared" si="58"/>
        <v>0</v>
      </c>
      <c r="BR106" s="3166">
        <f t="shared" si="59"/>
        <v>0</v>
      </c>
      <c r="BS106" s="3166">
        <f t="shared" si="60"/>
        <v>0</v>
      </c>
      <c r="BT106" s="3240">
        <f t="shared" si="61"/>
        <v>0</v>
      </c>
    </row>
    <row r="107" spans="1:72">
      <c r="A107" s="3163"/>
      <c r="B107" s="3164"/>
      <c r="C107" s="3164"/>
      <c r="D107" s="3176"/>
      <c r="E107" s="3166">
        <f t="shared" si="33"/>
        <v>0</v>
      </c>
      <c r="F107" s="3167"/>
      <c r="G107" s="3168">
        <f t="shared" si="34"/>
        <v>0</v>
      </c>
      <c r="H107" s="3169">
        <f t="shared" si="35"/>
        <v>0</v>
      </c>
      <c r="I107" s="3187"/>
      <c r="J107" s="3187"/>
      <c r="K107" s="3187"/>
      <c r="L107" s="3187"/>
      <c r="M107" s="3187"/>
      <c r="N107" s="3187"/>
      <c r="O107" s="3187"/>
      <c r="P107" s="3187"/>
      <c r="Q107" s="3187"/>
      <c r="R107" s="3187"/>
      <c r="S107" s="3187"/>
      <c r="T107" s="3187"/>
      <c r="U107" s="3187"/>
      <c r="V107" s="3187"/>
      <c r="W107" s="3187"/>
      <c r="X107" s="3187"/>
      <c r="Y107" s="3187"/>
      <c r="Z107" s="3187"/>
      <c r="AA107" s="3187"/>
      <c r="AB107" s="3187"/>
      <c r="AC107" s="3166">
        <f t="shared" si="36"/>
        <v>0</v>
      </c>
      <c r="AD107" s="3198"/>
      <c r="AE107" s="3198"/>
      <c r="AF107" s="3198"/>
      <c r="AG107" s="3198"/>
      <c r="AH107" s="3198"/>
      <c r="AI107" s="3198"/>
      <c r="AJ107" s="3198"/>
      <c r="AK107" s="3198"/>
      <c r="AL107" s="3198"/>
      <c r="AM107" s="3198"/>
      <c r="AN107" s="3198"/>
      <c r="AO107" s="3198"/>
      <c r="AP107" s="3198"/>
      <c r="AQ107" s="3198"/>
      <c r="AR107" s="3198"/>
      <c r="AS107" s="3198"/>
      <c r="AT107" s="3218"/>
      <c r="AU107" s="3219"/>
      <c r="AV107" s="488">
        <f t="shared" si="37"/>
        <v>0</v>
      </c>
      <c r="AW107" s="488">
        <f t="shared" si="38"/>
        <v>0</v>
      </c>
      <c r="AX107" s="488">
        <f t="shared" si="39"/>
        <v>0</v>
      </c>
      <c r="AY107" s="3235">
        <f t="shared" si="40"/>
        <v>0</v>
      </c>
      <c r="AZ107" s="3166">
        <f t="shared" si="41"/>
        <v>0</v>
      </c>
      <c r="BA107" s="3166">
        <f t="shared" si="42"/>
        <v>0</v>
      </c>
      <c r="BB107" s="3166">
        <f t="shared" si="43"/>
        <v>0</v>
      </c>
      <c r="BC107" s="3166">
        <f t="shared" si="44"/>
        <v>0</v>
      </c>
      <c r="BD107" s="3166">
        <f t="shared" si="45"/>
        <v>0</v>
      </c>
      <c r="BE107" s="3166">
        <f t="shared" si="46"/>
        <v>0</v>
      </c>
      <c r="BF107" s="3166">
        <f t="shared" si="47"/>
        <v>0</v>
      </c>
      <c r="BG107" s="3166">
        <f t="shared" si="48"/>
        <v>0</v>
      </c>
      <c r="BH107" s="3166">
        <f t="shared" si="49"/>
        <v>0</v>
      </c>
      <c r="BI107" s="3166">
        <f t="shared" si="50"/>
        <v>0</v>
      </c>
      <c r="BJ107" s="3166">
        <f t="shared" si="51"/>
        <v>0</v>
      </c>
      <c r="BK107" s="3166">
        <f t="shared" si="52"/>
        <v>0</v>
      </c>
      <c r="BL107" s="3166">
        <f t="shared" si="53"/>
        <v>0</v>
      </c>
      <c r="BM107" s="3166">
        <f t="shared" si="54"/>
        <v>0</v>
      </c>
      <c r="BN107" s="3166">
        <f t="shared" si="55"/>
        <v>0</v>
      </c>
      <c r="BO107" s="3166">
        <f t="shared" si="56"/>
        <v>0</v>
      </c>
      <c r="BP107" s="3166">
        <f t="shared" si="57"/>
        <v>0</v>
      </c>
      <c r="BQ107" s="3166">
        <f t="shared" si="58"/>
        <v>0</v>
      </c>
      <c r="BR107" s="3166">
        <f t="shared" si="59"/>
        <v>0</v>
      </c>
      <c r="BS107" s="3166">
        <f t="shared" si="60"/>
        <v>0</v>
      </c>
      <c r="BT107" s="3240">
        <f t="shared" si="61"/>
        <v>0</v>
      </c>
    </row>
    <row r="108" spans="1:72">
      <c r="A108" s="3163"/>
      <c r="B108" s="3164"/>
      <c r="C108" s="3164"/>
      <c r="D108" s="3176"/>
      <c r="E108" s="3166">
        <f t="shared" si="33"/>
        <v>0</v>
      </c>
      <c r="F108" s="3167"/>
      <c r="G108" s="3168">
        <f t="shared" si="34"/>
        <v>0</v>
      </c>
      <c r="H108" s="3169">
        <f t="shared" si="35"/>
        <v>0</v>
      </c>
      <c r="I108" s="3187"/>
      <c r="J108" s="3187"/>
      <c r="K108" s="3187"/>
      <c r="L108" s="3187"/>
      <c r="M108" s="3187"/>
      <c r="N108" s="3187"/>
      <c r="O108" s="3187"/>
      <c r="P108" s="3187"/>
      <c r="Q108" s="3187"/>
      <c r="R108" s="3187"/>
      <c r="S108" s="3187"/>
      <c r="T108" s="3187"/>
      <c r="U108" s="3187"/>
      <c r="V108" s="3187"/>
      <c r="W108" s="3187"/>
      <c r="X108" s="3187"/>
      <c r="Y108" s="3187"/>
      <c r="Z108" s="3187"/>
      <c r="AA108" s="3187"/>
      <c r="AB108" s="3187"/>
      <c r="AC108" s="3166">
        <f t="shared" si="36"/>
        <v>0</v>
      </c>
      <c r="AD108" s="3198"/>
      <c r="AE108" s="3198"/>
      <c r="AF108" s="3198"/>
      <c r="AG108" s="3198"/>
      <c r="AH108" s="3198"/>
      <c r="AI108" s="3198"/>
      <c r="AJ108" s="3198"/>
      <c r="AK108" s="3198"/>
      <c r="AL108" s="3198"/>
      <c r="AM108" s="3198"/>
      <c r="AN108" s="3198"/>
      <c r="AO108" s="3198"/>
      <c r="AP108" s="3198"/>
      <c r="AQ108" s="3198"/>
      <c r="AR108" s="3198"/>
      <c r="AS108" s="3198"/>
      <c r="AT108" s="3218"/>
      <c r="AU108" s="3219"/>
      <c r="AV108" s="488">
        <f t="shared" si="37"/>
        <v>0</v>
      </c>
      <c r="AW108" s="488">
        <f t="shared" si="38"/>
        <v>0</v>
      </c>
      <c r="AX108" s="488">
        <f t="shared" si="39"/>
        <v>0</v>
      </c>
      <c r="AY108" s="3235">
        <f t="shared" si="40"/>
        <v>0</v>
      </c>
      <c r="AZ108" s="3166">
        <f t="shared" si="41"/>
        <v>0</v>
      </c>
      <c r="BA108" s="3166">
        <f t="shared" si="42"/>
        <v>0</v>
      </c>
      <c r="BB108" s="3166">
        <f t="shared" si="43"/>
        <v>0</v>
      </c>
      <c r="BC108" s="3166">
        <f t="shared" si="44"/>
        <v>0</v>
      </c>
      <c r="BD108" s="3166">
        <f t="shared" si="45"/>
        <v>0</v>
      </c>
      <c r="BE108" s="3166">
        <f t="shared" si="46"/>
        <v>0</v>
      </c>
      <c r="BF108" s="3166">
        <f t="shared" si="47"/>
        <v>0</v>
      </c>
      <c r="BG108" s="3166">
        <f t="shared" si="48"/>
        <v>0</v>
      </c>
      <c r="BH108" s="3166">
        <f t="shared" si="49"/>
        <v>0</v>
      </c>
      <c r="BI108" s="3166">
        <f t="shared" si="50"/>
        <v>0</v>
      </c>
      <c r="BJ108" s="3166">
        <f t="shared" si="51"/>
        <v>0</v>
      </c>
      <c r="BK108" s="3166">
        <f t="shared" si="52"/>
        <v>0</v>
      </c>
      <c r="BL108" s="3166">
        <f t="shared" si="53"/>
        <v>0</v>
      </c>
      <c r="BM108" s="3166">
        <f t="shared" si="54"/>
        <v>0</v>
      </c>
      <c r="BN108" s="3166">
        <f t="shared" si="55"/>
        <v>0</v>
      </c>
      <c r="BO108" s="3166">
        <f t="shared" si="56"/>
        <v>0</v>
      </c>
      <c r="BP108" s="3166">
        <f t="shared" si="57"/>
        <v>0</v>
      </c>
      <c r="BQ108" s="3166">
        <f t="shared" si="58"/>
        <v>0</v>
      </c>
      <c r="BR108" s="3166">
        <f t="shared" si="59"/>
        <v>0</v>
      </c>
      <c r="BS108" s="3166">
        <f t="shared" si="60"/>
        <v>0</v>
      </c>
      <c r="BT108" s="3240">
        <f t="shared" si="61"/>
        <v>0</v>
      </c>
    </row>
    <row r="109" spans="1:72">
      <c r="A109" s="3163"/>
      <c r="B109" s="3164"/>
      <c r="C109" s="3164"/>
      <c r="D109" s="3176"/>
      <c r="E109" s="3166">
        <f t="shared" si="33"/>
        <v>0</v>
      </c>
      <c r="F109" s="3167"/>
      <c r="G109" s="3168">
        <f t="shared" si="34"/>
        <v>0</v>
      </c>
      <c r="H109" s="3169">
        <f t="shared" si="35"/>
        <v>0</v>
      </c>
      <c r="I109" s="3187"/>
      <c r="J109" s="3187"/>
      <c r="K109" s="3187"/>
      <c r="L109" s="3187"/>
      <c r="M109" s="3187"/>
      <c r="N109" s="3187"/>
      <c r="O109" s="3187"/>
      <c r="P109" s="3187"/>
      <c r="Q109" s="3187"/>
      <c r="R109" s="3187"/>
      <c r="S109" s="3187"/>
      <c r="T109" s="3187"/>
      <c r="U109" s="3187"/>
      <c r="V109" s="3187"/>
      <c r="W109" s="3187"/>
      <c r="X109" s="3187"/>
      <c r="Y109" s="3187"/>
      <c r="Z109" s="3187"/>
      <c r="AA109" s="3187"/>
      <c r="AB109" s="3187"/>
      <c r="AC109" s="3166">
        <f t="shared" si="36"/>
        <v>0</v>
      </c>
      <c r="AD109" s="3198"/>
      <c r="AE109" s="3198"/>
      <c r="AF109" s="3198"/>
      <c r="AG109" s="3198"/>
      <c r="AH109" s="3198"/>
      <c r="AI109" s="3198"/>
      <c r="AJ109" s="3198"/>
      <c r="AK109" s="3198"/>
      <c r="AL109" s="3198"/>
      <c r="AM109" s="3198"/>
      <c r="AN109" s="3198"/>
      <c r="AO109" s="3198"/>
      <c r="AP109" s="3198"/>
      <c r="AQ109" s="3198"/>
      <c r="AR109" s="3198"/>
      <c r="AS109" s="3198"/>
      <c r="AT109" s="3218"/>
      <c r="AU109" s="3219"/>
      <c r="AV109" s="488">
        <f t="shared" si="37"/>
        <v>0</v>
      </c>
      <c r="AW109" s="488">
        <f t="shared" si="38"/>
        <v>0</v>
      </c>
      <c r="AX109" s="488">
        <f t="shared" si="39"/>
        <v>0</v>
      </c>
      <c r="AY109" s="3235">
        <f t="shared" si="40"/>
        <v>0</v>
      </c>
      <c r="AZ109" s="3166">
        <f t="shared" si="41"/>
        <v>0</v>
      </c>
      <c r="BA109" s="3166">
        <f t="shared" si="42"/>
        <v>0</v>
      </c>
      <c r="BB109" s="3166">
        <f t="shared" si="43"/>
        <v>0</v>
      </c>
      <c r="BC109" s="3166">
        <f t="shared" si="44"/>
        <v>0</v>
      </c>
      <c r="BD109" s="3166">
        <f t="shared" si="45"/>
        <v>0</v>
      </c>
      <c r="BE109" s="3166">
        <f t="shared" si="46"/>
        <v>0</v>
      </c>
      <c r="BF109" s="3166">
        <f t="shared" si="47"/>
        <v>0</v>
      </c>
      <c r="BG109" s="3166">
        <f t="shared" si="48"/>
        <v>0</v>
      </c>
      <c r="BH109" s="3166">
        <f t="shared" si="49"/>
        <v>0</v>
      </c>
      <c r="BI109" s="3166">
        <f t="shared" si="50"/>
        <v>0</v>
      </c>
      <c r="BJ109" s="3166">
        <f t="shared" si="51"/>
        <v>0</v>
      </c>
      <c r="BK109" s="3166">
        <f t="shared" si="52"/>
        <v>0</v>
      </c>
      <c r="BL109" s="3166">
        <f t="shared" si="53"/>
        <v>0</v>
      </c>
      <c r="BM109" s="3166">
        <f t="shared" si="54"/>
        <v>0</v>
      </c>
      <c r="BN109" s="3166">
        <f t="shared" si="55"/>
        <v>0</v>
      </c>
      <c r="BO109" s="3166">
        <f t="shared" si="56"/>
        <v>0</v>
      </c>
      <c r="BP109" s="3166">
        <f t="shared" si="57"/>
        <v>0</v>
      </c>
      <c r="BQ109" s="3166">
        <f t="shared" si="58"/>
        <v>0</v>
      </c>
      <c r="BR109" s="3166">
        <f t="shared" si="59"/>
        <v>0</v>
      </c>
      <c r="BS109" s="3166">
        <f t="shared" si="60"/>
        <v>0</v>
      </c>
      <c r="BT109" s="3240">
        <f t="shared" si="61"/>
        <v>0</v>
      </c>
    </row>
    <row r="110" spans="1:72">
      <c r="A110" s="3163"/>
      <c r="B110" s="3163"/>
      <c r="C110" s="3163"/>
      <c r="D110" s="3176"/>
      <c r="E110" s="3166">
        <f t="shared" si="33"/>
        <v>0</v>
      </c>
      <c r="F110" s="3241"/>
      <c r="G110" s="3168">
        <f t="shared" ref="G110:G141" si="62">H110+AC110+AT110</f>
        <v>0</v>
      </c>
      <c r="H110" s="3169">
        <f t="shared" ref="H110:H141" si="63">SUMIF(I$12:AB$12,"总值",I110:AB110)</f>
        <v>0</v>
      </c>
      <c r="I110" s="3242"/>
      <c r="J110" s="3242"/>
      <c r="K110" s="3187"/>
      <c r="L110" s="3187"/>
      <c r="M110" s="3187"/>
      <c r="N110" s="3187"/>
      <c r="O110" s="3187"/>
      <c r="P110" s="3187"/>
      <c r="Q110" s="3187"/>
      <c r="R110" s="3187"/>
      <c r="S110" s="3187"/>
      <c r="T110" s="3187"/>
      <c r="U110" s="3187"/>
      <c r="V110" s="3187"/>
      <c r="W110" s="3187"/>
      <c r="X110" s="3187"/>
      <c r="Y110" s="3187"/>
      <c r="Z110" s="3187"/>
      <c r="AA110" s="3187"/>
      <c r="AB110" s="3187"/>
      <c r="AC110" s="3166">
        <f t="shared" ref="AC110:AC141" si="64">SUMIF(AD$12:AS$12,"总值",AD110:AS110)</f>
        <v>0</v>
      </c>
      <c r="AD110" s="3198"/>
      <c r="AE110" s="3198"/>
      <c r="AF110" s="3198"/>
      <c r="AG110" s="3198"/>
      <c r="AH110" s="3198"/>
      <c r="AI110" s="3198"/>
      <c r="AJ110" s="3198"/>
      <c r="AK110" s="3198"/>
      <c r="AL110" s="3198"/>
      <c r="AM110" s="3198"/>
      <c r="AN110" s="3198"/>
      <c r="AO110" s="3198"/>
      <c r="AP110" s="3198"/>
      <c r="AQ110" s="3198"/>
      <c r="AR110" s="3198"/>
      <c r="AS110" s="3198"/>
      <c r="AT110" s="3198"/>
      <c r="AU110" s="3243"/>
      <c r="AV110" s="488">
        <f t="shared" si="37"/>
        <v>0</v>
      </c>
      <c r="AW110" s="488">
        <f t="shared" si="38"/>
        <v>0</v>
      </c>
      <c r="AX110" s="488">
        <f t="shared" si="39"/>
        <v>0</v>
      </c>
      <c r="AY110" s="3235">
        <f t="shared" ref="AY110:AY141" si="65">ROUND($AY$6*AZ110/$AZ$5,2)</f>
        <v>0</v>
      </c>
      <c r="AZ110" s="3166">
        <f t="shared" ref="AZ110:AZ141" si="66">BA110+BL110</f>
        <v>0</v>
      </c>
      <c r="BA110" s="3166">
        <f t="shared" ref="BA110:BA141" si="67">SUM(BB110:BK110)</f>
        <v>0</v>
      </c>
      <c r="BB110" s="3166">
        <f t="shared" ref="BB110:BB141" si="68">IF($D110="是",I110-J110,0)</f>
        <v>0</v>
      </c>
      <c r="BC110" s="3166">
        <f t="shared" ref="BC110:BC141" si="69">IF($D110="是",K110-L110,0)</f>
        <v>0</v>
      </c>
      <c r="BD110" s="3166">
        <f t="shared" ref="BD110:BD141" si="70">IF($D110="是",M110-N110,0)</f>
        <v>0</v>
      </c>
      <c r="BE110" s="3166">
        <f t="shared" ref="BE110:BE141" si="71">IF($D110="是",O110-P110,0)</f>
        <v>0</v>
      </c>
      <c r="BF110" s="3166">
        <f t="shared" ref="BF110:BF141" si="72">IF($D110="是",Q110-R110,0)</f>
        <v>0</v>
      </c>
      <c r="BG110" s="3166">
        <f t="shared" ref="BG110:BG141" si="73">IF($D110="是",S110-T110,0)</f>
        <v>0</v>
      </c>
      <c r="BH110" s="3166">
        <f t="shared" ref="BH110:BH141" si="74">IF($D110="是",U110-V110,0)</f>
        <v>0</v>
      </c>
      <c r="BI110" s="3166">
        <f t="shared" ref="BI110:BI141" si="75">IF($D110="是",W110-X110,0)</f>
        <v>0</v>
      </c>
      <c r="BJ110" s="3166">
        <f t="shared" ref="BJ110:BJ141" si="76">IF($D110="是",Y110-Z110,0)</f>
        <v>0</v>
      </c>
      <c r="BK110" s="3166">
        <f t="shared" ref="BK110:BK141" si="77">IF($D110="是",AA110-AB110,0)</f>
        <v>0</v>
      </c>
      <c r="BL110" s="3166">
        <f t="shared" ref="BL110:BL141" si="78">SUM(BM110:BT110)</f>
        <v>0</v>
      </c>
      <c r="BM110" s="3166">
        <f t="shared" ref="BM110:BM141" si="79">IF($D110="是",AD110-AE110,0)</f>
        <v>0</v>
      </c>
      <c r="BN110" s="3166">
        <f t="shared" ref="BN110:BN141" si="80">IF($D110="是",AF110-AG110,0)</f>
        <v>0</v>
      </c>
      <c r="BO110" s="3166">
        <f t="shared" ref="BO110:BO141" si="81">IF($D110="是",AH110-AI110,0)</f>
        <v>0</v>
      </c>
      <c r="BP110" s="3166">
        <f t="shared" ref="BP110:BP141" si="82">IF($D110="是",AJ110-AK110,0)</f>
        <v>0</v>
      </c>
      <c r="BQ110" s="3166">
        <f t="shared" ref="BQ110:BQ141" si="83">IF($D110="是",AL110-AM110,0)</f>
        <v>0</v>
      </c>
      <c r="BR110" s="3166">
        <f t="shared" ref="BR110:BR141" si="84">IF($D110="是",AN110-AO110,0)</f>
        <v>0</v>
      </c>
      <c r="BS110" s="3166">
        <f t="shared" ref="BS110:BS141" si="85">IF($D110="是",AP110-AQ110,0)</f>
        <v>0</v>
      </c>
      <c r="BT110" s="3240">
        <f t="shared" ref="BT110:BT141" si="86">IF($D110="是",AR110-AS110,0)</f>
        <v>0</v>
      </c>
    </row>
    <row r="111" spans="1:72">
      <c r="A111" s="3163"/>
      <c r="B111" s="3163"/>
      <c r="C111" s="3163"/>
      <c r="D111" s="3176"/>
      <c r="E111" s="3166">
        <f t="shared" si="33"/>
        <v>0</v>
      </c>
      <c r="F111" s="3241"/>
      <c r="G111" s="3168">
        <f t="shared" si="62"/>
        <v>0</v>
      </c>
      <c r="H111" s="3169">
        <f t="shared" si="63"/>
        <v>0</v>
      </c>
      <c r="I111" s="3187"/>
      <c r="J111" s="3187"/>
      <c r="K111" s="3187"/>
      <c r="L111" s="3187"/>
      <c r="M111" s="3187"/>
      <c r="N111" s="3187"/>
      <c r="O111" s="3187"/>
      <c r="P111" s="3187"/>
      <c r="Q111" s="3187"/>
      <c r="R111" s="3187"/>
      <c r="S111" s="3187"/>
      <c r="T111" s="3187"/>
      <c r="U111" s="3187"/>
      <c r="V111" s="3187"/>
      <c r="W111" s="3187"/>
      <c r="X111" s="3187"/>
      <c r="Y111" s="3187"/>
      <c r="Z111" s="3187"/>
      <c r="AA111" s="3187"/>
      <c r="AB111" s="3187"/>
      <c r="AC111" s="3166">
        <f t="shared" si="64"/>
        <v>0</v>
      </c>
      <c r="AD111" s="3198"/>
      <c r="AE111" s="3198"/>
      <c r="AF111" s="3198"/>
      <c r="AG111" s="3198"/>
      <c r="AH111" s="3198"/>
      <c r="AI111" s="3198"/>
      <c r="AJ111" s="3198"/>
      <c r="AK111" s="3198"/>
      <c r="AL111" s="3198"/>
      <c r="AM111" s="3198"/>
      <c r="AN111" s="3198"/>
      <c r="AO111" s="3198"/>
      <c r="AP111" s="3198"/>
      <c r="AQ111" s="3198"/>
      <c r="AR111" s="3198"/>
      <c r="AS111" s="3198"/>
      <c r="AT111" s="3198"/>
      <c r="AU111" s="3243"/>
      <c r="AV111" s="488">
        <f t="shared" si="37"/>
        <v>0</v>
      </c>
      <c r="AW111" s="488">
        <f t="shared" si="38"/>
        <v>0</v>
      </c>
      <c r="AX111" s="488">
        <f t="shared" si="39"/>
        <v>0</v>
      </c>
      <c r="AY111" s="3235">
        <f t="shared" si="65"/>
        <v>0</v>
      </c>
      <c r="AZ111" s="3166">
        <f t="shared" si="66"/>
        <v>0</v>
      </c>
      <c r="BA111" s="3166">
        <f t="shared" si="67"/>
        <v>0</v>
      </c>
      <c r="BB111" s="3166">
        <f t="shared" si="68"/>
        <v>0</v>
      </c>
      <c r="BC111" s="3166">
        <f t="shared" si="69"/>
        <v>0</v>
      </c>
      <c r="BD111" s="3166">
        <f t="shared" si="70"/>
        <v>0</v>
      </c>
      <c r="BE111" s="3166">
        <f t="shared" si="71"/>
        <v>0</v>
      </c>
      <c r="BF111" s="3166">
        <f t="shared" si="72"/>
        <v>0</v>
      </c>
      <c r="BG111" s="3166">
        <f t="shared" si="73"/>
        <v>0</v>
      </c>
      <c r="BH111" s="3166">
        <f t="shared" si="74"/>
        <v>0</v>
      </c>
      <c r="BI111" s="3166">
        <f t="shared" si="75"/>
        <v>0</v>
      </c>
      <c r="BJ111" s="3166">
        <f t="shared" si="76"/>
        <v>0</v>
      </c>
      <c r="BK111" s="3166">
        <f t="shared" si="77"/>
        <v>0</v>
      </c>
      <c r="BL111" s="3166">
        <f t="shared" si="78"/>
        <v>0</v>
      </c>
      <c r="BM111" s="3166">
        <f t="shared" si="79"/>
        <v>0</v>
      </c>
      <c r="BN111" s="3166">
        <f t="shared" si="80"/>
        <v>0</v>
      </c>
      <c r="BO111" s="3166">
        <f t="shared" si="81"/>
        <v>0</v>
      </c>
      <c r="BP111" s="3166">
        <f t="shared" si="82"/>
        <v>0</v>
      </c>
      <c r="BQ111" s="3166">
        <f t="shared" si="83"/>
        <v>0</v>
      </c>
      <c r="BR111" s="3166">
        <f t="shared" si="84"/>
        <v>0</v>
      </c>
      <c r="BS111" s="3166">
        <f t="shared" si="85"/>
        <v>0</v>
      </c>
      <c r="BT111" s="3240">
        <f t="shared" si="86"/>
        <v>0</v>
      </c>
    </row>
    <row r="112" spans="1:72">
      <c r="A112" s="3163"/>
      <c r="B112" s="3163"/>
      <c r="C112" s="3163"/>
      <c r="D112" s="3176"/>
      <c r="E112" s="3166">
        <f t="shared" si="33"/>
        <v>0</v>
      </c>
      <c r="F112" s="3241"/>
      <c r="G112" s="3168">
        <f t="shared" si="62"/>
        <v>0</v>
      </c>
      <c r="H112" s="3169">
        <f t="shared" si="63"/>
        <v>0</v>
      </c>
      <c r="I112" s="3187"/>
      <c r="J112" s="3187"/>
      <c r="K112" s="3187"/>
      <c r="L112" s="3187"/>
      <c r="M112" s="3187"/>
      <c r="N112" s="3187"/>
      <c r="O112" s="3187"/>
      <c r="P112" s="3187"/>
      <c r="Q112" s="3187"/>
      <c r="R112" s="3187"/>
      <c r="S112" s="3187"/>
      <c r="T112" s="3187"/>
      <c r="U112" s="3187"/>
      <c r="V112" s="3187"/>
      <c r="W112" s="3187"/>
      <c r="X112" s="3187"/>
      <c r="Y112" s="3187"/>
      <c r="Z112" s="3187"/>
      <c r="AA112" s="3187"/>
      <c r="AB112" s="3187"/>
      <c r="AC112" s="3166">
        <f t="shared" si="64"/>
        <v>0</v>
      </c>
      <c r="AD112" s="3198"/>
      <c r="AE112" s="3198"/>
      <c r="AF112" s="3198"/>
      <c r="AG112" s="3198"/>
      <c r="AH112" s="3198"/>
      <c r="AI112" s="3198"/>
      <c r="AJ112" s="3198"/>
      <c r="AK112" s="3198"/>
      <c r="AL112" s="3198"/>
      <c r="AM112" s="3198"/>
      <c r="AN112" s="3198"/>
      <c r="AO112" s="3198"/>
      <c r="AP112" s="3198"/>
      <c r="AQ112" s="3198"/>
      <c r="AR112" s="3198"/>
      <c r="AS112" s="3198"/>
      <c r="AT112" s="3198"/>
      <c r="AU112" s="3243"/>
      <c r="AV112" s="488">
        <f t="shared" si="37"/>
        <v>0</v>
      </c>
      <c r="AW112" s="488">
        <f t="shared" si="38"/>
        <v>0</v>
      </c>
      <c r="AX112" s="488">
        <f t="shared" si="39"/>
        <v>0</v>
      </c>
      <c r="AY112" s="3235">
        <f t="shared" si="65"/>
        <v>0</v>
      </c>
      <c r="AZ112" s="3166">
        <f t="shared" si="66"/>
        <v>0</v>
      </c>
      <c r="BA112" s="3166">
        <f t="shared" si="67"/>
        <v>0</v>
      </c>
      <c r="BB112" s="3166">
        <f t="shared" si="68"/>
        <v>0</v>
      </c>
      <c r="BC112" s="3166">
        <f t="shared" si="69"/>
        <v>0</v>
      </c>
      <c r="BD112" s="3166">
        <f t="shared" si="70"/>
        <v>0</v>
      </c>
      <c r="BE112" s="3166">
        <f t="shared" si="71"/>
        <v>0</v>
      </c>
      <c r="BF112" s="3166">
        <f t="shared" si="72"/>
        <v>0</v>
      </c>
      <c r="BG112" s="3166">
        <f t="shared" si="73"/>
        <v>0</v>
      </c>
      <c r="BH112" s="3166">
        <f t="shared" si="74"/>
        <v>0</v>
      </c>
      <c r="BI112" s="3166">
        <f t="shared" si="75"/>
        <v>0</v>
      </c>
      <c r="BJ112" s="3166">
        <f t="shared" si="76"/>
        <v>0</v>
      </c>
      <c r="BK112" s="3166">
        <f t="shared" si="77"/>
        <v>0</v>
      </c>
      <c r="BL112" s="3166">
        <f t="shared" si="78"/>
        <v>0</v>
      </c>
      <c r="BM112" s="3166">
        <f t="shared" si="79"/>
        <v>0</v>
      </c>
      <c r="BN112" s="3166">
        <f t="shared" si="80"/>
        <v>0</v>
      </c>
      <c r="BO112" s="3166">
        <f t="shared" si="81"/>
        <v>0</v>
      </c>
      <c r="BP112" s="3166">
        <f t="shared" si="82"/>
        <v>0</v>
      </c>
      <c r="BQ112" s="3166">
        <f t="shared" si="83"/>
        <v>0</v>
      </c>
      <c r="BR112" s="3166">
        <f t="shared" si="84"/>
        <v>0</v>
      </c>
      <c r="BS112" s="3166">
        <f t="shared" si="85"/>
        <v>0</v>
      </c>
      <c r="BT112" s="3240">
        <f t="shared" si="86"/>
        <v>0</v>
      </c>
    </row>
    <row r="113" spans="1:72">
      <c r="A113" s="3163"/>
      <c r="B113" s="3173"/>
      <c r="C113" s="3171"/>
      <c r="D113" s="3172"/>
      <c r="E113" s="3166">
        <f t="shared" ref="E113:E144" si="87">IF($C$3="是",ROUND($A$3*G113/$B$3,2),ROUND($A$3*(G113-AT113)/$B$3,2))</f>
        <v>0</v>
      </c>
      <c r="F113" s="3167"/>
      <c r="G113" s="3168">
        <f t="shared" si="62"/>
        <v>0</v>
      </c>
      <c r="H113" s="3169">
        <f t="shared" si="63"/>
        <v>0</v>
      </c>
      <c r="I113" s="3175"/>
      <c r="J113" s="3187"/>
      <c r="K113" s="3175"/>
      <c r="L113" s="3187"/>
      <c r="M113" s="3187"/>
      <c r="N113" s="3187"/>
      <c r="O113" s="3187"/>
      <c r="P113" s="3187"/>
      <c r="Q113" s="3187"/>
      <c r="R113" s="3187"/>
      <c r="S113" s="3187"/>
      <c r="T113" s="3187"/>
      <c r="U113" s="3187"/>
      <c r="V113" s="3187"/>
      <c r="W113" s="3187"/>
      <c r="X113" s="3187"/>
      <c r="Y113" s="3187"/>
      <c r="Z113" s="3187"/>
      <c r="AA113" s="3187"/>
      <c r="AB113" s="3187"/>
      <c r="AC113" s="3166">
        <f t="shared" si="64"/>
        <v>0</v>
      </c>
      <c r="AD113" s="3198"/>
      <c r="AE113" s="3198"/>
      <c r="AF113" s="3199"/>
      <c r="AG113" s="3198"/>
      <c r="AH113" s="3198"/>
      <c r="AI113" s="3198"/>
      <c r="AJ113" s="3198"/>
      <c r="AK113" s="3198"/>
      <c r="AL113" s="3198"/>
      <c r="AM113" s="3198"/>
      <c r="AN113" s="3188"/>
      <c r="AO113" s="3198"/>
      <c r="AP113" s="3198"/>
      <c r="AQ113" s="3198"/>
      <c r="AR113" s="3198"/>
      <c r="AS113" s="3198"/>
      <c r="AT113" s="3218"/>
      <c r="AU113" s="3219"/>
      <c r="AV113" s="488">
        <f t="shared" ref="AV113:AV144" si="88">A113</f>
        <v>0</v>
      </c>
      <c r="AW113" s="488">
        <f t="shared" ref="AW113:AW144" si="89">B113</f>
        <v>0</v>
      </c>
      <c r="AX113" s="488">
        <f t="shared" ref="AX113:AX144" si="90">C113</f>
        <v>0</v>
      </c>
      <c r="AY113" s="3235">
        <f t="shared" si="65"/>
        <v>0</v>
      </c>
      <c r="AZ113" s="3166">
        <f t="shared" si="66"/>
        <v>0</v>
      </c>
      <c r="BA113" s="3166">
        <f t="shared" si="67"/>
        <v>0</v>
      </c>
      <c r="BB113" s="3166">
        <f t="shared" si="68"/>
        <v>0</v>
      </c>
      <c r="BC113" s="3166">
        <f t="shared" si="69"/>
        <v>0</v>
      </c>
      <c r="BD113" s="3166">
        <f t="shared" si="70"/>
        <v>0</v>
      </c>
      <c r="BE113" s="3166">
        <f t="shared" si="71"/>
        <v>0</v>
      </c>
      <c r="BF113" s="3166">
        <f t="shared" si="72"/>
        <v>0</v>
      </c>
      <c r="BG113" s="3166">
        <f t="shared" si="73"/>
        <v>0</v>
      </c>
      <c r="BH113" s="3166">
        <f t="shared" si="74"/>
        <v>0</v>
      </c>
      <c r="BI113" s="3166">
        <f t="shared" si="75"/>
        <v>0</v>
      </c>
      <c r="BJ113" s="3166">
        <f t="shared" si="76"/>
        <v>0</v>
      </c>
      <c r="BK113" s="3166">
        <f t="shared" si="77"/>
        <v>0</v>
      </c>
      <c r="BL113" s="3166">
        <f t="shared" si="78"/>
        <v>0</v>
      </c>
      <c r="BM113" s="3166">
        <f t="shared" si="79"/>
        <v>0</v>
      </c>
      <c r="BN113" s="3166">
        <f t="shared" si="80"/>
        <v>0</v>
      </c>
      <c r="BO113" s="3166">
        <f t="shared" si="81"/>
        <v>0</v>
      </c>
      <c r="BP113" s="3166">
        <f t="shared" si="82"/>
        <v>0</v>
      </c>
      <c r="BQ113" s="3166">
        <f t="shared" si="83"/>
        <v>0</v>
      </c>
      <c r="BR113" s="3166">
        <f t="shared" si="84"/>
        <v>0</v>
      </c>
      <c r="BS113" s="3166">
        <f t="shared" si="85"/>
        <v>0</v>
      </c>
      <c r="BT113" s="3240">
        <f t="shared" si="86"/>
        <v>0</v>
      </c>
    </row>
    <row r="114" spans="1:72">
      <c r="A114" s="3163"/>
      <c r="B114" s="3173"/>
      <c r="C114" s="3171"/>
      <c r="D114" s="3172"/>
      <c r="E114" s="3166">
        <f t="shared" si="87"/>
        <v>0</v>
      </c>
      <c r="F114" s="3167"/>
      <c r="G114" s="3168">
        <f t="shared" si="62"/>
        <v>0</v>
      </c>
      <c r="H114" s="3169">
        <f t="shared" si="63"/>
        <v>0</v>
      </c>
      <c r="I114" s="3175"/>
      <c r="J114" s="3187"/>
      <c r="K114" s="3175"/>
      <c r="L114" s="3187"/>
      <c r="M114" s="3188"/>
      <c r="N114" s="3187"/>
      <c r="O114" s="3187"/>
      <c r="P114" s="3187"/>
      <c r="Q114" s="3187"/>
      <c r="R114" s="3187"/>
      <c r="S114" s="3187"/>
      <c r="T114" s="3187"/>
      <c r="U114" s="3187"/>
      <c r="V114" s="3187"/>
      <c r="W114" s="3187"/>
      <c r="X114" s="3187"/>
      <c r="Y114" s="3187"/>
      <c r="Z114" s="3187"/>
      <c r="AA114" s="3187"/>
      <c r="AB114" s="3187"/>
      <c r="AC114" s="3166">
        <f t="shared" si="64"/>
        <v>0</v>
      </c>
      <c r="AD114" s="3188"/>
      <c r="AE114" s="3198"/>
      <c r="AF114" s="3199"/>
      <c r="AG114" s="3198"/>
      <c r="AH114" s="3198"/>
      <c r="AI114" s="3198"/>
      <c r="AJ114" s="3198"/>
      <c r="AK114" s="3198"/>
      <c r="AL114" s="3188"/>
      <c r="AM114" s="3198"/>
      <c r="AN114" s="3188"/>
      <c r="AO114" s="3198"/>
      <c r="AP114" s="3198"/>
      <c r="AQ114" s="3198"/>
      <c r="AR114" s="3198"/>
      <c r="AS114" s="3198"/>
      <c r="AT114" s="3218"/>
      <c r="AU114" s="3219"/>
      <c r="AV114" s="488">
        <f t="shared" si="88"/>
        <v>0</v>
      </c>
      <c r="AW114" s="488">
        <f t="shared" si="89"/>
        <v>0</v>
      </c>
      <c r="AX114" s="488">
        <f t="shared" si="90"/>
        <v>0</v>
      </c>
      <c r="AY114" s="3235">
        <f t="shared" si="65"/>
        <v>0</v>
      </c>
      <c r="AZ114" s="3166">
        <f t="shared" si="66"/>
        <v>0</v>
      </c>
      <c r="BA114" s="3166">
        <f t="shared" si="67"/>
        <v>0</v>
      </c>
      <c r="BB114" s="3166">
        <f t="shared" si="68"/>
        <v>0</v>
      </c>
      <c r="BC114" s="3166">
        <f t="shared" si="69"/>
        <v>0</v>
      </c>
      <c r="BD114" s="3166">
        <f t="shared" si="70"/>
        <v>0</v>
      </c>
      <c r="BE114" s="3166">
        <f t="shared" si="71"/>
        <v>0</v>
      </c>
      <c r="BF114" s="3166">
        <f t="shared" si="72"/>
        <v>0</v>
      </c>
      <c r="BG114" s="3166">
        <f t="shared" si="73"/>
        <v>0</v>
      </c>
      <c r="BH114" s="3166">
        <f t="shared" si="74"/>
        <v>0</v>
      </c>
      <c r="BI114" s="3166">
        <f t="shared" si="75"/>
        <v>0</v>
      </c>
      <c r="BJ114" s="3166">
        <f t="shared" si="76"/>
        <v>0</v>
      </c>
      <c r="BK114" s="3166">
        <f t="shared" si="77"/>
        <v>0</v>
      </c>
      <c r="BL114" s="3166">
        <f t="shared" si="78"/>
        <v>0</v>
      </c>
      <c r="BM114" s="3166">
        <f t="shared" si="79"/>
        <v>0</v>
      </c>
      <c r="BN114" s="3166">
        <f t="shared" si="80"/>
        <v>0</v>
      </c>
      <c r="BO114" s="3166">
        <f t="shared" si="81"/>
        <v>0</v>
      </c>
      <c r="BP114" s="3166">
        <f t="shared" si="82"/>
        <v>0</v>
      </c>
      <c r="BQ114" s="3166">
        <f t="shared" si="83"/>
        <v>0</v>
      </c>
      <c r="BR114" s="3166">
        <f t="shared" si="84"/>
        <v>0</v>
      </c>
      <c r="BS114" s="3166">
        <f t="shared" si="85"/>
        <v>0</v>
      </c>
      <c r="BT114" s="3240">
        <f t="shared" si="86"/>
        <v>0</v>
      </c>
    </row>
    <row r="115" spans="1:72">
      <c r="A115" s="3163"/>
      <c r="B115" s="3173"/>
      <c r="C115" s="3171"/>
      <c r="D115" s="3172"/>
      <c r="E115" s="3166">
        <f t="shared" si="87"/>
        <v>0</v>
      </c>
      <c r="F115" s="3167"/>
      <c r="G115" s="3168">
        <f t="shared" si="62"/>
        <v>0</v>
      </c>
      <c r="H115" s="3169">
        <f t="shared" si="63"/>
        <v>0</v>
      </c>
      <c r="I115" s="3175"/>
      <c r="J115" s="3187"/>
      <c r="K115" s="3175"/>
      <c r="L115" s="3187"/>
      <c r="M115" s="3188"/>
      <c r="N115" s="3187"/>
      <c r="O115" s="3187"/>
      <c r="P115" s="3187"/>
      <c r="Q115" s="3187"/>
      <c r="R115" s="3187"/>
      <c r="S115" s="3187"/>
      <c r="T115" s="3187"/>
      <c r="U115" s="3187"/>
      <c r="V115" s="3187"/>
      <c r="W115" s="3187"/>
      <c r="X115" s="3187"/>
      <c r="Y115" s="3187"/>
      <c r="Z115" s="3187"/>
      <c r="AA115" s="3187"/>
      <c r="AB115" s="3187"/>
      <c r="AC115" s="3166">
        <f t="shared" si="64"/>
        <v>0</v>
      </c>
      <c r="AD115" s="3198"/>
      <c r="AE115" s="3198"/>
      <c r="AF115" s="3199"/>
      <c r="AG115" s="3198"/>
      <c r="AH115" s="3198"/>
      <c r="AI115" s="3198"/>
      <c r="AJ115" s="3198"/>
      <c r="AK115" s="3198"/>
      <c r="AL115" s="3188"/>
      <c r="AM115" s="3198"/>
      <c r="AN115" s="3188"/>
      <c r="AO115" s="3198"/>
      <c r="AP115" s="3198"/>
      <c r="AQ115" s="3198"/>
      <c r="AR115" s="3198"/>
      <c r="AS115" s="3198"/>
      <c r="AT115" s="3218"/>
      <c r="AU115" s="3219"/>
      <c r="AV115" s="488">
        <f t="shared" si="88"/>
        <v>0</v>
      </c>
      <c r="AW115" s="488">
        <f t="shared" si="89"/>
        <v>0</v>
      </c>
      <c r="AX115" s="488">
        <f t="shared" si="90"/>
        <v>0</v>
      </c>
      <c r="AY115" s="3235">
        <f t="shared" si="65"/>
        <v>0</v>
      </c>
      <c r="AZ115" s="3166">
        <f t="shared" si="66"/>
        <v>0</v>
      </c>
      <c r="BA115" s="3166">
        <f t="shared" si="67"/>
        <v>0</v>
      </c>
      <c r="BB115" s="3166">
        <f t="shared" si="68"/>
        <v>0</v>
      </c>
      <c r="BC115" s="3166">
        <f t="shared" si="69"/>
        <v>0</v>
      </c>
      <c r="BD115" s="3166">
        <f t="shared" si="70"/>
        <v>0</v>
      </c>
      <c r="BE115" s="3166">
        <f t="shared" si="71"/>
        <v>0</v>
      </c>
      <c r="BF115" s="3166">
        <f t="shared" si="72"/>
        <v>0</v>
      </c>
      <c r="BG115" s="3166">
        <f t="shared" si="73"/>
        <v>0</v>
      </c>
      <c r="BH115" s="3166">
        <f t="shared" si="74"/>
        <v>0</v>
      </c>
      <c r="BI115" s="3166">
        <f t="shared" si="75"/>
        <v>0</v>
      </c>
      <c r="BJ115" s="3166">
        <f t="shared" si="76"/>
        <v>0</v>
      </c>
      <c r="BK115" s="3166">
        <f t="shared" si="77"/>
        <v>0</v>
      </c>
      <c r="BL115" s="3166">
        <f t="shared" si="78"/>
        <v>0</v>
      </c>
      <c r="BM115" s="3166">
        <f t="shared" si="79"/>
        <v>0</v>
      </c>
      <c r="BN115" s="3166">
        <f t="shared" si="80"/>
        <v>0</v>
      </c>
      <c r="BO115" s="3166">
        <f t="shared" si="81"/>
        <v>0</v>
      </c>
      <c r="BP115" s="3166">
        <f t="shared" si="82"/>
        <v>0</v>
      </c>
      <c r="BQ115" s="3166">
        <f t="shared" si="83"/>
        <v>0</v>
      </c>
      <c r="BR115" s="3166">
        <f t="shared" si="84"/>
        <v>0</v>
      </c>
      <c r="BS115" s="3166">
        <f t="shared" si="85"/>
        <v>0</v>
      </c>
      <c r="BT115" s="3240">
        <f t="shared" si="86"/>
        <v>0</v>
      </c>
    </row>
    <row r="116" spans="1:72">
      <c r="A116" s="3163"/>
      <c r="B116" s="3173"/>
      <c r="C116" s="3171"/>
      <c r="D116" s="3172"/>
      <c r="E116" s="3166">
        <f t="shared" si="87"/>
        <v>0</v>
      </c>
      <c r="F116" s="3167"/>
      <c r="G116" s="3168">
        <f t="shared" si="62"/>
        <v>0</v>
      </c>
      <c r="H116" s="3169">
        <f t="shared" si="63"/>
        <v>0</v>
      </c>
      <c r="I116" s="3175"/>
      <c r="J116" s="3187"/>
      <c r="K116" s="3175"/>
      <c r="L116" s="3187"/>
      <c r="M116" s="3187"/>
      <c r="N116" s="3187"/>
      <c r="O116" s="3188"/>
      <c r="P116" s="3187"/>
      <c r="Q116" s="3187"/>
      <c r="R116" s="3187"/>
      <c r="S116" s="3187"/>
      <c r="T116" s="3187"/>
      <c r="U116" s="3187"/>
      <c r="V116" s="3187"/>
      <c r="W116" s="3187"/>
      <c r="X116" s="3187"/>
      <c r="Y116" s="3187"/>
      <c r="Z116" s="3187"/>
      <c r="AA116" s="3187"/>
      <c r="AB116" s="3187"/>
      <c r="AC116" s="3166">
        <f t="shared" si="64"/>
        <v>0</v>
      </c>
      <c r="AD116" s="3198"/>
      <c r="AE116" s="3198"/>
      <c r="AF116" s="3199"/>
      <c r="AG116" s="3198"/>
      <c r="AH116" s="3198"/>
      <c r="AI116" s="3198"/>
      <c r="AJ116" s="3198"/>
      <c r="AK116" s="3198"/>
      <c r="AL116" s="3198"/>
      <c r="AM116" s="3198"/>
      <c r="AN116" s="3188"/>
      <c r="AO116" s="3198"/>
      <c r="AP116" s="3198"/>
      <c r="AQ116" s="3198"/>
      <c r="AR116" s="3198"/>
      <c r="AS116" s="3198"/>
      <c r="AT116" s="3218"/>
      <c r="AU116" s="3219"/>
      <c r="AV116" s="488">
        <f t="shared" si="88"/>
        <v>0</v>
      </c>
      <c r="AW116" s="488">
        <f t="shared" si="89"/>
        <v>0</v>
      </c>
      <c r="AX116" s="488">
        <f t="shared" si="90"/>
        <v>0</v>
      </c>
      <c r="AY116" s="3235">
        <f t="shared" si="65"/>
        <v>0</v>
      </c>
      <c r="AZ116" s="3166">
        <f t="shared" si="66"/>
        <v>0</v>
      </c>
      <c r="BA116" s="3166">
        <f t="shared" si="67"/>
        <v>0</v>
      </c>
      <c r="BB116" s="3166">
        <f t="shared" si="68"/>
        <v>0</v>
      </c>
      <c r="BC116" s="3166">
        <f t="shared" si="69"/>
        <v>0</v>
      </c>
      <c r="BD116" s="3166">
        <f t="shared" si="70"/>
        <v>0</v>
      </c>
      <c r="BE116" s="3166">
        <f t="shared" si="71"/>
        <v>0</v>
      </c>
      <c r="BF116" s="3166">
        <f t="shared" si="72"/>
        <v>0</v>
      </c>
      <c r="BG116" s="3166">
        <f t="shared" si="73"/>
        <v>0</v>
      </c>
      <c r="BH116" s="3166">
        <f t="shared" si="74"/>
        <v>0</v>
      </c>
      <c r="BI116" s="3166">
        <f t="shared" si="75"/>
        <v>0</v>
      </c>
      <c r="BJ116" s="3166">
        <f t="shared" si="76"/>
        <v>0</v>
      </c>
      <c r="BK116" s="3166">
        <f t="shared" si="77"/>
        <v>0</v>
      </c>
      <c r="BL116" s="3166">
        <f t="shared" si="78"/>
        <v>0</v>
      </c>
      <c r="BM116" s="3166">
        <f t="shared" si="79"/>
        <v>0</v>
      </c>
      <c r="BN116" s="3166">
        <f t="shared" si="80"/>
        <v>0</v>
      </c>
      <c r="BO116" s="3166">
        <f t="shared" si="81"/>
        <v>0</v>
      </c>
      <c r="BP116" s="3166">
        <f t="shared" si="82"/>
        <v>0</v>
      </c>
      <c r="BQ116" s="3166">
        <f t="shared" si="83"/>
        <v>0</v>
      </c>
      <c r="BR116" s="3166">
        <f t="shared" si="84"/>
        <v>0</v>
      </c>
      <c r="BS116" s="3166">
        <f t="shared" si="85"/>
        <v>0</v>
      </c>
      <c r="BT116" s="3240">
        <f t="shared" si="86"/>
        <v>0</v>
      </c>
    </row>
    <row r="117" spans="1:72">
      <c r="A117" s="3163"/>
      <c r="B117" s="3173"/>
      <c r="C117" s="3171"/>
      <c r="D117" s="3172"/>
      <c r="E117" s="3166">
        <f t="shared" si="87"/>
        <v>0</v>
      </c>
      <c r="F117" s="3167"/>
      <c r="G117" s="3168">
        <f t="shared" si="62"/>
        <v>0</v>
      </c>
      <c r="H117" s="3169">
        <f t="shared" si="63"/>
        <v>0</v>
      </c>
      <c r="I117" s="3175"/>
      <c r="J117" s="3187"/>
      <c r="K117" s="3175"/>
      <c r="L117" s="3187"/>
      <c r="M117" s="3187"/>
      <c r="N117" s="3187"/>
      <c r="O117" s="3187"/>
      <c r="P117" s="3187"/>
      <c r="Q117" s="3187"/>
      <c r="R117" s="3187"/>
      <c r="S117" s="3187"/>
      <c r="T117" s="3187"/>
      <c r="U117" s="3187"/>
      <c r="V117" s="3187"/>
      <c r="W117" s="3187"/>
      <c r="X117" s="3187"/>
      <c r="Y117" s="3187"/>
      <c r="Z117" s="3187"/>
      <c r="AA117" s="3187"/>
      <c r="AB117" s="3187"/>
      <c r="AC117" s="3166">
        <f t="shared" si="64"/>
        <v>0</v>
      </c>
      <c r="AD117" s="3198"/>
      <c r="AE117" s="3198"/>
      <c r="AF117" s="3199"/>
      <c r="AG117" s="3198"/>
      <c r="AH117" s="3198"/>
      <c r="AI117" s="3198"/>
      <c r="AJ117" s="3198"/>
      <c r="AK117" s="3198"/>
      <c r="AL117" s="3198"/>
      <c r="AM117" s="3198"/>
      <c r="AN117" s="3198"/>
      <c r="AO117" s="3198"/>
      <c r="AP117" s="3198"/>
      <c r="AQ117" s="3198"/>
      <c r="AR117" s="3198"/>
      <c r="AS117" s="3198"/>
      <c r="AT117" s="3218"/>
      <c r="AU117" s="3219"/>
      <c r="AV117" s="488">
        <f t="shared" si="88"/>
        <v>0</v>
      </c>
      <c r="AW117" s="488">
        <f t="shared" si="89"/>
        <v>0</v>
      </c>
      <c r="AX117" s="488">
        <f t="shared" si="90"/>
        <v>0</v>
      </c>
      <c r="AY117" s="3235">
        <f t="shared" si="65"/>
        <v>0</v>
      </c>
      <c r="AZ117" s="3166">
        <f t="shared" si="66"/>
        <v>0</v>
      </c>
      <c r="BA117" s="3166">
        <f t="shared" si="67"/>
        <v>0</v>
      </c>
      <c r="BB117" s="3166">
        <f t="shared" si="68"/>
        <v>0</v>
      </c>
      <c r="BC117" s="3166">
        <f t="shared" si="69"/>
        <v>0</v>
      </c>
      <c r="BD117" s="3166">
        <f t="shared" si="70"/>
        <v>0</v>
      </c>
      <c r="BE117" s="3166">
        <f t="shared" si="71"/>
        <v>0</v>
      </c>
      <c r="BF117" s="3166">
        <f t="shared" si="72"/>
        <v>0</v>
      </c>
      <c r="BG117" s="3166">
        <f t="shared" si="73"/>
        <v>0</v>
      </c>
      <c r="BH117" s="3166">
        <f t="shared" si="74"/>
        <v>0</v>
      </c>
      <c r="BI117" s="3166">
        <f t="shared" si="75"/>
        <v>0</v>
      </c>
      <c r="BJ117" s="3166">
        <f t="shared" si="76"/>
        <v>0</v>
      </c>
      <c r="BK117" s="3166">
        <f t="shared" si="77"/>
        <v>0</v>
      </c>
      <c r="BL117" s="3166">
        <f t="shared" si="78"/>
        <v>0</v>
      </c>
      <c r="BM117" s="3166">
        <f t="shared" si="79"/>
        <v>0</v>
      </c>
      <c r="BN117" s="3166">
        <f t="shared" si="80"/>
        <v>0</v>
      </c>
      <c r="BO117" s="3166">
        <f t="shared" si="81"/>
        <v>0</v>
      </c>
      <c r="BP117" s="3166">
        <f t="shared" si="82"/>
        <v>0</v>
      </c>
      <c r="BQ117" s="3166">
        <f t="shared" si="83"/>
        <v>0</v>
      </c>
      <c r="BR117" s="3166">
        <f t="shared" si="84"/>
        <v>0</v>
      </c>
      <c r="BS117" s="3166">
        <f t="shared" si="85"/>
        <v>0</v>
      </c>
      <c r="BT117" s="3240">
        <f t="shared" si="86"/>
        <v>0</v>
      </c>
    </row>
    <row r="118" spans="1:72">
      <c r="A118" s="3163"/>
      <c r="B118" s="3173"/>
      <c r="C118" s="3171"/>
      <c r="D118" s="3172"/>
      <c r="E118" s="3166">
        <f t="shared" si="87"/>
        <v>0</v>
      </c>
      <c r="F118" s="3167"/>
      <c r="G118" s="3168">
        <f t="shared" si="62"/>
        <v>0</v>
      </c>
      <c r="H118" s="3169">
        <f t="shared" si="63"/>
        <v>0</v>
      </c>
      <c r="I118" s="3175"/>
      <c r="J118" s="3187"/>
      <c r="K118" s="3175"/>
      <c r="L118" s="3187"/>
      <c r="M118" s="3187"/>
      <c r="N118" s="3187"/>
      <c r="O118" s="3187"/>
      <c r="P118" s="3187"/>
      <c r="Q118" s="3187"/>
      <c r="R118" s="3187"/>
      <c r="S118" s="3187"/>
      <c r="T118" s="3187"/>
      <c r="U118" s="3187"/>
      <c r="V118" s="3187"/>
      <c r="W118" s="3187"/>
      <c r="X118" s="3187"/>
      <c r="Y118" s="3187"/>
      <c r="Z118" s="3187"/>
      <c r="AA118" s="3187"/>
      <c r="AB118" s="3187"/>
      <c r="AC118" s="3166">
        <f t="shared" si="64"/>
        <v>0</v>
      </c>
      <c r="AD118" s="3198"/>
      <c r="AE118" s="3198"/>
      <c r="AF118" s="3199"/>
      <c r="AG118" s="3198"/>
      <c r="AH118" s="3198"/>
      <c r="AI118" s="3198"/>
      <c r="AJ118" s="3198"/>
      <c r="AK118" s="3198"/>
      <c r="AL118" s="3198"/>
      <c r="AM118" s="3198"/>
      <c r="AN118" s="3198"/>
      <c r="AO118" s="3198"/>
      <c r="AP118" s="3198"/>
      <c r="AQ118" s="3198"/>
      <c r="AR118" s="3198"/>
      <c r="AS118" s="3198"/>
      <c r="AT118" s="3218"/>
      <c r="AU118" s="3219"/>
      <c r="AV118" s="488">
        <f t="shared" si="88"/>
        <v>0</v>
      </c>
      <c r="AW118" s="488">
        <f t="shared" si="89"/>
        <v>0</v>
      </c>
      <c r="AX118" s="488">
        <f t="shared" si="90"/>
        <v>0</v>
      </c>
      <c r="AY118" s="3235">
        <f t="shared" si="65"/>
        <v>0</v>
      </c>
      <c r="AZ118" s="3166">
        <f t="shared" si="66"/>
        <v>0</v>
      </c>
      <c r="BA118" s="3166">
        <f t="shared" si="67"/>
        <v>0</v>
      </c>
      <c r="BB118" s="3166">
        <f t="shared" si="68"/>
        <v>0</v>
      </c>
      <c r="BC118" s="3166">
        <f t="shared" si="69"/>
        <v>0</v>
      </c>
      <c r="BD118" s="3166">
        <f t="shared" si="70"/>
        <v>0</v>
      </c>
      <c r="BE118" s="3166">
        <f t="shared" si="71"/>
        <v>0</v>
      </c>
      <c r="BF118" s="3166">
        <f t="shared" si="72"/>
        <v>0</v>
      </c>
      <c r="BG118" s="3166">
        <f t="shared" si="73"/>
        <v>0</v>
      </c>
      <c r="BH118" s="3166">
        <f t="shared" si="74"/>
        <v>0</v>
      </c>
      <c r="BI118" s="3166">
        <f t="shared" si="75"/>
        <v>0</v>
      </c>
      <c r="BJ118" s="3166">
        <f t="shared" si="76"/>
        <v>0</v>
      </c>
      <c r="BK118" s="3166">
        <f t="shared" si="77"/>
        <v>0</v>
      </c>
      <c r="BL118" s="3166">
        <f t="shared" si="78"/>
        <v>0</v>
      </c>
      <c r="BM118" s="3166">
        <f t="shared" si="79"/>
        <v>0</v>
      </c>
      <c r="BN118" s="3166">
        <f t="shared" si="80"/>
        <v>0</v>
      </c>
      <c r="BO118" s="3166">
        <f t="shared" si="81"/>
        <v>0</v>
      </c>
      <c r="BP118" s="3166">
        <f t="shared" si="82"/>
        <v>0</v>
      </c>
      <c r="BQ118" s="3166">
        <f t="shared" si="83"/>
        <v>0</v>
      </c>
      <c r="BR118" s="3166">
        <f t="shared" si="84"/>
        <v>0</v>
      </c>
      <c r="BS118" s="3166">
        <f t="shared" si="85"/>
        <v>0</v>
      </c>
      <c r="BT118" s="3240">
        <f t="shared" si="86"/>
        <v>0</v>
      </c>
    </row>
    <row r="119" spans="1:72">
      <c r="A119" s="3163"/>
      <c r="B119" s="3173"/>
      <c r="C119" s="3171"/>
      <c r="D119" s="3172"/>
      <c r="E119" s="3166">
        <f t="shared" si="87"/>
        <v>0</v>
      </c>
      <c r="F119" s="3167"/>
      <c r="G119" s="3168">
        <f t="shared" si="62"/>
        <v>0</v>
      </c>
      <c r="H119" s="3169">
        <f t="shared" si="63"/>
        <v>0</v>
      </c>
      <c r="I119" s="3175"/>
      <c r="J119" s="3187"/>
      <c r="K119" s="3175"/>
      <c r="L119" s="3187"/>
      <c r="M119" s="3187"/>
      <c r="N119" s="3187"/>
      <c r="O119" s="3187"/>
      <c r="P119" s="3187"/>
      <c r="Q119" s="3187"/>
      <c r="R119" s="3187"/>
      <c r="S119" s="3187"/>
      <c r="T119" s="3187"/>
      <c r="U119" s="3187"/>
      <c r="V119" s="3187"/>
      <c r="W119" s="3187"/>
      <c r="X119" s="3187"/>
      <c r="Y119" s="3187"/>
      <c r="Z119" s="3187"/>
      <c r="AA119" s="3187"/>
      <c r="AB119" s="3187"/>
      <c r="AC119" s="3166">
        <f t="shared" si="64"/>
        <v>0</v>
      </c>
      <c r="AD119" s="3198"/>
      <c r="AE119" s="3198"/>
      <c r="AF119" s="3199"/>
      <c r="AG119" s="3198"/>
      <c r="AH119" s="3198"/>
      <c r="AI119" s="3198"/>
      <c r="AJ119" s="3198"/>
      <c r="AK119" s="3198"/>
      <c r="AL119" s="3198"/>
      <c r="AM119" s="3198"/>
      <c r="AN119" s="3198"/>
      <c r="AO119" s="3198"/>
      <c r="AP119" s="3198"/>
      <c r="AQ119" s="3198"/>
      <c r="AR119" s="3198"/>
      <c r="AS119" s="3198"/>
      <c r="AT119" s="3218"/>
      <c r="AU119" s="3219"/>
      <c r="AV119" s="488">
        <f t="shared" si="88"/>
        <v>0</v>
      </c>
      <c r="AW119" s="488">
        <f t="shared" si="89"/>
        <v>0</v>
      </c>
      <c r="AX119" s="488">
        <f t="shared" si="90"/>
        <v>0</v>
      </c>
      <c r="AY119" s="3235">
        <f t="shared" si="65"/>
        <v>0</v>
      </c>
      <c r="AZ119" s="3166">
        <f t="shared" si="66"/>
        <v>0</v>
      </c>
      <c r="BA119" s="3166">
        <f t="shared" si="67"/>
        <v>0</v>
      </c>
      <c r="BB119" s="3166">
        <f t="shared" si="68"/>
        <v>0</v>
      </c>
      <c r="BC119" s="3166">
        <f t="shared" si="69"/>
        <v>0</v>
      </c>
      <c r="BD119" s="3166">
        <f t="shared" si="70"/>
        <v>0</v>
      </c>
      <c r="BE119" s="3166">
        <f t="shared" si="71"/>
        <v>0</v>
      </c>
      <c r="BF119" s="3166">
        <f t="shared" si="72"/>
        <v>0</v>
      </c>
      <c r="BG119" s="3166">
        <f t="shared" si="73"/>
        <v>0</v>
      </c>
      <c r="BH119" s="3166">
        <f t="shared" si="74"/>
        <v>0</v>
      </c>
      <c r="BI119" s="3166">
        <f t="shared" si="75"/>
        <v>0</v>
      </c>
      <c r="BJ119" s="3166">
        <f t="shared" si="76"/>
        <v>0</v>
      </c>
      <c r="BK119" s="3166">
        <f t="shared" si="77"/>
        <v>0</v>
      </c>
      <c r="BL119" s="3166">
        <f t="shared" si="78"/>
        <v>0</v>
      </c>
      <c r="BM119" s="3166">
        <f t="shared" si="79"/>
        <v>0</v>
      </c>
      <c r="BN119" s="3166">
        <f t="shared" si="80"/>
        <v>0</v>
      </c>
      <c r="BO119" s="3166">
        <f t="shared" si="81"/>
        <v>0</v>
      </c>
      <c r="BP119" s="3166">
        <f t="shared" si="82"/>
        <v>0</v>
      </c>
      <c r="BQ119" s="3166">
        <f t="shared" si="83"/>
        <v>0</v>
      </c>
      <c r="BR119" s="3166">
        <f t="shared" si="84"/>
        <v>0</v>
      </c>
      <c r="BS119" s="3166">
        <f t="shared" si="85"/>
        <v>0</v>
      </c>
      <c r="BT119" s="3240">
        <f t="shared" si="86"/>
        <v>0</v>
      </c>
    </row>
    <row r="120" spans="1:72">
      <c r="A120" s="3163"/>
      <c r="B120" s="3173"/>
      <c r="C120" s="3171"/>
      <c r="D120" s="3172"/>
      <c r="E120" s="3166">
        <f t="shared" si="87"/>
        <v>0</v>
      </c>
      <c r="F120" s="3167"/>
      <c r="G120" s="3168">
        <f t="shared" si="62"/>
        <v>0</v>
      </c>
      <c r="H120" s="3169">
        <f t="shared" si="63"/>
        <v>0</v>
      </c>
      <c r="I120" s="3175"/>
      <c r="J120" s="3187"/>
      <c r="K120" s="3175"/>
      <c r="L120" s="3187"/>
      <c r="M120" s="3187"/>
      <c r="N120" s="3187"/>
      <c r="O120" s="3187"/>
      <c r="P120" s="3187"/>
      <c r="Q120" s="3187"/>
      <c r="R120" s="3187"/>
      <c r="S120" s="3187"/>
      <c r="T120" s="3187"/>
      <c r="U120" s="3187"/>
      <c r="V120" s="3187"/>
      <c r="W120" s="3187"/>
      <c r="X120" s="3187"/>
      <c r="Y120" s="3187"/>
      <c r="Z120" s="3187"/>
      <c r="AA120" s="3187"/>
      <c r="AB120" s="3187"/>
      <c r="AC120" s="3166">
        <f t="shared" si="64"/>
        <v>0</v>
      </c>
      <c r="AD120" s="3198"/>
      <c r="AE120" s="3198"/>
      <c r="AF120" s="3175"/>
      <c r="AG120" s="3198"/>
      <c r="AH120" s="3198"/>
      <c r="AI120" s="3198"/>
      <c r="AJ120" s="3198"/>
      <c r="AK120" s="3198"/>
      <c r="AL120" s="3198"/>
      <c r="AM120" s="3198"/>
      <c r="AN120" s="3198"/>
      <c r="AO120" s="3198"/>
      <c r="AP120" s="3198"/>
      <c r="AQ120" s="3198"/>
      <c r="AR120" s="3198"/>
      <c r="AS120" s="3198"/>
      <c r="AT120" s="3218"/>
      <c r="AU120" s="3219"/>
      <c r="AV120" s="488">
        <f t="shared" si="88"/>
        <v>0</v>
      </c>
      <c r="AW120" s="488">
        <f t="shared" si="89"/>
        <v>0</v>
      </c>
      <c r="AX120" s="488">
        <f t="shared" si="90"/>
        <v>0</v>
      </c>
      <c r="AY120" s="3235">
        <f t="shared" si="65"/>
        <v>0</v>
      </c>
      <c r="AZ120" s="3166">
        <f t="shared" si="66"/>
        <v>0</v>
      </c>
      <c r="BA120" s="3166">
        <f t="shared" si="67"/>
        <v>0</v>
      </c>
      <c r="BB120" s="3166">
        <f t="shared" si="68"/>
        <v>0</v>
      </c>
      <c r="BC120" s="3166">
        <f t="shared" si="69"/>
        <v>0</v>
      </c>
      <c r="BD120" s="3166">
        <f t="shared" si="70"/>
        <v>0</v>
      </c>
      <c r="BE120" s="3166">
        <f t="shared" si="71"/>
        <v>0</v>
      </c>
      <c r="BF120" s="3166">
        <f t="shared" si="72"/>
        <v>0</v>
      </c>
      <c r="BG120" s="3166">
        <f t="shared" si="73"/>
        <v>0</v>
      </c>
      <c r="BH120" s="3166">
        <f t="shared" si="74"/>
        <v>0</v>
      </c>
      <c r="BI120" s="3166">
        <f t="shared" si="75"/>
        <v>0</v>
      </c>
      <c r="BJ120" s="3166">
        <f t="shared" si="76"/>
        <v>0</v>
      </c>
      <c r="BK120" s="3166">
        <f t="shared" si="77"/>
        <v>0</v>
      </c>
      <c r="BL120" s="3166">
        <f t="shared" si="78"/>
        <v>0</v>
      </c>
      <c r="BM120" s="3166">
        <f t="shared" si="79"/>
        <v>0</v>
      </c>
      <c r="BN120" s="3166">
        <f t="shared" si="80"/>
        <v>0</v>
      </c>
      <c r="BO120" s="3166">
        <f t="shared" si="81"/>
        <v>0</v>
      </c>
      <c r="BP120" s="3166">
        <f t="shared" si="82"/>
        <v>0</v>
      </c>
      <c r="BQ120" s="3166">
        <f t="shared" si="83"/>
        <v>0</v>
      </c>
      <c r="BR120" s="3166">
        <f t="shared" si="84"/>
        <v>0</v>
      </c>
      <c r="BS120" s="3166">
        <f t="shared" si="85"/>
        <v>0</v>
      </c>
      <c r="BT120" s="3240">
        <f t="shared" si="86"/>
        <v>0</v>
      </c>
    </row>
    <row r="121" spans="1:72">
      <c r="A121" s="3163"/>
      <c r="B121" s="3174"/>
      <c r="C121" s="3175"/>
      <c r="D121" s="3172"/>
      <c r="E121" s="3166">
        <f t="shared" si="87"/>
        <v>0</v>
      </c>
      <c r="F121" s="3167"/>
      <c r="G121" s="3168">
        <f t="shared" si="62"/>
        <v>0</v>
      </c>
      <c r="H121" s="3169">
        <f t="shared" si="63"/>
        <v>0</v>
      </c>
      <c r="I121" s="3175"/>
      <c r="J121" s="3187"/>
      <c r="K121" s="3175"/>
      <c r="L121" s="3187"/>
      <c r="M121" s="3187"/>
      <c r="N121" s="3187"/>
      <c r="O121" s="3187"/>
      <c r="P121" s="3187"/>
      <c r="Q121" s="3187"/>
      <c r="R121" s="3187"/>
      <c r="S121" s="3187"/>
      <c r="T121" s="3187"/>
      <c r="U121" s="3187"/>
      <c r="V121" s="3187"/>
      <c r="W121" s="3187"/>
      <c r="X121" s="3187"/>
      <c r="Y121" s="3187"/>
      <c r="Z121" s="3187"/>
      <c r="AA121" s="3187"/>
      <c r="AB121" s="3187"/>
      <c r="AC121" s="3166">
        <f t="shared" si="64"/>
        <v>0</v>
      </c>
      <c r="AD121" s="3198"/>
      <c r="AE121" s="3198"/>
      <c r="AF121" s="3175"/>
      <c r="AG121" s="3198"/>
      <c r="AH121" s="3198"/>
      <c r="AI121" s="3198"/>
      <c r="AJ121" s="3198"/>
      <c r="AK121" s="3198"/>
      <c r="AL121" s="3198"/>
      <c r="AM121" s="3198"/>
      <c r="AN121" s="3198"/>
      <c r="AO121" s="3198"/>
      <c r="AP121" s="3198"/>
      <c r="AQ121" s="3198"/>
      <c r="AR121" s="3198"/>
      <c r="AS121" s="3198"/>
      <c r="AT121" s="3218"/>
      <c r="AU121" s="3219"/>
      <c r="AV121" s="488">
        <f t="shared" si="88"/>
        <v>0</v>
      </c>
      <c r="AW121" s="488">
        <f t="shared" si="89"/>
        <v>0</v>
      </c>
      <c r="AX121" s="488">
        <f t="shared" si="90"/>
        <v>0</v>
      </c>
      <c r="AY121" s="3235">
        <f t="shared" si="65"/>
        <v>0</v>
      </c>
      <c r="AZ121" s="3166">
        <f t="shared" si="66"/>
        <v>0</v>
      </c>
      <c r="BA121" s="3166">
        <f t="shared" si="67"/>
        <v>0</v>
      </c>
      <c r="BB121" s="3166">
        <f t="shared" si="68"/>
        <v>0</v>
      </c>
      <c r="BC121" s="3166">
        <f t="shared" si="69"/>
        <v>0</v>
      </c>
      <c r="BD121" s="3166">
        <f t="shared" si="70"/>
        <v>0</v>
      </c>
      <c r="BE121" s="3166">
        <f t="shared" si="71"/>
        <v>0</v>
      </c>
      <c r="BF121" s="3166">
        <f t="shared" si="72"/>
        <v>0</v>
      </c>
      <c r="BG121" s="3166">
        <f t="shared" si="73"/>
        <v>0</v>
      </c>
      <c r="BH121" s="3166">
        <f t="shared" si="74"/>
        <v>0</v>
      </c>
      <c r="BI121" s="3166">
        <f t="shared" si="75"/>
        <v>0</v>
      </c>
      <c r="BJ121" s="3166">
        <f t="shared" si="76"/>
        <v>0</v>
      </c>
      <c r="BK121" s="3166">
        <f t="shared" si="77"/>
        <v>0</v>
      </c>
      <c r="BL121" s="3166">
        <f t="shared" si="78"/>
        <v>0</v>
      </c>
      <c r="BM121" s="3166">
        <f t="shared" si="79"/>
        <v>0</v>
      </c>
      <c r="BN121" s="3166">
        <f t="shared" si="80"/>
        <v>0</v>
      </c>
      <c r="BO121" s="3166">
        <f t="shared" si="81"/>
        <v>0</v>
      </c>
      <c r="BP121" s="3166">
        <f t="shared" si="82"/>
        <v>0</v>
      </c>
      <c r="BQ121" s="3166">
        <f t="shared" si="83"/>
        <v>0</v>
      </c>
      <c r="BR121" s="3166">
        <f t="shared" si="84"/>
        <v>0</v>
      </c>
      <c r="BS121" s="3166">
        <f t="shared" si="85"/>
        <v>0</v>
      </c>
      <c r="BT121" s="3240">
        <f t="shared" si="86"/>
        <v>0</v>
      </c>
    </row>
    <row r="122" spans="1:72">
      <c r="A122" s="3163"/>
      <c r="B122" s="3173"/>
      <c r="C122" s="3171"/>
      <c r="D122" s="3172"/>
      <c r="E122" s="3166">
        <f t="shared" si="87"/>
        <v>0</v>
      </c>
      <c r="F122" s="3167"/>
      <c r="G122" s="3168">
        <f t="shared" si="62"/>
        <v>0</v>
      </c>
      <c r="H122" s="3169">
        <f t="shared" si="63"/>
        <v>0</v>
      </c>
      <c r="I122" s="3175"/>
      <c r="J122" s="3187"/>
      <c r="K122" s="3175"/>
      <c r="L122" s="3187"/>
      <c r="M122" s="3187"/>
      <c r="N122" s="3187"/>
      <c r="O122" s="3187"/>
      <c r="P122" s="3187"/>
      <c r="Q122" s="3187"/>
      <c r="R122" s="3187"/>
      <c r="S122" s="3187"/>
      <c r="T122" s="3187"/>
      <c r="U122" s="3187"/>
      <c r="V122" s="3187"/>
      <c r="W122" s="3187"/>
      <c r="X122" s="3187"/>
      <c r="Y122" s="3187"/>
      <c r="Z122" s="3187"/>
      <c r="AA122" s="3187"/>
      <c r="AB122" s="3187"/>
      <c r="AC122" s="3166">
        <f t="shared" si="64"/>
        <v>0</v>
      </c>
      <c r="AD122" s="3198"/>
      <c r="AE122" s="3198"/>
      <c r="AF122" s="3175"/>
      <c r="AG122" s="3198"/>
      <c r="AH122" s="3198"/>
      <c r="AI122" s="3198"/>
      <c r="AJ122" s="3198"/>
      <c r="AK122" s="3198"/>
      <c r="AL122" s="3198"/>
      <c r="AM122" s="3198"/>
      <c r="AN122" s="3198"/>
      <c r="AO122" s="3198"/>
      <c r="AP122" s="3198"/>
      <c r="AQ122" s="3198"/>
      <c r="AR122" s="3198"/>
      <c r="AS122" s="3198"/>
      <c r="AT122" s="3218"/>
      <c r="AU122" s="3219"/>
      <c r="AV122" s="488">
        <f t="shared" si="88"/>
        <v>0</v>
      </c>
      <c r="AW122" s="488">
        <f t="shared" si="89"/>
        <v>0</v>
      </c>
      <c r="AX122" s="488">
        <f t="shared" si="90"/>
        <v>0</v>
      </c>
      <c r="AY122" s="3235">
        <f t="shared" si="65"/>
        <v>0</v>
      </c>
      <c r="AZ122" s="3166">
        <f t="shared" si="66"/>
        <v>0</v>
      </c>
      <c r="BA122" s="3166">
        <f t="shared" si="67"/>
        <v>0</v>
      </c>
      <c r="BB122" s="3166">
        <f t="shared" si="68"/>
        <v>0</v>
      </c>
      <c r="BC122" s="3166">
        <f t="shared" si="69"/>
        <v>0</v>
      </c>
      <c r="BD122" s="3166">
        <f t="shared" si="70"/>
        <v>0</v>
      </c>
      <c r="BE122" s="3166">
        <f t="shared" si="71"/>
        <v>0</v>
      </c>
      <c r="BF122" s="3166">
        <f t="shared" si="72"/>
        <v>0</v>
      </c>
      <c r="BG122" s="3166">
        <f t="shared" si="73"/>
        <v>0</v>
      </c>
      <c r="BH122" s="3166">
        <f t="shared" si="74"/>
        <v>0</v>
      </c>
      <c r="BI122" s="3166">
        <f t="shared" si="75"/>
        <v>0</v>
      </c>
      <c r="BJ122" s="3166">
        <f t="shared" si="76"/>
        <v>0</v>
      </c>
      <c r="BK122" s="3166">
        <f t="shared" si="77"/>
        <v>0</v>
      </c>
      <c r="BL122" s="3166">
        <f t="shared" si="78"/>
        <v>0</v>
      </c>
      <c r="BM122" s="3166">
        <f t="shared" si="79"/>
        <v>0</v>
      </c>
      <c r="BN122" s="3166">
        <f t="shared" si="80"/>
        <v>0</v>
      </c>
      <c r="BO122" s="3166">
        <f t="shared" si="81"/>
        <v>0</v>
      </c>
      <c r="BP122" s="3166">
        <f t="shared" si="82"/>
        <v>0</v>
      </c>
      <c r="BQ122" s="3166">
        <f t="shared" si="83"/>
        <v>0</v>
      </c>
      <c r="BR122" s="3166">
        <f t="shared" si="84"/>
        <v>0</v>
      </c>
      <c r="BS122" s="3166">
        <f t="shared" si="85"/>
        <v>0</v>
      </c>
      <c r="BT122" s="3240">
        <f t="shared" si="86"/>
        <v>0</v>
      </c>
    </row>
    <row r="123" spans="1:72">
      <c r="A123" s="3163"/>
      <c r="B123" s="3173"/>
      <c r="C123" s="3171"/>
      <c r="D123" s="3172"/>
      <c r="E123" s="3166">
        <f t="shared" si="87"/>
        <v>0</v>
      </c>
      <c r="F123" s="3167"/>
      <c r="G123" s="3168">
        <f t="shared" si="62"/>
        <v>0</v>
      </c>
      <c r="H123" s="3169">
        <f t="shared" si="63"/>
        <v>0</v>
      </c>
      <c r="I123" s="3175"/>
      <c r="J123" s="3187"/>
      <c r="K123" s="3175"/>
      <c r="L123" s="3187"/>
      <c r="M123" s="3187"/>
      <c r="N123" s="3187"/>
      <c r="O123" s="3187"/>
      <c r="P123" s="3187"/>
      <c r="Q123" s="3187"/>
      <c r="R123" s="3187"/>
      <c r="S123" s="3187"/>
      <c r="T123" s="3187"/>
      <c r="U123" s="3187"/>
      <c r="V123" s="3187"/>
      <c r="W123" s="3187"/>
      <c r="X123" s="3187"/>
      <c r="Y123" s="3187"/>
      <c r="Z123" s="3187"/>
      <c r="AA123" s="3187"/>
      <c r="AB123" s="3187"/>
      <c r="AC123" s="3166">
        <f t="shared" si="64"/>
        <v>0</v>
      </c>
      <c r="AD123" s="3198"/>
      <c r="AE123" s="3198"/>
      <c r="AF123" s="3175"/>
      <c r="AG123" s="3198"/>
      <c r="AH123" s="3198"/>
      <c r="AI123" s="3198"/>
      <c r="AJ123" s="3198"/>
      <c r="AK123" s="3198"/>
      <c r="AL123" s="3198"/>
      <c r="AM123" s="3198"/>
      <c r="AN123" s="3198"/>
      <c r="AO123" s="3198"/>
      <c r="AP123" s="3198"/>
      <c r="AQ123" s="3198"/>
      <c r="AR123" s="3198"/>
      <c r="AS123" s="3198"/>
      <c r="AT123" s="3218"/>
      <c r="AU123" s="3219"/>
      <c r="AV123" s="488">
        <f t="shared" si="88"/>
        <v>0</v>
      </c>
      <c r="AW123" s="488">
        <f t="shared" si="89"/>
        <v>0</v>
      </c>
      <c r="AX123" s="488">
        <f t="shared" si="90"/>
        <v>0</v>
      </c>
      <c r="AY123" s="3235">
        <f t="shared" si="65"/>
        <v>0</v>
      </c>
      <c r="AZ123" s="3166">
        <f t="shared" si="66"/>
        <v>0</v>
      </c>
      <c r="BA123" s="3166">
        <f t="shared" si="67"/>
        <v>0</v>
      </c>
      <c r="BB123" s="3166">
        <f t="shared" si="68"/>
        <v>0</v>
      </c>
      <c r="BC123" s="3166">
        <f t="shared" si="69"/>
        <v>0</v>
      </c>
      <c r="BD123" s="3166">
        <f t="shared" si="70"/>
        <v>0</v>
      </c>
      <c r="BE123" s="3166">
        <f t="shared" si="71"/>
        <v>0</v>
      </c>
      <c r="BF123" s="3166">
        <f t="shared" si="72"/>
        <v>0</v>
      </c>
      <c r="BG123" s="3166">
        <f t="shared" si="73"/>
        <v>0</v>
      </c>
      <c r="BH123" s="3166">
        <f t="shared" si="74"/>
        <v>0</v>
      </c>
      <c r="BI123" s="3166">
        <f t="shared" si="75"/>
        <v>0</v>
      </c>
      <c r="BJ123" s="3166">
        <f t="shared" si="76"/>
        <v>0</v>
      </c>
      <c r="BK123" s="3166">
        <f t="shared" si="77"/>
        <v>0</v>
      </c>
      <c r="BL123" s="3166">
        <f t="shared" si="78"/>
        <v>0</v>
      </c>
      <c r="BM123" s="3166">
        <f t="shared" si="79"/>
        <v>0</v>
      </c>
      <c r="BN123" s="3166">
        <f t="shared" si="80"/>
        <v>0</v>
      </c>
      <c r="BO123" s="3166">
        <f t="shared" si="81"/>
        <v>0</v>
      </c>
      <c r="BP123" s="3166">
        <f t="shared" si="82"/>
        <v>0</v>
      </c>
      <c r="BQ123" s="3166">
        <f t="shared" si="83"/>
        <v>0</v>
      </c>
      <c r="BR123" s="3166">
        <f t="shared" si="84"/>
        <v>0</v>
      </c>
      <c r="BS123" s="3166">
        <f t="shared" si="85"/>
        <v>0</v>
      </c>
      <c r="BT123" s="3240">
        <f t="shared" si="86"/>
        <v>0</v>
      </c>
    </row>
    <row r="124" spans="1:72">
      <c r="A124" s="3163"/>
      <c r="B124" s="3173"/>
      <c r="C124" s="3171"/>
      <c r="D124" s="3172"/>
      <c r="E124" s="3166">
        <f t="shared" si="87"/>
        <v>0</v>
      </c>
      <c r="F124" s="3167"/>
      <c r="G124" s="3168">
        <f t="shared" si="62"/>
        <v>0</v>
      </c>
      <c r="H124" s="3169">
        <f t="shared" si="63"/>
        <v>0</v>
      </c>
      <c r="I124" s="3175"/>
      <c r="J124" s="3187"/>
      <c r="K124" s="3175"/>
      <c r="L124" s="3187"/>
      <c r="M124" s="3187"/>
      <c r="N124" s="3187"/>
      <c r="O124" s="3187"/>
      <c r="P124" s="3187"/>
      <c r="Q124" s="3187"/>
      <c r="R124" s="3187"/>
      <c r="S124" s="3187"/>
      <c r="T124" s="3187"/>
      <c r="U124" s="3187"/>
      <c r="V124" s="3187"/>
      <c r="W124" s="3187"/>
      <c r="X124" s="3187"/>
      <c r="Y124" s="3187"/>
      <c r="Z124" s="3187"/>
      <c r="AA124" s="3187"/>
      <c r="AB124" s="3187"/>
      <c r="AC124" s="3166">
        <f t="shared" si="64"/>
        <v>0</v>
      </c>
      <c r="AD124" s="3198"/>
      <c r="AE124" s="3198"/>
      <c r="AF124" s="3175"/>
      <c r="AG124" s="3198"/>
      <c r="AH124" s="3198"/>
      <c r="AI124" s="3198"/>
      <c r="AJ124" s="3198"/>
      <c r="AK124" s="3198"/>
      <c r="AL124" s="3198"/>
      <c r="AM124" s="3198"/>
      <c r="AN124" s="3198"/>
      <c r="AO124" s="3198"/>
      <c r="AP124" s="3198"/>
      <c r="AQ124" s="3198"/>
      <c r="AR124" s="3198"/>
      <c r="AS124" s="3198"/>
      <c r="AT124" s="3218"/>
      <c r="AU124" s="3219"/>
      <c r="AV124" s="488">
        <f t="shared" si="88"/>
        <v>0</v>
      </c>
      <c r="AW124" s="488">
        <f t="shared" si="89"/>
        <v>0</v>
      </c>
      <c r="AX124" s="488">
        <f t="shared" si="90"/>
        <v>0</v>
      </c>
      <c r="AY124" s="3235">
        <f t="shared" si="65"/>
        <v>0</v>
      </c>
      <c r="AZ124" s="3166">
        <f t="shared" si="66"/>
        <v>0</v>
      </c>
      <c r="BA124" s="3166">
        <f t="shared" si="67"/>
        <v>0</v>
      </c>
      <c r="BB124" s="3166">
        <f t="shared" si="68"/>
        <v>0</v>
      </c>
      <c r="BC124" s="3166">
        <f t="shared" si="69"/>
        <v>0</v>
      </c>
      <c r="BD124" s="3166">
        <f t="shared" si="70"/>
        <v>0</v>
      </c>
      <c r="BE124" s="3166">
        <f t="shared" si="71"/>
        <v>0</v>
      </c>
      <c r="BF124" s="3166">
        <f t="shared" si="72"/>
        <v>0</v>
      </c>
      <c r="BG124" s="3166">
        <f t="shared" si="73"/>
        <v>0</v>
      </c>
      <c r="BH124" s="3166">
        <f t="shared" si="74"/>
        <v>0</v>
      </c>
      <c r="BI124" s="3166">
        <f t="shared" si="75"/>
        <v>0</v>
      </c>
      <c r="BJ124" s="3166">
        <f t="shared" si="76"/>
        <v>0</v>
      </c>
      <c r="BK124" s="3166">
        <f t="shared" si="77"/>
        <v>0</v>
      </c>
      <c r="BL124" s="3166">
        <f t="shared" si="78"/>
        <v>0</v>
      </c>
      <c r="BM124" s="3166">
        <f t="shared" si="79"/>
        <v>0</v>
      </c>
      <c r="BN124" s="3166">
        <f t="shared" si="80"/>
        <v>0</v>
      </c>
      <c r="BO124" s="3166">
        <f t="shared" si="81"/>
        <v>0</v>
      </c>
      <c r="BP124" s="3166">
        <f t="shared" si="82"/>
        <v>0</v>
      </c>
      <c r="BQ124" s="3166">
        <f t="shared" si="83"/>
        <v>0</v>
      </c>
      <c r="BR124" s="3166">
        <f t="shared" si="84"/>
        <v>0</v>
      </c>
      <c r="BS124" s="3166">
        <f t="shared" si="85"/>
        <v>0</v>
      </c>
      <c r="BT124" s="3240">
        <f t="shared" si="86"/>
        <v>0</v>
      </c>
    </row>
    <row r="125" spans="1:72">
      <c r="A125" s="3163"/>
      <c r="B125" s="3173"/>
      <c r="C125" s="3171"/>
      <c r="D125" s="3172"/>
      <c r="E125" s="3166">
        <f t="shared" si="87"/>
        <v>0</v>
      </c>
      <c r="F125" s="3167"/>
      <c r="G125" s="3168">
        <f t="shared" si="62"/>
        <v>0</v>
      </c>
      <c r="H125" s="3169">
        <f t="shared" si="63"/>
        <v>0</v>
      </c>
      <c r="I125" s="3175"/>
      <c r="J125" s="3187"/>
      <c r="K125" s="3175"/>
      <c r="L125" s="3187"/>
      <c r="M125" s="3187"/>
      <c r="N125" s="3187"/>
      <c r="O125" s="3187"/>
      <c r="P125" s="3187"/>
      <c r="Q125" s="3187"/>
      <c r="R125" s="3187"/>
      <c r="S125" s="3187"/>
      <c r="T125" s="3187"/>
      <c r="U125" s="3187"/>
      <c r="V125" s="3187"/>
      <c r="W125" s="3187"/>
      <c r="X125" s="3187"/>
      <c r="Y125" s="3187"/>
      <c r="Z125" s="3187"/>
      <c r="AA125" s="3187"/>
      <c r="AB125" s="3187"/>
      <c r="AC125" s="3166">
        <f t="shared" si="64"/>
        <v>0</v>
      </c>
      <c r="AD125" s="3198"/>
      <c r="AE125" s="3198"/>
      <c r="AF125" s="3175"/>
      <c r="AG125" s="3198"/>
      <c r="AH125" s="3198"/>
      <c r="AI125" s="3198"/>
      <c r="AJ125" s="3198"/>
      <c r="AK125" s="3198"/>
      <c r="AL125" s="3198"/>
      <c r="AM125" s="3198"/>
      <c r="AN125" s="3198"/>
      <c r="AO125" s="3198"/>
      <c r="AP125" s="3198"/>
      <c r="AQ125" s="3198"/>
      <c r="AR125" s="3198"/>
      <c r="AS125" s="3198"/>
      <c r="AT125" s="3218"/>
      <c r="AU125" s="3219"/>
      <c r="AV125" s="488">
        <f t="shared" si="88"/>
        <v>0</v>
      </c>
      <c r="AW125" s="488">
        <f t="shared" si="89"/>
        <v>0</v>
      </c>
      <c r="AX125" s="488">
        <f t="shared" si="90"/>
        <v>0</v>
      </c>
      <c r="AY125" s="3235">
        <f t="shared" si="65"/>
        <v>0</v>
      </c>
      <c r="AZ125" s="3166">
        <f t="shared" si="66"/>
        <v>0</v>
      </c>
      <c r="BA125" s="3166">
        <f t="shared" si="67"/>
        <v>0</v>
      </c>
      <c r="BB125" s="3166">
        <f t="shared" si="68"/>
        <v>0</v>
      </c>
      <c r="BC125" s="3166">
        <f t="shared" si="69"/>
        <v>0</v>
      </c>
      <c r="BD125" s="3166">
        <f t="shared" si="70"/>
        <v>0</v>
      </c>
      <c r="BE125" s="3166">
        <f t="shared" si="71"/>
        <v>0</v>
      </c>
      <c r="BF125" s="3166">
        <f t="shared" si="72"/>
        <v>0</v>
      </c>
      <c r="BG125" s="3166">
        <f t="shared" si="73"/>
        <v>0</v>
      </c>
      <c r="BH125" s="3166">
        <f t="shared" si="74"/>
        <v>0</v>
      </c>
      <c r="BI125" s="3166">
        <f t="shared" si="75"/>
        <v>0</v>
      </c>
      <c r="BJ125" s="3166">
        <f t="shared" si="76"/>
        <v>0</v>
      </c>
      <c r="BK125" s="3166">
        <f t="shared" si="77"/>
        <v>0</v>
      </c>
      <c r="BL125" s="3166">
        <f t="shared" si="78"/>
        <v>0</v>
      </c>
      <c r="BM125" s="3166">
        <f t="shared" si="79"/>
        <v>0</v>
      </c>
      <c r="BN125" s="3166">
        <f t="shared" si="80"/>
        <v>0</v>
      </c>
      <c r="BO125" s="3166">
        <f t="shared" si="81"/>
        <v>0</v>
      </c>
      <c r="BP125" s="3166">
        <f t="shared" si="82"/>
        <v>0</v>
      </c>
      <c r="BQ125" s="3166">
        <f t="shared" si="83"/>
        <v>0</v>
      </c>
      <c r="BR125" s="3166">
        <f t="shared" si="84"/>
        <v>0</v>
      </c>
      <c r="BS125" s="3166">
        <f t="shared" si="85"/>
        <v>0</v>
      </c>
      <c r="BT125" s="3240">
        <f t="shared" si="86"/>
        <v>0</v>
      </c>
    </row>
    <row r="126" spans="1:72">
      <c r="A126" s="3163"/>
      <c r="B126" s="3173"/>
      <c r="C126" s="3171"/>
      <c r="D126" s="3172"/>
      <c r="E126" s="3166">
        <f t="shared" si="87"/>
        <v>0</v>
      </c>
      <c r="F126" s="3167"/>
      <c r="G126" s="3168">
        <f t="shared" si="62"/>
        <v>0</v>
      </c>
      <c r="H126" s="3169">
        <f t="shared" si="63"/>
        <v>0</v>
      </c>
      <c r="I126" s="3175"/>
      <c r="J126" s="3187"/>
      <c r="K126" s="3175"/>
      <c r="L126" s="3187"/>
      <c r="M126" s="3187"/>
      <c r="N126" s="3187"/>
      <c r="O126" s="3187"/>
      <c r="P126" s="3187"/>
      <c r="Q126" s="3187"/>
      <c r="R126" s="3187"/>
      <c r="S126" s="3187"/>
      <c r="T126" s="3187"/>
      <c r="U126" s="3187"/>
      <c r="V126" s="3187"/>
      <c r="W126" s="3187"/>
      <c r="X126" s="3187"/>
      <c r="Y126" s="3187"/>
      <c r="Z126" s="3187"/>
      <c r="AA126" s="3187"/>
      <c r="AB126" s="3187"/>
      <c r="AC126" s="3166">
        <f t="shared" si="64"/>
        <v>0</v>
      </c>
      <c r="AD126" s="3198"/>
      <c r="AE126" s="3198"/>
      <c r="AF126" s="3175"/>
      <c r="AG126" s="3198"/>
      <c r="AH126" s="3198"/>
      <c r="AI126" s="3198"/>
      <c r="AJ126" s="3198"/>
      <c r="AK126" s="3198"/>
      <c r="AL126" s="3198"/>
      <c r="AM126" s="3198"/>
      <c r="AN126" s="3198"/>
      <c r="AO126" s="3198"/>
      <c r="AP126" s="3198"/>
      <c r="AQ126" s="3198"/>
      <c r="AR126" s="3198"/>
      <c r="AS126" s="3198"/>
      <c r="AT126" s="3218"/>
      <c r="AU126" s="3219"/>
      <c r="AV126" s="488">
        <f t="shared" si="88"/>
        <v>0</v>
      </c>
      <c r="AW126" s="488">
        <f t="shared" si="89"/>
        <v>0</v>
      </c>
      <c r="AX126" s="488">
        <f t="shared" si="90"/>
        <v>0</v>
      </c>
      <c r="AY126" s="3235">
        <f t="shared" si="65"/>
        <v>0</v>
      </c>
      <c r="AZ126" s="3166">
        <f t="shared" si="66"/>
        <v>0</v>
      </c>
      <c r="BA126" s="3166">
        <f t="shared" si="67"/>
        <v>0</v>
      </c>
      <c r="BB126" s="3166">
        <f t="shared" si="68"/>
        <v>0</v>
      </c>
      <c r="BC126" s="3166">
        <f t="shared" si="69"/>
        <v>0</v>
      </c>
      <c r="BD126" s="3166">
        <f t="shared" si="70"/>
        <v>0</v>
      </c>
      <c r="BE126" s="3166">
        <f t="shared" si="71"/>
        <v>0</v>
      </c>
      <c r="BF126" s="3166">
        <f t="shared" si="72"/>
        <v>0</v>
      </c>
      <c r="BG126" s="3166">
        <f t="shared" si="73"/>
        <v>0</v>
      </c>
      <c r="BH126" s="3166">
        <f t="shared" si="74"/>
        <v>0</v>
      </c>
      <c r="BI126" s="3166">
        <f t="shared" si="75"/>
        <v>0</v>
      </c>
      <c r="BJ126" s="3166">
        <f t="shared" si="76"/>
        <v>0</v>
      </c>
      <c r="BK126" s="3166">
        <f t="shared" si="77"/>
        <v>0</v>
      </c>
      <c r="BL126" s="3166">
        <f t="shared" si="78"/>
        <v>0</v>
      </c>
      <c r="BM126" s="3166">
        <f t="shared" si="79"/>
        <v>0</v>
      </c>
      <c r="BN126" s="3166">
        <f t="shared" si="80"/>
        <v>0</v>
      </c>
      <c r="BO126" s="3166">
        <f t="shared" si="81"/>
        <v>0</v>
      </c>
      <c r="BP126" s="3166">
        <f t="shared" si="82"/>
        <v>0</v>
      </c>
      <c r="BQ126" s="3166">
        <f t="shared" si="83"/>
        <v>0</v>
      </c>
      <c r="BR126" s="3166">
        <f t="shared" si="84"/>
        <v>0</v>
      </c>
      <c r="BS126" s="3166">
        <f t="shared" si="85"/>
        <v>0</v>
      </c>
      <c r="BT126" s="3240">
        <f t="shared" si="86"/>
        <v>0</v>
      </c>
    </row>
    <row r="127" spans="1:72">
      <c r="A127" s="3163"/>
      <c r="B127" s="3173"/>
      <c r="C127" s="3171"/>
      <c r="D127" s="3172"/>
      <c r="E127" s="3166">
        <f t="shared" si="87"/>
        <v>0</v>
      </c>
      <c r="F127" s="3167"/>
      <c r="G127" s="3168">
        <f t="shared" si="62"/>
        <v>0</v>
      </c>
      <c r="H127" s="3169">
        <f t="shared" si="63"/>
        <v>0</v>
      </c>
      <c r="I127" s="3175"/>
      <c r="J127" s="3187"/>
      <c r="K127" s="3175"/>
      <c r="L127" s="3187"/>
      <c r="M127" s="3187"/>
      <c r="N127" s="3187"/>
      <c r="O127" s="3187"/>
      <c r="P127" s="3187"/>
      <c r="Q127" s="3187"/>
      <c r="R127" s="3187"/>
      <c r="S127" s="3187"/>
      <c r="T127" s="3187"/>
      <c r="U127" s="3187"/>
      <c r="V127" s="3187"/>
      <c r="W127" s="3187"/>
      <c r="X127" s="3187"/>
      <c r="Y127" s="3187"/>
      <c r="Z127" s="3187"/>
      <c r="AA127" s="3187"/>
      <c r="AB127" s="3187"/>
      <c r="AC127" s="3166">
        <f t="shared" si="64"/>
        <v>0</v>
      </c>
      <c r="AD127" s="3198"/>
      <c r="AE127" s="3198"/>
      <c r="AF127" s="3175"/>
      <c r="AG127" s="3198"/>
      <c r="AH127" s="3198"/>
      <c r="AI127" s="3198"/>
      <c r="AJ127" s="3198"/>
      <c r="AK127" s="3198"/>
      <c r="AL127" s="3198"/>
      <c r="AM127" s="3198"/>
      <c r="AN127" s="3198"/>
      <c r="AO127" s="3198"/>
      <c r="AP127" s="3198"/>
      <c r="AQ127" s="3198"/>
      <c r="AR127" s="3198"/>
      <c r="AS127" s="3198"/>
      <c r="AT127" s="3218"/>
      <c r="AU127" s="3219"/>
      <c r="AV127" s="488">
        <f t="shared" si="88"/>
        <v>0</v>
      </c>
      <c r="AW127" s="488">
        <f t="shared" si="89"/>
        <v>0</v>
      </c>
      <c r="AX127" s="488">
        <f t="shared" si="90"/>
        <v>0</v>
      </c>
      <c r="AY127" s="3235">
        <f t="shared" si="65"/>
        <v>0</v>
      </c>
      <c r="AZ127" s="3166">
        <f t="shared" si="66"/>
        <v>0</v>
      </c>
      <c r="BA127" s="3166">
        <f t="shared" si="67"/>
        <v>0</v>
      </c>
      <c r="BB127" s="3166">
        <f t="shared" si="68"/>
        <v>0</v>
      </c>
      <c r="BC127" s="3166">
        <f t="shared" si="69"/>
        <v>0</v>
      </c>
      <c r="BD127" s="3166">
        <f t="shared" si="70"/>
        <v>0</v>
      </c>
      <c r="BE127" s="3166">
        <f t="shared" si="71"/>
        <v>0</v>
      </c>
      <c r="BF127" s="3166">
        <f t="shared" si="72"/>
        <v>0</v>
      </c>
      <c r="BG127" s="3166">
        <f t="shared" si="73"/>
        <v>0</v>
      </c>
      <c r="BH127" s="3166">
        <f t="shared" si="74"/>
        <v>0</v>
      </c>
      <c r="BI127" s="3166">
        <f t="shared" si="75"/>
        <v>0</v>
      </c>
      <c r="BJ127" s="3166">
        <f t="shared" si="76"/>
        <v>0</v>
      </c>
      <c r="BK127" s="3166">
        <f t="shared" si="77"/>
        <v>0</v>
      </c>
      <c r="BL127" s="3166">
        <f t="shared" si="78"/>
        <v>0</v>
      </c>
      <c r="BM127" s="3166">
        <f t="shared" si="79"/>
        <v>0</v>
      </c>
      <c r="BN127" s="3166">
        <f t="shared" si="80"/>
        <v>0</v>
      </c>
      <c r="BO127" s="3166">
        <f t="shared" si="81"/>
        <v>0</v>
      </c>
      <c r="BP127" s="3166">
        <f t="shared" si="82"/>
        <v>0</v>
      </c>
      <c r="BQ127" s="3166">
        <f t="shared" si="83"/>
        <v>0</v>
      </c>
      <c r="BR127" s="3166">
        <f t="shared" si="84"/>
        <v>0</v>
      </c>
      <c r="BS127" s="3166">
        <f t="shared" si="85"/>
        <v>0</v>
      </c>
      <c r="BT127" s="3240">
        <f t="shared" si="86"/>
        <v>0</v>
      </c>
    </row>
    <row r="128" spans="1:72">
      <c r="A128" s="3163"/>
      <c r="B128" s="3173"/>
      <c r="C128" s="3171"/>
      <c r="D128" s="3172"/>
      <c r="E128" s="3166">
        <f t="shared" si="87"/>
        <v>0</v>
      </c>
      <c r="F128" s="3167"/>
      <c r="G128" s="3168">
        <f t="shared" si="62"/>
        <v>0</v>
      </c>
      <c r="H128" s="3169">
        <f t="shared" si="63"/>
        <v>0</v>
      </c>
      <c r="I128" s="3175"/>
      <c r="J128" s="3187"/>
      <c r="K128" s="3175"/>
      <c r="L128" s="3187"/>
      <c r="M128" s="3187"/>
      <c r="N128" s="3187"/>
      <c r="O128" s="3187"/>
      <c r="P128" s="3187"/>
      <c r="Q128" s="3187"/>
      <c r="R128" s="3187"/>
      <c r="S128" s="3187"/>
      <c r="T128" s="3187"/>
      <c r="U128" s="3187"/>
      <c r="V128" s="3187"/>
      <c r="W128" s="3187"/>
      <c r="X128" s="3187"/>
      <c r="Y128" s="3187"/>
      <c r="Z128" s="3187"/>
      <c r="AA128" s="3187"/>
      <c r="AB128" s="3187"/>
      <c r="AC128" s="3166">
        <f t="shared" si="64"/>
        <v>0</v>
      </c>
      <c r="AD128" s="3198"/>
      <c r="AE128" s="3198"/>
      <c r="AF128" s="3175"/>
      <c r="AG128" s="3198"/>
      <c r="AH128" s="3198"/>
      <c r="AI128" s="3198"/>
      <c r="AJ128" s="3198"/>
      <c r="AK128" s="3198"/>
      <c r="AL128" s="3198"/>
      <c r="AM128" s="3198"/>
      <c r="AN128" s="3198"/>
      <c r="AO128" s="3198"/>
      <c r="AP128" s="3198"/>
      <c r="AQ128" s="3198"/>
      <c r="AR128" s="3198"/>
      <c r="AS128" s="3198"/>
      <c r="AT128" s="3218"/>
      <c r="AU128" s="3219"/>
      <c r="AV128" s="488">
        <f t="shared" si="88"/>
        <v>0</v>
      </c>
      <c r="AW128" s="488">
        <f t="shared" si="89"/>
        <v>0</v>
      </c>
      <c r="AX128" s="488">
        <f t="shared" si="90"/>
        <v>0</v>
      </c>
      <c r="AY128" s="3235">
        <f t="shared" si="65"/>
        <v>0</v>
      </c>
      <c r="AZ128" s="3166">
        <f t="shared" si="66"/>
        <v>0</v>
      </c>
      <c r="BA128" s="3166">
        <f t="shared" si="67"/>
        <v>0</v>
      </c>
      <c r="BB128" s="3166">
        <f t="shared" si="68"/>
        <v>0</v>
      </c>
      <c r="BC128" s="3166">
        <f t="shared" si="69"/>
        <v>0</v>
      </c>
      <c r="BD128" s="3166">
        <f t="shared" si="70"/>
        <v>0</v>
      </c>
      <c r="BE128" s="3166">
        <f t="shared" si="71"/>
        <v>0</v>
      </c>
      <c r="BF128" s="3166">
        <f t="shared" si="72"/>
        <v>0</v>
      </c>
      <c r="BG128" s="3166">
        <f t="shared" si="73"/>
        <v>0</v>
      </c>
      <c r="BH128" s="3166">
        <f t="shared" si="74"/>
        <v>0</v>
      </c>
      <c r="BI128" s="3166">
        <f t="shared" si="75"/>
        <v>0</v>
      </c>
      <c r="BJ128" s="3166">
        <f t="shared" si="76"/>
        <v>0</v>
      </c>
      <c r="BK128" s="3166">
        <f t="shared" si="77"/>
        <v>0</v>
      </c>
      <c r="BL128" s="3166">
        <f t="shared" si="78"/>
        <v>0</v>
      </c>
      <c r="BM128" s="3166">
        <f t="shared" si="79"/>
        <v>0</v>
      </c>
      <c r="BN128" s="3166">
        <f t="shared" si="80"/>
        <v>0</v>
      </c>
      <c r="BO128" s="3166">
        <f t="shared" si="81"/>
        <v>0</v>
      </c>
      <c r="BP128" s="3166">
        <f t="shared" si="82"/>
        <v>0</v>
      </c>
      <c r="BQ128" s="3166">
        <f t="shared" si="83"/>
        <v>0</v>
      </c>
      <c r="BR128" s="3166">
        <f t="shared" si="84"/>
        <v>0</v>
      </c>
      <c r="BS128" s="3166">
        <f t="shared" si="85"/>
        <v>0</v>
      </c>
      <c r="BT128" s="3240">
        <f t="shared" si="86"/>
        <v>0</v>
      </c>
    </row>
    <row r="129" spans="1:72">
      <c r="A129" s="3163"/>
      <c r="B129" s="3173"/>
      <c r="C129" s="3171"/>
      <c r="D129" s="3172"/>
      <c r="E129" s="3166">
        <f t="shared" si="87"/>
        <v>0</v>
      </c>
      <c r="F129" s="3167"/>
      <c r="G129" s="3168">
        <f t="shared" si="62"/>
        <v>0</v>
      </c>
      <c r="H129" s="3169">
        <f t="shared" si="63"/>
        <v>0</v>
      </c>
      <c r="I129" s="3175"/>
      <c r="J129" s="3187"/>
      <c r="K129" s="3175"/>
      <c r="L129" s="3187"/>
      <c r="M129" s="3187"/>
      <c r="N129" s="3187"/>
      <c r="O129" s="3187"/>
      <c r="P129" s="3187"/>
      <c r="Q129" s="3187"/>
      <c r="R129" s="3187"/>
      <c r="S129" s="3187"/>
      <c r="T129" s="3187"/>
      <c r="U129" s="3187"/>
      <c r="V129" s="3187"/>
      <c r="W129" s="3187"/>
      <c r="X129" s="3187"/>
      <c r="Y129" s="3187"/>
      <c r="Z129" s="3187"/>
      <c r="AA129" s="3187"/>
      <c r="AB129" s="3187"/>
      <c r="AC129" s="3166">
        <f t="shared" si="64"/>
        <v>0</v>
      </c>
      <c r="AD129" s="3198"/>
      <c r="AE129" s="3198"/>
      <c r="AF129" s="3175"/>
      <c r="AG129" s="3198"/>
      <c r="AH129" s="3198"/>
      <c r="AI129" s="3198"/>
      <c r="AJ129" s="3198"/>
      <c r="AK129" s="3198"/>
      <c r="AL129" s="3198"/>
      <c r="AM129" s="3198"/>
      <c r="AN129" s="3198"/>
      <c r="AO129" s="3198"/>
      <c r="AP129" s="3198"/>
      <c r="AQ129" s="3198"/>
      <c r="AR129" s="3198"/>
      <c r="AS129" s="3198"/>
      <c r="AT129" s="3218"/>
      <c r="AU129" s="3219"/>
      <c r="AV129" s="488">
        <f t="shared" si="88"/>
        <v>0</v>
      </c>
      <c r="AW129" s="488">
        <f t="shared" si="89"/>
        <v>0</v>
      </c>
      <c r="AX129" s="488">
        <f t="shared" si="90"/>
        <v>0</v>
      </c>
      <c r="AY129" s="3235">
        <f t="shared" si="65"/>
        <v>0</v>
      </c>
      <c r="AZ129" s="3166">
        <f t="shared" si="66"/>
        <v>0</v>
      </c>
      <c r="BA129" s="3166">
        <f t="shared" si="67"/>
        <v>0</v>
      </c>
      <c r="BB129" s="3166">
        <f t="shared" si="68"/>
        <v>0</v>
      </c>
      <c r="BC129" s="3166">
        <f t="shared" si="69"/>
        <v>0</v>
      </c>
      <c r="BD129" s="3166">
        <f t="shared" si="70"/>
        <v>0</v>
      </c>
      <c r="BE129" s="3166">
        <f t="shared" si="71"/>
        <v>0</v>
      </c>
      <c r="BF129" s="3166">
        <f t="shared" si="72"/>
        <v>0</v>
      </c>
      <c r="BG129" s="3166">
        <f t="shared" si="73"/>
        <v>0</v>
      </c>
      <c r="BH129" s="3166">
        <f t="shared" si="74"/>
        <v>0</v>
      </c>
      <c r="BI129" s="3166">
        <f t="shared" si="75"/>
        <v>0</v>
      </c>
      <c r="BJ129" s="3166">
        <f t="shared" si="76"/>
        <v>0</v>
      </c>
      <c r="BK129" s="3166">
        <f t="shared" si="77"/>
        <v>0</v>
      </c>
      <c r="BL129" s="3166">
        <f t="shared" si="78"/>
        <v>0</v>
      </c>
      <c r="BM129" s="3166">
        <f t="shared" si="79"/>
        <v>0</v>
      </c>
      <c r="BN129" s="3166">
        <f t="shared" si="80"/>
        <v>0</v>
      </c>
      <c r="BO129" s="3166">
        <f t="shared" si="81"/>
        <v>0</v>
      </c>
      <c r="BP129" s="3166">
        <f t="shared" si="82"/>
        <v>0</v>
      </c>
      <c r="BQ129" s="3166">
        <f t="shared" si="83"/>
        <v>0</v>
      </c>
      <c r="BR129" s="3166">
        <f t="shared" si="84"/>
        <v>0</v>
      </c>
      <c r="BS129" s="3166">
        <f t="shared" si="85"/>
        <v>0</v>
      </c>
      <c r="BT129" s="3240">
        <f t="shared" si="86"/>
        <v>0</v>
      </c>
    </row>
    <row r="130" spans="1:72">
      <c r="A130" s="3163"/>
      <c r="B130" s="3173"/>
      <c r="C130" s="3171"/>
      <c r="D130" s="3172"/>
      <c r="E130" s="3166">
        <f t="shared" si="87"/>
        <v>0</v>
      </c>
      <c r="F130" s="3167"/>
      <c r="G130" s="3168">
        <f t="shared" si="62"/>
        <v>0</v>
      </c>
      <c r="H130" s="3169">
        <f t="shared" si="63"/>
        <v>0</v>
      </c>
      <c r="I130" s="3175"/>
      <c r="J130" s="3187"/>
      <c r="K130" s="3175"/>
      <c r="L130" s="3187"/>
      <c r="M130" s="3187"/>
      <c r="N130" s="3187"/>
      <c r="O130" s="3187"/>
      <c r="P130" s="3187"/>
      <c r="Q130" s="3187"/>
      <c r="R130" s="3187"/>
      <c r="S130" s="3187"/>
      <c r="T130" s="3187"/>
      <c r="U130" s="3187"/>
      <c r="V130" s="3187"/>
      <c r="W130" s="3187"/>
      <c r="X130" s="3187"/>
      <c r="Y130" s="3187"/>
      <c r="Z130" s="3187"/>
      <c r="AA130" s="3187"/>
      <c r="AB130" s="3187"/>
      <c r="AC130" s="3166">
        <f t="shared" si="64"/>
        <v>0</v>
      </c>
      <c r="AD130" s="3198"/>
      <c r="AE130" s="3198"/>
      <c r="AF130" s="3175"/>
      <c r="AG130" s="3198"/>
      <c r="AH130" s="3198"/>
      <c r="AI130" s="3198"/>
      <c r="AJ130" s="3198"/>
      <c r="AK130" s="3198"/>
      <c r="AL130" s="3198"/>
      <c r="AM130" s="3198"/>
      <c r="AN130" s="3198"/>
      <c r="AO130" s="3198"/>
      <c r="AP130" s="3198"/>
      <c r="AQ130" s="3198"/>
      <c r="AR130" s="3198"/>
      <c r="AS130" s="3198"/>
      <c r="AT130" s="3218"/>
      <c r="AU130" s="3219"/>
      <c r="AV130" s="488">
        <f t="shared" si="88"/>
        <v>0</v>
      </c>
      <c r="AW130" s="488">
        <f t="shared" si="89"/>
        <v>0</v>
      </c>
      <c r="AX130" s="488">
        <f t="shared" si="90"/>
        <v>0</v>
      </c>
      <c r="AY130" s="3235">
        <f t="shared" si="65"/>
        <v>0</v>
      </c>
      <c r="AZ130" s="3166">
        <f t="shared" si="66"/>
        <v>0</v>
      </c>
      <c r="BA130" s="3166">
        <f t="shared" si="67"/>
        <v>0</v>
      </c>
      <c r="BB130" s="3166">
        <f t="shared" si="68"/>
        <v>0</v>
      </c>
      <c r="BC130" s="3166">
        <f t="shared" si="69"/>
        <v>0</v>
      </c>
      <c r="BD130" s="3166">
        <f t="shared" si="70"/>
        <v>0</v>
      </c>
      <c r="BE130" s="3166">
        <f t="shared" si="71"/>
        <v>0</v>
      </c>
      <c r="BF130" s="3166">
        <f t="shared" si="72"/>
        <v>0</v>
      </c>
      <c r="BG130" s="3166">
        <f t="shared" si="73"/>
        <v>0</v>
      </c>
      <c r="BH130" s="3166">
        <f t="shared" si="74"/>
        <v>0</v>
      </c>
      <c r="BI130" s="3166">
        <f t="shared" si="75"/>
        <v>0</v>
      </c>
      <c r="BJ130" s="3166">
        <f t="shared" si="76"/>
        <v>0</v>
      </c>
      <c r="BK130" s="3166">
        <f t="shared" si="77"/>
        <v>0</v>
      </c>
      <c r="BL130" s="3166">
        <f t="shared" si="78"/>
        <v>0</v>
      </c>
      <c r="BM130" s="3166">
        <f t="shared" si="79"/>
        <v>0</v>
      </c>
      <c r="BN130" s="3166">
        <f t="shared" si="80"/>
        <v>0</v>
      </c>
      <c r="BO130" s="3166">
        <f t="shared" si="81"/>
        <v>0</v>
      </c>
      <c r="BP130" s="3166">
        <f t="shared" si="82"/>
        <v>0</v>
      </c>
      <c r="BQ130" s="3166">
        <f t="shared" si="83"/>
        <v>0</v>
      </c>
      <c r="BR130" s="3166">
        <f t="shared" si="84"/>
        <v>0</v>
      </c>
      <c r="BS130" s="3166">
        <f t="shared" si="85"/>
        <v>0</v>
      </c>
      <c r="BT130" s="3240">
        <f t="shared" si="86"/>
        <v>0</v>
      </c>
    </row>
    <row r="131" spans="1:72">
      <c r="A131" s="3163"/>
      <c r="B131" s="3173"/>
      <c r="C131" s="3171"/>
      <c r="D131" s="3172"/>
      <c r="E131" s="3166">
        <f t="shared" si="87"/>
        <v>0</v>
      </c>
      <c r="F131" s="3167"/>
      <c r="G131" s="3168">
        <f t="shared" si="62"/>
        <v>0</v>
      </c>
      <c r="H131" s="3169">
        <f t="shared" si="63"/>
        <v>0</v>
      </c>
      <c r="I131" s="3175"/>
      <c r="J131" s="3187"/>
      <c r="K131" s="3175"/>
      <c r="L131" s="3187"/>
      <c r="M131" s="3187"/>
      <c r="N131" s="3187"/>
      <c r="O131" s="3187"/>
      <c r="P131" s="3187"/>
      <c r="Q131" s="3187"/>
      <c r="R131" s="3187"/>
      <c r="S131" s="3187"/>
      <c r="T131" s="3187"/>
      <c r="U131" s="3187"/>
      <c r="V131" s="3187"/>
      <c r="W131" s="3187"/>
      <c r="X131" s="3187"/>
      <c r="Y131" s="3187"/>
      <c r="Z131" s="3187"/>
      <c r="AA131" s="3187"/>
      <c r="AB131" s="3187"/>
      <c r="AC131" s="3166">
        <f t="shared" si="64"/>
        <v>0</v>
      </c>
      <c r="AD131" s="3198"/>
      <c r="AE131" s="3198"/>
      <c r="AF131" s="3175"/>
      <c r="AG131" s="3198"/>
      <c r="AH131" s="3198"/>
      <c r="AI131" s="3198"/>
      <c r="AJ131" s="3198"/>
      <c r="AK131" s="3198"/>
      <c r="AL131" s="3198"/>
      <c r="AM131" s="3198"/>
      <c r="AN131" s="3198"/>
      <c r="AO131" s="3198"/>
      <c r="AP131" s="3198"/>
      <c r="AQ131" s="3198"/>
      <c r="AR131" s="3198"/>
      <c r="AS131" s="3198"/>
      <c r="AT131" s="3218"/>
      <c r="AU131" s="3219"/>
      <c r="AV131" s="488">
        <f t="shared" si="88"/>
        <v>0</v>
      </c>
      <c r="AW131" s="488">
        <f t="shared" si="89"/>
        <v>0</v>
      </c>
      <c r="AX131" s="488">
        <f t="shared" si="90"/>
        <v>0</v>
      </c>
      <c r="AY131" s="3235">
        <f t="shared" si="65"/>
        <v>0</v>
      </c>
      <c r="AZ131" s="3166">
        <f t="shared" si="66"/>
        <v>0</v>
      </c>
      <c r="BA131" s="3166">
        <f t="shared" si="67"/>
        <v>0</v>
      </c>
      <c r="BB131" s="3166">
        <f t="shared" si="68"/>
        <v>0</v>
      </c>
      <c r="BC131" s="3166">
        <f t="shared" si="69"/>
        <v>0</v>
      </c>
      <c r="BD131" s="3166">
        <f t="shared" si="70"/>
        <v>0</v>
      </c>
      <c r="BE131" s="3166">
        <f t="shared" si="71"/>
        <v>0</v>
      </c>
      <c r="BF131" s="3166">
        <f t="shared" si="72"/>
        <v>0</v>
      </c>
      <c r="BG131" s="3166">
        <f t="shared" si="73"/>
        <v>0</v>
      </c>
      <c r="BH131" s="3166">
        <f t="shared" si="74"/>
        <v>0</v>
      </c>
      <c r="BI131" s="3166">
        <f t="shared" si="75"/>
        <v>0</v>
      </c>
      <c r="BJ131" s="3166">
        <f t="shared" si="76"/>
        <v>0</v>
      </c>
      <c r="BK131" s="3166">
        <f t="shared" si="77"/>
        <v>0</v>
      </c>
      <c r="BL131" s="3166">
        <f t="shared" si="78"/>
        <v>0</v>
      </c>
      <c r="BM131" s="3166">
        <f t="shared" si="79"/>
        <v>0</v>
      </c>
      <c r="BN131" s="3166">
        <f t="shared" si="80"/>
        <v>0</v>
      </c>
      <c r="BO131" s="3166">
        <f t="shared" si="81"/>
        <v>0</v>
      </c>
      <c r="BP131" s="3166">
        <f t="shared" si="82"/>
        <v>0</v>
      </c>
      <c r="BQ131" s="3166">
        <f t="shared" si="83"/>
        <v>0</v>
      </c>
      <c r="BR131" s="3166">
        <f t="shared" si="84"/>
        <v>0</v>
      </c>
      <c r="BS131" s="3166">
        <f t="shared" si="85"/>
        <v>0</v>
      </c>
      <c r="BT131" s="3240">
        <f t="shared" si="86"/>
        <v>0</v>
      </c>
    </row>
    <row r="132" spans="1:72">
      <c r="A132" s="3163"/>
      <c r="B132" s="3173"/>
      <c r="C132" s="3171"/>
      <c r="D132" s="3172"/>
      <c r="E132" s="3166">
        <f t="shared" si="87"/>
        <v>0</v>
      </c>
      <c r="F132" s="3167"/>
      <c r="G132" s="3168">
        <f t="shared" si="62"/>
        <v>0</v>
      </c>
      <c r="H132" s="3169">
        <f t="shared" si="63"/>
        <v>0</v>
      </c>
      <c r="I132" s="3175"/>
      <c r="J132" s="3187"/>
      <c r="K132" s="3175"/>
      <c r="L132" s="3187"/>
      <c r="M132" s="3187"/>
      <c r="N132" s="3187"/>
      <c r="O132" s="3187"/>
      <c r="P132" s="3187"/>
      <c r="Q132" s="3187"/>
      <c r="R132" s="3187"/>
      <c r="S132" s="3187"/>
      <c r="T132" s="3187"/>
      <c r="U132" s="3187"/>
      <c r="V132" s="3187"/>
      <c r="W132" s="3187"/>
      <c r="X132" s="3187"/>
      <c r="Y132" s="3187"/>
      <c r="Z132" s="3187"/>
      <c r="AA132" s="3187"/>
      <c r="AB132" s="3187"/>
      <c r="AC132" s="3166">
        <f t="shared" si="64"/>
        <v>0</v>
      </c>
      <c r="AD132" s="3198"/>
      <c r="AE132" s="3198"/>
      <c r="AF132" s="3175"/>
      <c r="AG132" s="3198"/>
      <c r="AH132" s="3198"/>
      <c r="AI132" s="3198"/>
      <c r="AJ132" s="3198"/>
      <c r="AK132" s="3198"/>
      <c r="AL132" s="3198"/>
      <c r="AM132" s="3198"/>
      <c r="AN132" s="3198"/>
      <c r="AO132" s="3198"/>
      <c r="AP132" s="3198"/>
      <c r="AQ132" s="3198"/>
      <c r="AR132" s="3198"/>
      <c r="AS132" s="3198"/>
      <c r="AT132" s="3218"/>
      <c r="AU132" s="3219"/>
      <c r="AV132" s="488">
        <f t="shared" si="88"/>
        <v>0</v>
      </c>
      <c r="AW132" s="488">
        <f t="shared" si="89"/>
        <v>0</v>
      </c>
      <c r="AX132" s="488">
        <f t="shared" si="90"/>
        <v>0</v>
      </c>
      <c r="AY132" s="3235">
        <f t="shared" si="65"/>
        <v>0</v>
      </c>
      <c r="AZ132" s="3166">
        <f t="shared" si="66"/>
        <v>0</v>
      </c>
      <c r="BA132" s="3166">
        <f t="shared" si="67"/>
        <v>0</v>
      </c>
      <c r="BB132" s="3166">
        <f t="shared" si="68"/>
        <v>0</v>
      </c>
      <c r="BC132" s="3166">
        <f t="shared" si="69"/>
        <v>0</v>
      </c>
      <c r="BD132" s="3166">
        <f t="shared" si="70"/>
        <v>0</v>
      </c>
      <c r="BE132" s="3166">
        <f t="shared" si="71"/>
        <v>0</v>
      </c>
      <c r="BF132" s="3166">
        <f t="shared" si="72"/>
        <v>0</v>
      </c>
      <c r="BG132" s="3166">
        <f t="shared" si="73"/>
        <v>0</v>
      </c>
      <c r="BH132" s="3166">
        <f t="shared" si="74"/>
        <v>0</v>
      </c>
      <c r="BI132" s="3166">
        <f t="shared" si="75"/>
        <v>0</v>
      </c>
      <c r="BJ132" s="3166">
        <f t="shared" si="76"/>
        <v>0</v>
      </c>
      <c r="BK132" s="3166">
        <f t="shared" si="77"/>
        <v>0</v>
      </c>
      <c r="BL132" s="3166">
        <f t="shared" si="78"/>
        <v>0</v>
      </c>
      <c r="BM132" s="3166">
        <f t="shared" si="79"/>
        <v>0</v>
      </c>
      <c r="BN132" s="3166">
        <f t="shared" si="80"/>
        <v>0</v>
      </c>
      <c r="BO132" s="3166">
        <f t="shared" si="81"/>
        <v>0</v>
      </c>
      <c r="BP132" s="3166">
        <f t="shared" si="82"/>
        <v>0</v>
      </c>
      <c r="BQ132" s="3166">
        <f t="shared" si="83"/>
        <v>0</v>
      </c>
      <c r="BR132" s="3166">
        <f t="shared" si="84"/>
        <v>0</v>
      </c>
      <c r="BS132" s="3166">
        <f t="shared" si="85"/>
        <v>0</v>
      </c>
      <c r="BT132" s="3240">
        <f t="shared" si="86"/>
        <v>0</v>
      </c>
    </row>
    <row r="133" spans="1:72">
      <c r="A133" s="3163"/>
      <c r="B133" s="3173"/>
      <c r="C133" s="3171"/>
      <c r="D133" s="3172"/>
      <c r="E133" s="3166">
        <f t="shared" si="87"/>
        <v>0</v>
      </c>
      <c r="F133" s="3167"/>
      <c r="G133" s="3168">
        <f t="shared" si="62"/>
        <v>0</v>
      </c>
      <c r="H133" s="3169">
        <f t="shared" si="63"/>
        <v>0</v>
      </c>
      <c r="I133" s="3175"/>
      <c r="J133" s="3187"/>
      <c r="K133" s="3175"/>
      <c r="L133" s="3187"/>
      <c r="M133" s="3187"/>
      <c r="N133" s="3187"/>
      <c r="O133" s="3187"/>
      <c r="P133" s="3187"/>
      <c r="Q133" s="3187"/>
      <c r="R133" s="3187"/>
      <c r="S133" s="3187"/>
      <c r="T133" s="3187"/>
      <c r="U133" s="3187"/>
      <c r="V133" s="3187"/>
      <c r="W133" s="3187"/>
      <c r="X133" s="3187"/>
      <c r="Y133" s="3187"/>
      <c r="Z133" s="3187"/>
      <c r="AA133" s="3187"/>
      <c r="AB133" s="3187"/>
      <c r="AC133" s="3166">
        <f t="shared" si="64"/>
        <v>0</v>
      </c>
      <c r="AD133" s="3198"/>
      <c r="AE133" s="3198"/>
      <c r="AF133" s="3175"/>
      <c r="AG133" s="3198"/>
      <c r="AH133" s="3198"/>
      <c r="AI133" s="3198"/>
      <c r="AJ133" s="3198"/>
      <c r="AK133" s="3198"/>
      <c r="AL133" s="3198"/>
      <c r="AM133" s="3198"/>
      <c r="AN133" s="3198"/>
      <c r="AO133" s="3198"/>
      <c r="AP133" s="3198"/>
      <c r="AQ133" s="3198"/>
      <c r="AR133" s="3198"/>
      <c r="AS133" s="3198"/>
      <c r="AT133" s="3218"/>
      <c r="AU133" s="3219"/>
      <c r="AV133" s="488">
        <f t="shared" si="88"/>
        <v>0</v>
      </c>
      <c r="AW133" s="488">
        <f t="shared" si="89"/>
        <v>0</v>
      </c>
      <c r="AX133" s="488">
        <f t="shared" si="90"/>
        <v>0</v>
      </c>
      <c r="AY133" s="3235">
        <f t="shared" si="65"/>
        <v>0</v>
      </c>
      <c r="AZ133" s="3166">
        <f t="shared" si="66"/>
        <v>0</v>
      </c>
      <c r="BA133" s="3166">
        <f t="shared" si="67"/>
        <v>0</v>
      </c>
      <c r="BB133" s="3166">
        <f t="shared" si="68"/>
        <v>0</v>
      </c>
      <c r="BC133" s="3166">
        <f t="shared" si="69"/>
        <v>0</v>
      </c>
      <c r="BD133" s="3166">
        <f t="shared" si="70"/>
        <v>0</v>
      </c>
      <c r="BE133" s="3166">
        <f t="shared" si="71"/>
        <v>0</v>
      </c>
      <c r="BF133" s="3166">
        <f t="shared" si="72"/>
        <v>0</v>
      </c>
      <c r="BG133" s="3166">
        <f t="shared" si="73"/>
        <v>0</v>
      </c>
      <c r="BH133" s="3166">
        <f t="shared" si="74"/>
        <v>0</v>
      </c>
      <c r="BI133" s="3166">
        <f t="shared" si="75"/>
        <v>0</v>
      </c>
      <c r="BJ133" s="3166">
        <f t="shared" si="76"/>
        <v>0</v>
      </c>
      <c r="BK133" s="3166">
        <f t="shared" si="77"/>
        <v>0</v>
      </c>
      <c r="BL133" s="3166">
        <f t="shared" si="78"/>
        <v>0</v>
      </c>
      <c r="BM133" s="3166">
        <f t="shared" si="79"/>
        <v>0</v>
      </c>
      <c r="BN133" s="3166">
        <f t="shared" si="80"/>
        <v>0</v>
      </c>
      <c r="BO133" s="3166">
        <f t="shared" si="81"/>
        <v>0</v>
      </c>
      <c r="BP133" s="3166">
        <f t="shared" si="82"/>
        <v>0</v>
      </c>
      <c r="BQ133" s="3166">
        <f t="shared" si="83"/>
        <v>0</v>
      </c>
      <c r="BR133" s="3166">
        <f t="shared" si="84"/>
        <v>0</v>
      </c>
      <c r="BS133" s="3166">
        <f t="shared" si="85"/>
        <v>0</v>
      </c>
      <c r="BT133" s="3240">
        <f t="shared" si="86"/>
        <v>0</v>
      </c>
    </row>
    <row r="134" spans="1:72">
      <c r="A134" s="3163"/>
      <c r="B134" s="3173"/>
      <c r="C134" s="3171"/>
      <c r="D134" s="3172"/>
      <c r="E134" s="3166">
        <f t="shared" si="87"/>
        <v>0</v>
      </c>
      <c r="F134" s="3167"/>
      <c r="G134" s="3168">
        <f t="shared" si="62"/>
        <v>0</v>
      </c>
      <c r="H134" s="3169">
        <f t="shared" si="63"/>
        <v>0</v>
      </c>
      <c r="I134" s="3175"/>
      <c r="J134" s="3187"/>
      <c r="K134" s="3175"/>
      <c r="L134" s="3187"/>
      <c r="M134" s="3187"/>
      <c r="N134" s="3187"/>
      <c r="O134" s="3187"/>
      <c r="P134" s="3187"/>
      <c r="Q134" s="3187"/>
      <c r="R134" s="3187"/>
      <c r="S134" s="3187"/>
      <c r="T134" s="3187"/>
      <c r="U134" s="3187"/>
      <c r="V134" s="3187"/>
      <c r="W134" s="3187"/>
      <c r="X134" s="3187"/>
      <c r="Y134" s="3187"/>
      <c r="Z134" s="3187"/>
      <c r="AA134" s="3187"/>
      <c r="AB134" s="3187"/>
      <c r="AC134" s="3166">
        <f t="shared" si="64"/>
        <v>0</v>
      </c>
      <c r="AD134" s="3198"/>
      <c r="AE134" s="3198"/>
      <c r="AF134" s="3175"/>
      <c r="AG134" s="3198"/>
      <c r="AH134" s="3198"/>
      <c r="AI134" s="3198"/>
      <c r="AJ134" s="3198"/>
      <c r="AK134" s="3198"/>
      <c r="AL134" s="3198"/>
      <c r="AM134" s="3198"/>
      <c r="AN134" s="3198"/>
      <c r="AO134" s="3198"/>
      <c r="AP134" s="3198"/>
      <c r="AQ134" s="3198"/>
      <c r="AR134" s="3198"/>
      <c r="AS134" s="3198"/>
      <c r="AT134" s="3218"/>
      <c r="AU134" s="3219"/>
      <c r="AV134" s="488">
        <f t="shared" si="88"/>
        <v>0</v>
      </c>
      <c r="AW134" s="488">
        <f t="shared" si="89"/>
        <v>0</v>
      </c>
      <c r="AX134" s="488">
        <f t="shared" si="90"/>
        <v>0</v>
      </c>
      <c r="AY134" s="3235">
        <f t="shared" si="65"/>
        <v>0</v>
      </c>
      <c r="AZ134" s="3166">
        <f t="shared" si="66"/>
        <v>0</v>
      </c>
      <c r="BA134" s="3166">
        <f t="shared" si="67"/>
        <v>0</v>
      </c>
      <c r="BB134" s="3166">
        <f t="shared" si="68"/>
        <v>0</v>
      </c>
      <c r="BC134" s="3166">
        <f t="shared" si="69"/>
        <v>0</v>
      </c>
      <c r="BD134" s="3166">
        <f t="shared" si="70"/>
        <v>0</v>
      </c>
      <c r="BE134" s="3166">
        <f t="shared" si="71"/>
        <v>0</v>
      </c>
      <c r="BF134" s="3166">
        <f t="shared" si="72"/>
        <v>0</v>
      </c>
      <c r="BG134" s="3166">
        <f t="shared" si="73"/>
        <v>0</v>
      </c>
      <c r="BH134" s="3166">
        <f t="shared" si="74"/>
        <v>0</v>
      </c>
      <c r="BI134" s="3166">
        <f t="shared" si="75"/>
        <v>0</v>
      </c>
      <c r="BJ134" s="3166">
        <f t="shared" si="76"/>
        <v>0</v>
      </c>
      <c r="BK134" s="3166">
        <f t="shared" si="77"/>
        <v>0</v>
      </c>
      <c r="BL134" s="3166">
        <f t="shared" si="78"/>
        <v>0</v>
      </c>
      <c r="BM134" s="3166">
        <f t="shared" si="79"/>
        <v>0</v>
      </c>
      <c r="BN134" s="3166">
        <f t="shared" si="80"/>
        <v>0</v>
      </c>
      <c r="BO134" s="3166">
        <f t="shared" si="81"/>
        <v>0</v>
      </c>
      <c r="BP134" s="3166">
        <f t="shared" si="82"/>
        <v>0</v>
      </c>
      <c r="BQ134" s="3166">
        <f t="shared" si="83"/>
        <v>0</v>
      </c>
      <c r="BR134" s="3166">
        <f t="shared" si="84"/>
        <v>0</v>
      </c>
      <c r="BS134" s="3166">
        <f t="shared" si="85"/>
        <v>0</v>
      </c>
      <c r="BT134" s="3240">
        <f t="shared" si="86"/>
        <v>0</v>
      </c>
    </row>
    <row r="135" spans="1:72">
      <c r="A135" s="3163"/>
      <c r="B135" s="3173"/>
      <c r="C135" s="3171"/>
      <c r="D135" s="3172"/>
      <c r="E135" s="3166">
        <f t="shared" si="87"/>
        <v>0</v>
      </c>
      <c r="F135" s="3167"/>
      <c r="G135" s="3168">
        <f t="shared" si="62"/>
        <v>0</v>
      </c>
      <c r="H135" s="3169">
        <f t="shared" si="63"/>
        <v>0</v>
      </c>
      <c r="I135" s="3175"/>
      <c r="J135" s="3187"/>
      <c r="K135" s="3175"/>
      <c r="L135" s="3187"/>
      <c r="M135" s="3187"/>
      <c r="N135" s="3187"/>
      <c r="O135" s="3187"/>
      <c r="P135" s="3187"/>
      <c r="Q135" s="3187"/>
      <c r="R135" s="3187"/>
      <c r="S135" s="3187"/>
      <c r="T135" s="3187"/>
      <c r="U135" s="3187"/>
      <c r="V135" s="3187"/>
      <c r="W135" s="3187"/>
      <c r="X135" s="3187"/>
      <c r="Y135" s="3187"/>
      <c r="Z135" s="3187"/>
      <c r="AA135" s="3187"/>
      <c r="AB135" s="3187"/>
      <c r="AC135" s="3166">
        <f t="shared" si="64"/>
        <v>0</v>
      </c>
      <c r="AD135" s="3198"/>
      <c r="AE135" s="3198"/>
      <c r="AF135" s="3175"/>
      <c r="AG135" s="3198"/>
      <c r="AH135" s="3198"/>
      <c r="AI135" s="3198"/>
      <c r="AJ135" s="3198"/>
      <c r="AK135" s="3198"/>
      <c r="AL135" s="3198"/>
      <c r="AM135" s="3198"/>
      <c r="AN135" s="3198"/>
      <c r="AO135" s="3198"/>
      <c r="AP135" s="3198"/>
      <c r="AQ135" s="3198"/>
      <c r="AR135" s="3198"/>
      <c r="AS135" s="3198"/>
      <c r="AT135" s="3218"/>
      <c r="AU135" s="3219"/>
      <c r="AV135" s="488">
        <f t="shared" si="88"/>
        <v>0</v>
      </c>
      <c r="AW135" s="488">
        <f t="shared" si="89"/>
        <v>0</v>
      </c>
      <c r="AX135" s="488">
        <f t="shared" si="90"/>
        <v>0</v>
      </c>
      <c r="AY135" s="3235">
        <f t="shared" si="65"/>
        <v>0</v>
      </c>
      <c r="AZ135" s="3166">
        <f t="shared" si="66"/>
        <v>0</v>
      </c>
      <c r="BA135" s="3166">
        <f t="shared" si="67"/>
        <v>0</v>
      </c>
      <c r="BB135" s="3166">
        <f t="shared" si="68"/>
        <v>0</v>
      </c>
      <c r="BC135" s="3166">
        <f t="shared" si="69"/>
        <v>0</v>
      </c>
      <c r="BD135" s="3166">
        <f t="shared" si="70"/>
        <v>0</v>
      </c>
      <c r="BE135" s="3166">
        <f t="shared" si="71"/>
        <v>0</v>
      </c>
      <c r="BF135" s="3166">
        <f t="shared" si="72"/>
        <v>0</v>
      </c>
      <c r="BG135" s="3166">
        <f t="shared" si="73"/>
        <v>0</v>
      </c>
      <c r="BH135" s="3166">
        <f t="shared" si="74"/>
        <v>0</v>
      </c>
      <c r="BI135" s="3166">
        <f t="shared" si="75"/>
        <v>0</v>
      </c>
      <c r="BJ135" s="3166">
        <f t="shared" si="76"/>
        <v>0</v>
      </c>
      <c r="BK135" s="3166">
        <f t="shared" si="77"/>
        <v>0</v>
      </c>
      <c r="BL135" s="3166">
        <f t="shared" si="78"/>
        <v>0</v>
      </c>
      <c r="BM135" s="3166">
        <f t="shared" si="79"/>
        <v>0</v>
      </c>
      <c r="BN135" s="3166">
        <f t="shared" si="80"/>
        <v>0</v>
      </c>
      <c r="BO135" s="3166">
        <f t="shared" si="81"/>
        <v>0</v>
      </c>
      <c r="BP135" s="3166">
        <f t="shared" si="82"/>
        <v>0</v>
      </c>
      <c r="BQ135" s="3166">
        <f t="shared" si="83"/>
        <v>0</v>
      </c>
      <c r="BR135" s="3166">
        <f t="shared" si="84"/>
        <v>0</v>
      </c>
      <c r="BS135" s="3166">
        <f t="shared" si="85"/>
        <v>0</v>
      </c>
      <c r="BT135" s="3240">
        <f t="shared" si="86"/>
        <v>0</v>
      </c>
    </row>
    <row r="136" spans="1:72">
      <c r="A136" s="3163"/>
      <c r="B136" s="3173"/>
      <c r="C136" s="3171"/>
      <c r="D136" s="3172"/>
      <c r="E136" s="3166">
        <f t="shared" si="87"/>
        <v>0</v>
      </c>
      <c r="F136" s="3167"/>
      <c r="G136" s="3168">
        <f t="shared" si="62"/>
        <v>0</v>
      </c>
      <c r="H136" s="3169">
        <f t="shared" si="63"/>
        <v>0</v>
      </c>
      <c r="I136" s="3175"/>
      <c r="J136" s="3187"/>
      <c r="K136" s="3175"/>
      <c r="L136" s="3187"/>
      <c r="M136" s="3187"/>
      <c r="N136" s="3187"/>
      <c r="O136" s="3187"/>
      <c r="P136" s="3187"/>
      <c r="Q136" s="3187"/>
      <c r="R136" s="3187"/>
      <c r="S136" s="3187"/>
      <c r="T136" s="3187"/>
      <c r="U136" s="3187"/>
      <c r="V136" s="3187"/>
      <c r="W136" s="3187"/>
      <c r="X136" s="3187"/>
      <c r="Y136" s="3187"/>
      <c r="Z136" s="3187"/>
      <c r="AA136" s="3187"/>
      <c r="AB136" s="3187"/>
      <c r="AC136" s="3166">
        <f t="shared" si="64"/>
        <v>0</v>
      </c>
      <c r="AD136" s="3198"/>
      <c r="AE136" s="3198"/>
      <c r="AF136" s="3175"/>
      <c r="AG136" s="3198"/>
      <c r="AH136" s="3198"/>
      <c r="AI136" s="3198"/>
      <c r="AJ136" s="3198"/>
      <c r="AK136" s="3198"/>
      <c r="AL136" s="3198"/>
      <c r="AM136" s="3198"/>
      <c r="AN136" s="3198"/>
      <c r="AO136" s="3198"/>
      <c r="AP136" s="3198"/>
      <c r="AQ136" s="3198"/>
      <c r="AR136" s="3198"/>
      <c r="AS136" s="3198"/>
      <c r="AT136" s="3218"/>
      <c r="AU136" s="3219"/>
      <c r="AV136" s="488">
        <f t="shared" si="88"/>
        <v>0</v>
      </c>
      <c r="AW136" s="488">
        <f t="shared" si="89"/>
        <v>0</v>
      </c>
      <c r="AX136" s="488">
        <f t="shared" si="90"/>
        <v>0</v>
      </c>
      <c r="AY136" s="3235">
        <f t="shared" si="65"/>
        <v>0</v>
      </c>
      <c r="AZ136" s="3166">
        <f t="shared" si="66"/>
        <v>0</v>
      </c>
      <c r="BA136" s="3166">
        <f t="shared" si="67"/>
        <v>0</v>
      </c>
      <c r="BB136" s="3166">
        <f t="shared" si="68"/>
        <v>0</v>
      </c>
      <c r="BC136" s="3166">
        <f t="shared" si="69"/>
        <v>0</v>
      </c>
      <c r="BD136" s="3166">
        <f t="shared" si="70"/>
        <v>0</v>
      </c>
      <c r="BE136" s="3166">
        <f t="shared" si="71"/>
        <v>0</v>
      </c>
      <c r="BF136" s="3166">
        <f t="shared" si="72"/>
        <v>0</v>
      </c>
      <c r="BG136" s="3166">
        <f t="shared" si="73"/>
        <v>0</v>
      </c>
      <c r="BH136" s="3166">
        <f t="shared" si="74"/>
        <v>0</v>
      </c>
      <c r="BI136" s="3166">
        <f t="shared" si="75"/>
        <v>0</v>
      </c>
      <c r="BJ136" s="3166">
        <f t="shared" si="76"/>
        <v>0</v>
      </c>
      <c r="BK136" s="3166">
        <f t="shared" si="77"/>
        <v>0</v>
      </c>
      <c r="BL136" s="3166">
        <f t="shared" si="78"/>
        <v>0</v>
      </c>
      <c r="BM136" s="3166">
        <f t="shared" si="79"/>
        <v>0</v>
      </c>
      <c r="BN136" s="3166">
        <f t="shared" si="80"/>
        <v>0</v>
      </c>
      <c r="BO136" s="3166">
        <f t="shared" si="81"/>
        <v>0</v>
      </c>
      <c r="BP136" s="3166">
        <f t="shared" si="82"/>
        <v>0</v>
      </c>
      <c r="BQ136" s="3166">
        <f t="shared" si="83"/>
        <v>0</v>
      </c>
      <c r="BR136" s="3166">
        <f t="shared" si="84"/>
        <v>0</v>
      </c>
      <c r="BS136" s="3166">
        <f t="shared" si="85"/>
        <v>0</v>
      </c>
      <c r="BT136" s="3240">
        <f t="shared" si="86"/>
        <v>0</v>
      </c>
    </row>
    <row r="137" spans="1:72">
      <c r="A137" s="3163"/>
      <c r="B137" s="3173"/>
      <c r="C137" s="3171"/>
      <c r="D137" s="3172"/>
      <c r="E137" s="3166">
        <f t="shared" si="87"/>
        <v>0</v>
      </c>
      <c r="F137" s="3167"/>
      <c r="G137" s="3168">
        <f t="shared" si="62"/>
        <v>0</v>
      </c>
      <c r="H137" s="3169">
        <f t="shared" si="63"/>
        <v>0</v>
      </c>
      <c r="I137" s="3175"/>
      <c r="J137" s="3187"/>
      <c r="K137" s="3175"/>
      <c r="L137" s="3187"/>
      <c r="M137" s="3187"/>
      <c r="N137" s="3187"/>
      <c r="O137" s="3187"/>
      <c r="P137" s="3187"/>
      <c r="Q137" s="3187"/>
      <c r="R137" s="3187"/>
      <c r="S137" s="3187"/>
      <c r="T137" s="3187"/>
      <c r="U137" s="3187"/>
      <c r="V137" s="3187"/>
      <c r="W137" s="3187"/>
      <c r="X137" s="3187"/>
      <c r="Y137" s="3187"/>
      <c r="Z137" s="3187"/>
      <c r="AA137" s="3187"/>
      <c r="AB137" s="3187"/>
      <c r="AC137" s="3166">
        <f t="shared" si="64"/>
        <v>0</v>
      </c>
      <c r="AD137" s="3198"/>
      <c r="AE137" s="3198"/>
      <c r="AF137" s="3175"/>
      <c r="AG137" s="3198"/>
      <c r="AH137" s="3198"/>
      <c r="AI137" s="3198"/>
      <c r="AJ137" s="3198"/>
      <c r="AK137" s="3198"/>
      <c r="AL137" s="3198"/>
      <c r="AM137" s="3198"/>
      <c r="AN137" s="3198"/>
      <c r="AO137" s="3198"/>
      <c r="AP137" s="3198"/>
      <c r="AQ137" s="3198"/>
      <c r="AR137" s="3198"/>
      <c r="AS137" s="3198"/>
      <c r="AT137" s="3218"/>
      <c r="AU137" s="3219"/>
      <c r="AV137" s="488">
        <f t="shared" si="88"/>
        <v>0</v>
      </c>
      <c r="AW137" s="488">
        <f t="shared" si="89"/>
        <v>0</v>
      </c>
      <c r="AX137" s="488">
        <f t="shared" si="90"/>
        <v>0</v>
      </c>
      <c r="AY137" s="3235">
        <f t="shared" si="65"/>
        <v>0</v>
      </c>
      <c r="AZ137" s="3166">
        <f t="shared" si="66"/>
        <v>0</v>
      </c>
      <c r="BA137" s="3166">
        <f t="shared" si="67"/>
        <v>0</v>
      </c>
      <c r="BB137" s="3166">
        <f t="shared" si="68"/>
        <v>0</v>
      </c>
      <c r="BC137" s="3166">
        <f t="shared" si="69"/>
        <v>0</v>
      </c>
      <c r="BD137" s="3166">
        <f t="shared" si="70"/>
        <v>0</v>
      </c>
      <c r="BE137" s="3166">
        <f t="shared" si="71"/>
        <v>0</v>
      </c>
      <c r="BF137" s="3166">
        <f t="shared" si="72"/>
        <v>0</v>
      </c>
      <c r="BG137" s="3166">
        <f t="shared" si="73"/>
        <v>0</v>
      </c>
      <c r="BH137" s="3166">
        <f t="shared" si="74"/>
        <v>0</v>
      </c>
      <c r="BI137" s="3166">
        <f t="shared" si="75"/>
        <v>0</v>
      </c>
      <c r="BJ137" s="3166">
        <f t="shared" si="76"/>
        <v>0</v>
      </c>
      <c r="BK137" s="3166">
        <f t="shared" si="77"/>
        <v>0</v>
      </c>
      <c r="BL137" s="3166">
        <f t="shared" si="78"/>
        <v>0</v>
      </c>
      <c r="BM137" s="3166">
        <f t="shared" si="79"/>
        <v>0</v>
      </c>
      <c r="BN137" s="3166">
        <f t="shared" si="80"/>
        <v>0</v>
      </c>
      <c r="BO137" s="3166">
        <f t="shared" si="81"/>
        <v>0</v>
      </c>
      <c r="BP137" s="3166">
        <f t="shared" si="82"/>
        <v>0</v>
      </c>
      <c r="BQ137" s="3166">
        <f t="shared" si="83"/>
        <v>0</v>
      </c>
      <c r="BR137" s="3166">
        <f t="shared" si="84"/>
        <v>0</v>
      </c>
      <c r="BS137" s="3166">
        <f t="shared" si="85"/>
        <v>0</v>
      </c>
      <c r="BT137" s="3240">
        <f t="shared" si="86"/>
        <v>0</v>
      </c>
    </row>
    <row r="138" spans="1:72">
      <c r="A138" s="3163"/>
      <c r="B138" s="3173"/>
      <c r="C138" s="3171"/>
      <c r="D138" s="3172"/>
      <c r="E138" s="3166">
        <f t="shared" si="87"/>
        <v>0</v>
      </c>
      <c r="F138" s="3167"/>
      <c r="G138" s="3168">
        <f t="shared" si="62"/>
        <v>0</v>
      </c>
      <c r="H138" s="3169">
        <f t="shared" si="63"/>
        <v>0</v>
      </c>
      <c r="I138" s="3175"/>
      <c r="J138" s="3187"/>
      <c r="K138" s="3175"/>
      <c r="L138" s="3187"/>
      <c r="M138" s="3187"/>
      <c r="N138" s="3187"/>
      <c r="O138" s="3187"/>
      <c r="P138" s="3187"/>
      <c r="Q138" s="3187"/>
      <c r="R138" s="3187"/>
      <c r="S138" s="3187"/>
      <c r="T138" s="3187"/>
      <c r="U138" s="3187"/>
      <c r="V138" s="3187"/>
      <c r="W138" s="3187"/>
      <c r="X138" s="3187"/>
      <c r="Y138" s="3187"/>
      <c r="Z138" s="3187"/>
      <c r="AA138" s="3187"/>
      <c r="AB138" s="3187"/>
      <c r="AC138" s="3166">
        <f t="shared" si="64"/>
        <v>0</v>
      </c>
      <c r="AD138" s="3198"/>
      <c r="AE138" s="3198"/>
      <c r="AF138" s="3175"/>
      <c r="AG138" s="3198"/>
      <c r="AH138" s="3198"/>
      <c r="AI138" s="3198"/>
      <c r="AJ138" s="3198"/>
      <c r="AK138" s="3198"/>
      <c r="AL138" s="3198"/>
      <c r="AM138" s="3198"/>
      <c r="AN138" s="3198"/>
      <c r="AO138" s="3198"/>
      <c r="AP138" s="3198"/>
      <c r="AQ138" s="3198"/>
      <c r="AR138" s="3198"/>
      <c r="AS138" s="3198"/>
      <c r="AT138" s="3218"/>
      <c r="AU138" s="3219"/>
      <c r="AV138" s="488">
        <f t="shared" si="88"/>
        <v>0</v>
      </c>
      <c r="AW138" s="488">
        <f t="shared" si="89"/>
        <v>0</v>
      </c>
      <c r="AX138" s="488">
        <f t="shared" si="90"/>
        <v>0</v>
      </c>
      <c r="AY138" s="3235">
        <f t="shared" si="65"/>
        <v>0</v>
      </c>
      <c r="AZ138" s="3166">
        <f t="shared" si="66"/>
        <v>0</v>
      </c>
      <c r="BA138" s="3166">
        <f t="shared" si="67"/>
        <v>0</v>
      </c>
      <c r="BB138" s="3166">
        <f t="shared" si="68"/>
        <v>0</v>
      </c>
      <c r="BC138" s="3166">
        <f t="shared" si="69"/>
        <v>0</v>
      </c>
      <c r="BD138" s="3166">
        <f t="shared" si="70"/>
        <v>0</v>
      </c>
      <c r="BE138" s="3166">
        <f t="shared" si="71"/>
        <v>0</v>
      </c>
      <c r="BF138" s="3166">
        <f t="shared" si="72"/>
        <v>0</v>
      </c>
      <c r="BG138" s="3166">
        <f t="shared" si="73"/>
        <v>0</v>
      </c>
      <c r="BH138" s="3166">
        <f t="shared" si="74"/>
        <v>0</v>
      </c>
      <c r="BI138" s="3166">
        <f t="shared" si="75"/>
        <v>0</v>
      </c>
      <c r="BJ138" s="3166">
        <f t="shared" si="76"/>
        <v>0</v>
      </c>
      <c r="BK138" s="3166">
        <f t="shared" si="77"/>
        <v>0</v>
      </c>
      <c r="BL138" s="3166">
        <f t="shared" si="78"/>
        <v>0</v>
      </c>
      <c r="BM138" s="3166">
        <f t="shared" si="79"/>
        <v>0</v>
      </c>
      <c r="BN138" s="3166">
        <f t="shared" si="80"/>
        <v>0</v>
      </c>
      <c r="BO138" s="3166">
        <f t="shared" si="81"/>
        <v>0</v>
      </c>
      <c r="BP138" s="3166">
        <f t="shared" si="82"/>
        <v>0</v>
      </c>
      <c r="BQ138" s="3166">
        <f t="shared" si="83"/>
        <v>0</v>
      </c>
      <c r="BR138" s="3166">
        <f t="shared" si="84"/>
        <v>0</v>
      </c>
      <c r="BS138" s="3166">
        <f t="shared" si="85"/>
        <v>0</v>
      </c>
      <c r="BT138" s="3240">
        <f t="shared" si="86"/>
        <v>0</v>
      </c>
    </row>
    <row r="139" spans="1:72">
      <c r="A139" s="3163"/>
      <c r="B139" s="3173"/>
      <c r="C139" s="3171"/>
      <c r="D139" s="3172"/>
      <c r="E139" s="3166">
        <f t="shared" si="87"/>
        <v>0</v>
      </c>
      <c r="F139" s="3167"/>
      <c r="G139" s="3168">
        <f t="shared" si="62"/>
        <v>0</v>
      </c>
      <c r="H139" s="3169">
        <f t="shared" si="63"/>
        <v>0</v>
      </c>
      <c r="I139" s="3175"/>
      <c r="J139" s="3187"/>
      <c r="K139" s="3175"/>
      <c r="L139" s="3187"/>
      <c r="M139" s="3187"/>
      <c r="N139" s="3187"/>
      <c r="O139" s="3187"/>
      <c r="P139" s="3187"/>
      <c r="Q139" s="3187"/>
      <c r="R139" s="3187"/>
      <c r="S139" s="3187"/>
      <c r="T139" s="3187"/>
      <c r="U139" s="3187"/>
      <c r="V139" s="3187"/>
      <c r="W139" s="3187"/>
      <c r="X139" s="3187"/>
      <c r="Y139" s="3187"/>
      <c r="Z139" s="3187"/>
      <c r="AA139" s="3187"/>
      <c r="AB139" s="3187"/>
      <c r="AC139" s="3166">
        <f t="shared" si="64"/>
        <v>0</v>
      </c>
      <c r="AD139" s="3198"/>
      <c r="AE139" s="3198"/>
      <c r="AF139" s="3171"/>
      <c r="AG139" s="3198"/>
      <c r="AH139" s="3198"/>
      <c r="AI139" s="3198"/>
      <c r="AJ139" s="3198"/>
      <c r="AK139" s="3198"/>
      <c r="AL139" s="3198"/>
      <c r="AM139" s="3198"/>
      <c r="AN139" s="3198"/>
      <c r="AO139" s="3198"/>
      <c r="AP139" s="3198"/>
      <c r="AQ139" s="3198"/>
      <c r="AR139" s="3198"/>
      <c r="AS139" s="3198"/>
      <c r="AT139" s="3218"/>
      <c r="AU139" s="3219"/>
      <c r="AV139" s="488">
        <f t="shared" si="88"/>
        <v>0</v>
      </c>
      <c r="AW139" s="488">
        <f t="shared" si="89"/>
        <v>0</v>
      </c>
      <c r="AX139" s="488">
        <f t="shared" si="90"/>
        <v>0</v>
      </c>
      <c r="AY139" s="3235">
        <f t="shared" si="65"/>
        <v>0</v>
      </c>
      <c r="AZ139" s="3166">
        <f t="shared" si="66"/>
        <v>0</v>
      </c>
      <c r="BA139" s="3166">
        <f t="shared" si="67"/>
        <v>0</v>
      </c>
      <c r="BB139" s="3166">
        <f t="shared" si="68"/>
        <v>0</v>
      </c>
      <c r="BC139" s="3166">
        <f t="shared" si="69"/>
        <v>0</v>
      </c>
      <c r="BD139" s="3166">
        <f t="shared" si="70"/>
        <v>0</v>
      </c>
      <c r="BE139" s="3166">
        <f t="shared" si="71"/>
        <v>0</v>
      </c>
      <c r="BF139" s="3166">
        <f t="shared" si="72"/>
        <v>0</v>
      </c>
      <c r="BG139" s="3166">
        <f t="shared" si="73"/>
        <v>0</v>
      </c>
      <c r="BH139" s="3166">
        <f t="shared" si="74"/>
        <v>0</v>
      </c>
      <c r="BI139" s="3166">
        <f t="shared" si="75"/>
        <v>0</v>
      </c>
      <c r="BJ139" s="3166">
        <f t="shared" si="76"/>
        <v>0</v>
      </c>
      <c r="BK139" s="3166">
        <f t="shared" si="77"/>
        <v>0</v>
      </c>
      <c r="BL139" s="3166">
        <f t="shared" si="78"/>
        <v>0</v>
      </c>
      <c r="BM139" s="3166">
        <f t="shared" si="79"/>
        <v>0</v>
      </c>
      <c r="BN139" s="3166">
        <f t="shared" si="80"/>
        <v>0</v>
      </c>
      <c r="BO139" s="3166">
        <f t="shared" si="81"/>
        <v>0</v>
      </c>
      <c r="BP139" s="3166">
        <f t="shared" si="82"/>
        <v>0</v>
      </c>
      <c r="BQ139" s="3166">
        <f t="shared" si="83"/>
        <v>0</v>
      </c>
      <c r="BR139" s="3166">
        <f t="shared" si="84"/>
        <v>0</v>
      </c>
      <c r="BS139" s="3166">
        <f t="shared" si="85"/>
        <v>0</v>
      </c>
      <c r="BT139" s="3240">
        <f t="shared" si="86"/>
        <v>0</v>
      </c>
    </row>
    <row r="140" spans="1:72">
      <c r="A140" s="3163"/>
      <c r="B140" s="3173"/>
      <c r="C140" s="3171"/>
      <c r="D140" s="3172"/>
      <c r="E140" s="3166">
        <f t="shared" si="87"/>
        <v>0</v>
      </c>
      <c r="F140" s="3167"/>
      <c r="G140" s="3168">
        <f t="shared" si="62"/>
        <v>0</v>
      </c>
      <c r="H140" s="3169">
        <f t="shared" si="63"/>
        <v>0</v>
      </c>
      <c r="I140" s="3171"/>
      <c r="J140" s="3187"/>
      <c r="K140" s="3171"/>
      <c r="L140" s="3187"/>
      <c r="M140" s="3187"/>
      <c r="N140" s="3187"/>
      <c r="O140" s="3187"/>
      <c r="P140" s="3187"/>
      <c r="Q140" s="3187"/>
      <c r="R140" s="3187"/>
      <c r="S140" s="3187"/>
      <c r="T140" s="3187"/>
      <c r="U140" s="3187"/>
      <c r="V140" s="3187"/>
      <c r="W140" s="3187"/>
      <c r="X140" s="3187"/>
      <c r="Y140" s="3187"/>
      <c r="Z140" s="3187"/>
      <c r="AA140" s="3187"/>
      <c r="AB140" s="3187"/>
      <c r="AC140" s="3166">
        <f t="shared" si="64"/>
        <v>0</v>
      </c>
      <c r="AD140" s="3198"/>
      <c r="AE140" s="3198"/>
      <c r="AF140" s="3171"/>
      <c r="AG140" s="3198"/>
      <c r="AH140" s="3198"/>
      <c r="AI140" s="3198"/>
      <c r="AJ140" s="3198"/>
      <c r="AK140" s="3198"/>
      <c r="AL140" s="3198"/>
      <c r="AM140" s="3198"/>
      <c r="AN140" s="3198"/>
      <c r="AO140" s="3198"/>
      <c r="AP140" s="3198"/>
      <c r="AQ140" s="3198"/>
      <c r="AR140" s="3198"/>
      <c r="AS140" s="3198"/>
      <c r="AT140" s="3218"/>
      <c r="AU140" s="3219"/>
      <c r="AV140" s="488">
        <f t="shared" si="88"/>
        <v>0</v>
      </c>
      <c r="AW140" s="488">
        <f t="shared" si="89"/>
        <v>0</v>
      </c>
      <c r="AX140" s="488">
        <f t="shared" si="90"/>
        <v>0</v>
      </c>
      <c r="AY140" s="3235">
        <f t="shared" si="65"/>
        <v>0</v>
      </c>
      <c r="AZ140" s="3166">
        <f t="shared" si="66"/>
        <v>0</v>
      </c>
      <c r="BA140" s="3166">
        <f t="shared" si="67"/>
        <v>0</v>
      </c>
      <c r="BB140" s="3166">
        <f t="shared" si="68"/>
        <v>0</v>
      </c>
      <c r="BC140" s="3166">
        <f t="shared" si="69"/>
        <v>0</v>
      </c>
      <c r="BD140" s="3166">
        <f t="shared" si="70"/>
        <v>0</v>
      </c>
      <c r="BE140" s="3166">
        <f t="shared" si="71"/>
        <v>0</v>
      </c>
      <c r="BF140" s="3166">
        <f t="shared" si="72"/>
        <v>0</v>
      </c>
      <c r="BG140" s="3166">
        <f t="shared" si="73"/>
        <v>0</v>
      </c>
      <c r="BH140" s="3166">
        <f t="shared" si="74"/>
        <v>0</v>
      </c>
      <c r="BI140" s="3166">
        <f t="shared" si="75"/>
        <v>0</v>
      </c>
      <c r="BJ140" s="3166">
        <f t="shared" si="76"/>
        <v>0</v>
      </c>
      <c r="BK140" s="3166">
        <f t="shared" si="77"/>
        <v>0</v>
      </c>
      <c r="BL140" s="3166">
        <f t="shared" si="78"/>
        <v>0</v>
      </c>
      <c r="BM140" s="3166">
        <f t="shared" si="79"/>
        <v>0</v>
      </c>
      <c r="BN140" s="3166">
        <f t="shared" si="80"/>
        <v>0</v>
      </c>
      <c r="BO140" s="3166">
        <f t="shared" si="81"/>
        <v>0</v>
      </c>
      <c r="BP140" s="3166">
        <f t="shared" si="82"/>
        <v>0</v>
      </c>
      <c r="BQ140" s="3166">
        <f t="shared" si="83"/>
        <v>0</v>
      </c>
      <c r="BR140" s="3166">
        <f t="shared" si="84"/>
        <v>0</v>
      </c>
      <c r="BS140" s="3166">
        <f t="shared" si="85"/>
        <v>0</v>
      </c>
      <c r="BT140" s="3240">
        <f t="shared" si="86"/>
        <v>0</v>
      </c>
    </row>
    <row r="141" spans="1:72">
      <c r="A141" s="3163"/>
      <c r="B141" s="3173"/>
      <c r="C141" s="3171"/>
      <c r="D141" s="3172"/>
      <c r="E141" s="3166">
        <f t="shared" si="87"/>
        <v>0</v>
      </c>
      <c r="F141" s="3167"/>
      <c r="G141" s="3168">
        <f t="shared" si="62"/>
        <v>0</v>
      </c>
      <c r="H141" s="3169">
        <f t="shared" si="63"/>
        <v>0</v>
      </c>
      <c r="I141" s="3171"/>
      <c r="J141" s="3187"/>
      <c r="K141" s="3171"/>
      <c r="L141" s="3187"/>
      <c r="M141" s="3187"/>
      <c r="N141" s="3187"/>
      <c r="O141" s="3187"/>
      <c r="P141" s="3187"/>
      <c r="Q141" s="3187"/>
      <c r="R141" s="3187"/>
      <c r="S141" s="3187"/>
      <c r="T141" s="3187"/>
      <c r="U141" s="3187"/>
      <c r="V141" s="3187"/>
      <c r="W141" s="3187"/>
      <c r="X141" s="3187"/>
      <c r="Y141" s="3187"/>
      <c r="Z141" s="3187"/>
      <c r="AA141" s="3187"/>
      <c r="AB141" s="3187"/>
      <c r="AC141" s="3166">
        <f t="shared" si="64"/>
        <v>0</v>
      </c>
      <c r="AD141" s="3198"/>
      <c r="AE141" s="3198"/>
      <c r="AF141" s="3171"/>
      <c r="AG141" s="3198"/>
      <c r="AH141" s="3198"/>
      <c r="AI141" s="3198"/>
      <c r="AJ141" s="3198"/>
      <c r="AK141" s="3198"/>
      <c r="AL141" s="3198"/>
      <c r="AM141" s="3198"/>
      <c r="AN141" s="3198"/>
      <c r="AO141" s="3198"/>
      <c r="AP141" s="3198"/>
      <c r="AQ141" s="3198"/>
      <c r="AR141" s="3198"/>
      <c r="AS141" s="3198"/>
      <c r="AT141" s="3218"/>
      <c r="AU141" s="3219"/>
      <c r="AV141" s="488">
        <f t="shared" si="88"/>
        <v>0</v>
      </c>
      <c r="AW141" s="488">
        <f t="shared" si="89"/>
        <v>0</v>
      </c>
      <c r="AX141" s="488">
        <f t="shared" si="90"/>
        <v>0</v>
      </c>
      <c r="AY141" s="3235">
        <f t="shared" si="65"/>
        <v>0</v>
      </c>
      <c r="AZ141" s="3166">
        <f t="shared" si="66"/>
        <v>0</v>
      </c>
      <c r="BA141" s="3166">
        <f t="shared" si="67"/>
        <v>0</v>
      </c>
      <c r="BB141" s="3166">
        <f t="shared" si="68"/>
        <v>0</v>
      </c>
      <c r="BC141" s="3166">
        <f t="shared" si="69"/>
        <v>0</v>
      </c>
      <c r="BD141" s="3166">
        <f t="shared" si="70"/>
        <v>0</v>
      </c>
      <c r="BE141" s="3166">
        <f t="shared" si="71"/>
        <v>0</v>
      </c>
      <c r="BF141" s="3166">
        <f t="shared" si="72"/>
        <v>0</v>
      </c>
      <c r="BG141" s="3166">
        <f t="shared" si="73"/>
        <v>0</v>
      </c>
      <c r="BH141" s="3166">
        <f t="shared" si="74"/>
        <v>0</v>
      </c>
      <c r="BI141" s="3166">
        <f t="shared" si="75"/>
        <v>0</v>
      </c>
      <c r="BJ141" s="3166">
        <f t="shared" si="76"/>
        <v>0</v>
      </c>
      <c r="BK141" s="3166">
        <f t="shared" si="77"/>
        <v>0</v>
      </c>
      <c r="BL141" s="3166">
        <f t="shared" si="78"/>
        <v>0</v>
      </c>
      <c r="BM141" s="3166">
        <f t="shared" si="79"/>
        <v>0</v>
      </c>
      <c r="BN141" s="3166">
        <f t="shared" si="80"/>
        <v>0</v>
      </c>
      <c r="BO141" s="3166">
        <f t="shared" si="81"/>
        <v>0</v>
      </c>
      <c r="BP141" s="3166">
        <f t="shared" si="82"/>
        <v>0</v>
      </c>
      <c r="BQ141" s="3166">
        <f t="shared" si="83"/>
        <v>0</v>
      </c>
      <c r="BR141" s="3166">
        <f t="shared" si="84"/>
        <v>0</v>
      </c>
      <c r="BS141" s="3166">
        <f t="shared" si="85"/>
        <v>0</v>
      </c>
      <c r="BT141" s="3240">
        <f t="shared" si="86"/>
        <v>0</v>
      </c>
    </row>
    <row r="142" spans="1:72">
      <c r="A142" s="3163"/>
      <c r="B142" s="3173"/>
      <c r="C142" s="3171"/>
      <c r="D142" s="3172"/>
      <c r="E142" s="3166">
        <f t="shared" si="87"/>
        <v>0</v>
      </c>
      <c r="F142" s="3167"/>
      <c r="G142" s="3168">
        <f t="shared" ref="G142:G173" si="91">H142+AC142+AT142</f>
        <v>0</v>
      </c>
      <c r="H142" s="3169">
        <f t="shared" ref="H142:H173" si="92">SUMIF(I$12:AB$12,"总值",I142:AB142)</f>
        <v>0</v>
      </c>
      <c r="I142" s="3171"/>
      <c r="J142" s="3187"/>
      <c r="K142" s="3171"/>
      <c r="L142" s="3187"/>
      <c r="M142" s="3187"/>
      <c r="N142" s="3187"/>
      <c r="O142" s="3187"/>
      <c r="P142" s="3187"/>
      <c r="Q142" s="3187"/>
      <c r="R142" s="3187"/>
      <c r="S142" s="3187"/>
      <c r="T142" s="3187"/>
      <c r="U142" s="3187"/>
      <c r="V142" s="3187"/>
      <c r="W142" s="3187"/>
      <c r="X142" s="3187"/>
      <c r="Y142" s="3187"/>
      <c r="Z142" s="3187"/>
      <c r="AA142" s="3187"/>
      <c r="AB142" s="3187"/>
      <c r="AC142" s="3166">
        <f t="shared" ref="AC142:AC173" si="93">SUMIF(AD$12:AS$12,"总值",AD142:AS142)</f>
        <v>0</v>
      </c>
      <c r="AD142" s="3198"/>
      <c r="AE142" s="3198"/>
      <c r="AF142" s="3171"/>
      <c r="AG142" s="3198"/>
      <c r="AH142" s="3198"/>
      <c r="AI142" s="3198"/>
      <c r="AJ142" s="3198"/>
      <c r="AK142" s="3198"/>
      <c r="AL142" s="3198"/>
      <c r="AM142" s="3198"/>
      <c r="AN142" s="3198"/>
      <c r="AO142" s="3198"/>
      <c r="AP142" s="3198"/>
      <c r="AQ142" s="3198"/>
      <c r="AR142" s="3198"/>
      <c r="AS142" s="3198"/>
      <c r="AT142" s="3218"/>
      <c r="AU142" s="3219"/>
      <c r="AV142" s="488">
        <f t="shared" si="88"/>
        <v>0</v>
      </c>
      <c r="AW142" s="488">
        <f t="shared" si="89"/>
        <v>0</v>
      </c>
      <c r="AX142" s="488">
        <f t="shared" si="90"/>
        <v>0</v>
      </c>
      <c r="AY142" s="3235">
        <f t="shared" ref="AY142:AY173" si="94">ROUND($AY$6*AZ142/$AZ$5,2)</f>
        <v>0</v>
      </c>
      <c r="AZ142" s="3166">
        <f t="shared" ref="AZ142:AZ173" si="95">BA142+BL142</f>
        <v>0</v>
      </c>
      <c r="BA142" s="3166">
        <f t="shared" ref="BA142:BA173" si="96">SUM(BB142:BK142)</f>
        <v>0</v>
      </c>
      <c r="BB142" s="3166">
        <f t="shared" ref="BB142:BB173" si="97">IF($D142="是",I142-J142,0)</f>
        <v>0</v>
      </c>
      <c r="BC142" s="3166">
        <f t="shared" ref="BC142:BC173" si="98">IF($D142="是",K142-L142,0)</f>
        <v>0</v>
      </c>
      <c r="BD142" s="3166">
        <f t="shared" ref="BD142:BD173" si="99">IF($D142="是",M142-N142,0)</f>
        <v>0</v>
      </c>
      <c r="BE142" s="3166">
        <f t="shared" ref="BE142:BE173" si="100">IF($D142="是",O142-P142,0)</f>
        <v>0</v>
      </c>
      <c r="BF142" s="3166">
        <f t="shared" ref="BF142:BF173" si="101">IF($D142="是",Q142-R142,0)</f>
        <v>0</v>
      </c>
      <c r="BG142" s="3166">
        <f t="shared" ref="BG142:BG173" si="102">IF($D142="是",S142-T142,0)</f>
        <v>0</v>
      </c>
      <c r="BH142" s="3166">
        <f t="shared" ref="BH142:BH173" si="103">IF($D142="是",U142-V142,0)</f>
        <v>0</v>
      </c>
      <c r="BI142" s="3166">
        <f t="shared" ref="BI142:BI173" si="104">IF($D142="是",W142-X142,0)</f>
        <v>0</v>
      </c>
      <c r="BJ142" s="3166">
        <f t="shared" ref="BJ142:BJ173" si="105">IF($D142="是",Y142-Z142,0)</f>
        <v>0</v>
      </c>
      <c r="BK142" s="3166">
        <f t="shared" ref="BK142:BK173" si="106">IF($D142="是",AA142-AB142,0)</f>
        <v>0</v>
      </c>
      <c r="BL142" s="3166">
        <f t="shared" ref="BL142:BL173" si="107">SUM(BM142:BT142)</f>
        <v>0</v>
      </c>
      <c r="BM142" s="3166">
        <f t="shared" ref="BM142:BM173" si="108">IF($D142="是",AD142-AE142,0)</f>
        <v>0</v>
      </c>
      <c r="BN142" s="3166">
        <f t="shared" ref="BN142:BN173" si="109">IF($D142="是",AF142-AG142,0)</f>
        <v>0</v>
      </c>
      <c r="BO142" s="3166">
        <f t="shared" ref="BO142:BO173" si="110">IF($D142="是",AH142-AI142,0)</f>
        <v>0</v>
      </c>
      <c r="BP142" s="3166">
        <f t="shared" ref="BP142:BP173" si="111">IF($D142="是",AJ142-AK142,0)</f>
        <v>0</v>
      </c>
      <c r="BQ142" s="3166">
        <f t="shared" ref="BQ142:BQ173" si="112">IF($D142="是",AL142-AM142,0)</f>
        <v>0</v>
      </c>
      <c r="BR142" s="3166">
        <f t="shared" ref="BR142:BR173" si="113">IF($D142="是",AN142-AO142,0)</f>
        <v>0</v>
      </c>
      <c r="BS142" s="3166">
        <f t="shared" ref="BS142:BS173" si="114">IF($D142="是",AP142-AQ142,0)</f>
        <v>0</v>
      </c>
      <c r="BT142" s="3240">
        <f t="shared" ref="BT142:BT173" si="115">IF($D142="是",AR142-AS142,0)</f>
        <v>0</v>
      </c>
    </row>
    <row r="143" spans="1:72">
      <c r="A143" s="3163"/>
      <c r="B143" s="3173"/>
      <c r="C143" s="3171"/>
      <c r="D143" s="3172"/>
      <c r="E143" s="3166">
        <f t="shared" si="87"/>
        <v>0</v>
      </c>
      <c r="F143" s="3167"/>
      <c r="G143" s="3168">
        <f t="shared" si="91"/>
        <v>0</v>
      </c>
      <c r="H143" s="3169">
        <f t="shared" si="92"/>
        <v>0</v>
      </c>
      <c r="I143" s="3171"/>
      <c r="J143" s="3187"/>
      <c r="K143" s="3171"/>
      <c r="L143" s="3187"/>
      <c r="M143" s="3187"/>
      <c r="N143" s="3187"/>
      <c r="O143" s="3187"/>
      <c r="P143" s="3187"/>
      <c r="Q143" s="3187"/>
      <c r="R143" s="3187"/>
      <c r="S143" s="3187"/>
      <c r="T143" s="3187"/>
      <c r="U143" s="3187"/>
      <c r="V143" s="3187"/>
      <c r="W143" s="3187"/>
      <c r="X143" s="3187"/>
      <c r="Y143" s="3187"/>
      <c r="Z143" s="3187"/>
      <c r="AA143" s="3187"/>
      <c r="AB143" s="3187"/>
      <c r="AC143" s="3166">
        <f t="shared" si="93"/>
        <v>0</v>
      </c>
      <c r="AD143" s="3198"/>
      <c r="AE143" s="3198"/>
      <c r="AF143" s="3171"/>
      <c r="AG143" s="3198"/>
      <c r="AH143" s="3198"/>
      <c r="AI143" s="3198"/>
      <c r="AJ143" s="3198"/>
      <c r="AK143" s="3198"/>
      <c r="AL143" s="3198"/>
      <c r="AM143" s="3198"/>
      <c r="AN143" s="3198"/>
      <c r="AO143" s="3198"/>
      <c r="AP143" s="3198"/>
      <c r="AQ143" s="3198"/>
      <c r="AR143" s="3198"/>
      <c r="AS143" s="3198"/>
      <c r="AT143" s="3218"/>
      <c r="AU143" s="3219"/>
      <c r="AV143" s="488">
        <f t="shared" si="88"/>
        <v>0</v>
      </c>
      <c r="AW143" s="488">
        <f t="shared" si="89"/>
        <v>0</v>
      </c>
      <c r="AX143" s="488">
        <f t="shared" si="90"/>
        <v>0</v>
      </c>
      <c r="AY143" s="3235">
        <f t="shared" si="94"/>
        <v>0</v>
      </c>
      <c r="AZ143" s="3166">
        <f t="shared" si="95"/>
        <v>0</v>
      </c>
      <c r="BA143" s="3166">
        <f t="shared" si="96"/>
        <v>0</v>
      </c>
      <c r="BB143" s="3166">
        <f t="shared" si="97"/>
        <v>0</v>
      </c>
      <c r="BC143" s="3166">
        <f t="shared" si="98"/>
        <v>0</v>
      </c>
      <c r="BD143" s="3166">
        <f t="shared" si="99"/>
        <v>0</v>
      </c>
      <c r="BE143" s="3166">
        <f t="shared" si="100"/>
        <v>0</v>
      </c>
      <c r="BF143" s="3166">
        <f t="shared" si="101"/>
        <v>0</v>
      </c>
      <c r="BG143" s="3166">
        <f t="shared" si="102"/>
        <v>0</v>
      </c>
      <c r="BH143" s="3166">
        <f t="shared" si="103"/>
        <v>0</v>
      </c>
      <c r="BI143" s="3166">
        <f t="shared" si="104"/>
        <v>0</v>
      </c>
      <c r="BJ143" s="3166">
        <f t="shared" si="105"/>
        <v>0</v>
      </c>
      <c r="BK143" s="3166">
        <f t="shared" si="106"/>
        <v>0</v>
      </c>
      <c r="BL143" s="3166">
        <f t="shared" si="107"/>
        <v>0</v>
      </c>
      <c r="BM143" s="3166">
        <f t="shared" si="108"/>
        <v>0</v>
      </c>
      <c r="BN143" s="3166">
        <f t="shared" si="109"/>
        <v>0</v>
      </c>
      <c r="BO143" s="3166">
        <f t="shared" si="110"/>
        <v>0</v>
      </c>
      <c r="BP143" s="3166">
        <f t="shared" si="111"/>
        <v>0</v>
      </c>
      <c r="BQ143" s="3166">
        <f t="shared" si="112"/>
        <v>0</v>
      </c>
      <c r="BR143" s="3166">
        <f t="shared" si="113"/>
        <v>0</v>
      </c>
      <c r="BS143" s="3166">
        <f t="shared" si="114"/>
        <v>0</v>
      </c>
      <c r="BT143" s="3240">
        <f t="shared" si="115"/>
        <v>0</v>
      </c>
    </row>
    <row r="144" spans="1:72">
      <c r="A144" s="3163"/>
      <c r="B144" s="3173"/>
      <c r="C144" s="3171"/>
      <c r="D144" s="3172"/>
      <c r="E144" s="3166">
        <f t="shared" si="87"/>
        <v>0</v>
      </c>
      <c r="F144" s="3167"/>
      <c r="G144" s="3168">
        <f t="shared" si="91"/>
        <v>0</v>
      </c>
      <c r="H144" s="3169">
        <f t="shared" si="92"/>
        <v>0</v>
      </c>
      <c r="I144" s="3171"/>
      <c r="J144" s="3187"/>
      <c r="K144" s="3171"/>
      <c r="L144" s="3187"/>
      <c r="M144" s="3187"/>
      <c r="N144" s="3187"/>
      <c r="O144" s="3187"/>
      <c r="P144" s="3187"/>
      <c r="Q144" s="3187"/>
      <c r="R144" s="3187"/>
      <c r="S144" s="3187"/>
      <c r="T144" s="3187"/>
      <c r="U144" s="3187"/>
      <c r="V144" s="3187"/>
      <c r="W144" s="3187"/>
      <c r="X144" s="3187"/>
      <c r="Y144" s="3187"/>
      <c r="Z144" s="3187"/>
      <c r="AA144" s="3187"/>
      <c r="AB144" s="3187"/>
      <c r="AC144" s="3166">
        <f t="shared" si="93"/>
        <v>0</v>
      </c>
      <c r="AD144" s="3198"/>
      <c r="AE144" s="3198"/>
      <c r="AF144" s="3171"/>
      <c r="AG144" s="3198"/>
      <c r="AH144" s="3198"/>
      <c r="AI144" s="3198"/>
      <c r="AJ144" s="3198"/>
      <c r="AK144" s="3198"/>
      <c r="AL144" s="3198"/>
      <c r="AM144" s="3198"/>
      <c r="AN144" s="3198"/>
      <c r="AO144" s="3198"/>
      <c r="AP144" s="3198"/>
      <c r="AQ144" s="3198"/>
      <c r="AR144" s="3198"/>
      <c r="AS144" s="3198"/>
      <c r="AT144" s="3218"/>
      <c r="AU144" s="3219"/>
      <c r="AV144" s="488">
        <f t="shared" si="88"/>
        <v>0</v>
      </c>
      <c r="AW144" s="488">
        <f t="shared" si="89"/>
        <v>0</v>
      </c>
      <c r="AX144" s="488">
        <f t="shared" si="90"/>
        <v>0</v>
      </c>
      <c r="AY144" s="3235">
        <f t="shared" si="94"/>
        <v>0</v>
      </c>
      <c r="AZ144" s="3166">
        <f t="shared" si="95"/>
        <v>0</v>
      </c>
      <c r="BA144" s="3166">
        <f t="shared" si="96"/>
        <v>0</v>
      </c>
      <c r="BB144" s="3166">
        <f t="shared" si="97"/>
        <v>0</v>
      </c>
      <c r="BC144" s="3166">
        <f t="shared" si="98"/>
        <v>0</v>
      </c>
      <c r="BD144" s="3166">
        <f t="shared" si="99"/>
        <v>0</v>
      </c>
      <c r="BE144" s="3166">
        <f t="shared" si="100"/>
        <v>0</v>
      </c>
      <c r="BF144" s="3166">
        <f t="shared" si="101"/>
        <v>0</v>
      </c>
      <c r="BG144" s="3166">
        <f t="shared" si="102"/>
        <v>0</v>
      </c>
      <c r="BH144" s="3166">
        <f t="shared" si="103"/>
        <v>0</v>
      </c>
      <c r="BI144" s="3166">
        <f t="shared" si="104"/>
        <v>0</v>
      </c>
      <c r="BJ144" s="3166">
        <f t="shared" si="105"/>
        <v>0</v>
      </c>
      <c r="BK144" s="3166">
        <f t="shared" si="106"/>
        <v>0</v>
      </c>
      <c r="BL144" s="3166">
        <f t="shared" si="107"/>
        <v>0</v>
      </c>
      <c r="BM144" s="3166">
        <f t="shared" si="108"/>
        <v>0</v>
      </c>
      <c r="BN144" s="3166">
        <f t="shared" si="109"/>
        <v>0</v>
      </c>
      <c r="BO144" s="3166">
        <f t="shared" si="110"/>
        <v>0</v>
      </c>
      <c r="BP144" s="3166">
        <f t="shared" si="111"/>
        <v>0</v>
      </c>
      <c r="BQ144" s="3166">
        <f t="shared" si="112"/>
        <v>0</v>
      </c>
      <c r="BR144" s="3166">
        <f t="shared" si="113"/>
        <v>0</v>
      </c>
      <c r="BS144" s="3166">
        <f t="shared" si="114"/>
        <v>0</v>
      </c>
      <c r="BT144" s="3240">
        <f t="shared" si="115"/>
        <v>0</v>
      </c>
    </row>
    <row r="145" spans="1:72">
      <c r="A145" s="3163"/>
      <c r="B145" s="3173"/>
      <c r="C145" s="3171"/>
      <c r="D145" s="3172"/>
      <c r="E145" s="3166">
        <f t="shared" ref="E145:E176" si="116">IF($C$3="是",ROUND($A$3*G145/$B$3,2),ROUND($A$3*(G145-AT145)/$B$3,2))</f>
        <v>0</v>
      </c>
      <c r="F145" s="3167"/>
      <c r="G145" s="3168">
        <f t="shared" si="91"/>
        <v>0</v>
      </c>
      <c r="H145" s="3169">
        <f t="shared" si="92"/>
        <v>0</v>
      </c>
      <c r="I145" s="3171"/>
      <c r="J145" s="3187"/>
      <c r="K145" s="3171"/>
      <c r="L145" s="3187"/>
      <c r="M145" s="3187"/>
      <c r="N145" s="3187"/>
      <c r="O145" s="3187"/>
      <c r="P145" s="3187"/>
      <c r="Q145" s="3187"/>
      <c r="R145" s="3187"/>
      <c r="S145" s="3187"/>
      <c r="T145" s="3187"/>
      <c r="U145" s="3187"/>
      <c r="V145" s="3187"/>
      <c r="W145" s="3187"/>
      <c r="X145" s="3187"/>
      <c r="Y145" s="3187"/>
      <c r="Z145" s="3187"/>
      <c r="AA145" s="3187"/>
      <c r="AB145" s="3187"/>
      <c r="AC145" s="3166">
        <f t="shared" si="93"/>
        <v>0</v>
      </c>
      <c r="AD145" s="3198"/>
      <c r="AE145" s="3198"/>
      <c r="AF145" s="3171"/>
      <c r="AG145" s="3198"/>
      <c r="AH145" s="3198"/>
      <c r="AI145" s="3198"/>
      <c r="AJ145" s="3198"/>
      <c r="AK145" s="3198"/>
      <c r="AL145" s="3198"/>
      <c r="AM145" s="3198"/>
      <c r="AN145" s="3198"/>
      <c r="AO145" s="3198"/>
      <c r="AP145" s="3198"/>
      <c r="AQ145" s="3198"/>
      <c r="AR145" s="3198"/>
      <c r="AS145" s="3198"/>
      <c r="AT145" s="3218"/>
      <c r="AU145" s="3219"/>
      <c r="AV145" s="488">
        <f t="shared" ref="AV145:AV176" si="117">A145</f>
        <v>0</v>
      </c>
      <c r="AW145" s="488">
        <f t="shared" ref="AW145:AW176" si="118">B145</f>
        <v>0</v>
      </c>
      <c r="AX145" s="488">
        <f t="shared" ref="AX145:AX176" si="119">C145</f>
        <v>0</v>
      </c>
      <c r="AY145" s="3235">
        <f t="shared" si="94"/>
        <v>0</v>
      </c>
      <c r="AZ145" s="3166">
        <f t="shared" si="95"/>
        <v>0</v>
      </c>
      <c r="BA145" s="3166">
        <f t="shared" si="96"/>
        <v>0</v>
      </c>
      <c r="BB145" s="3166">
        <f t="shared" si="97"/>
        <v>0</v>
      </c>
      <c r="BC145" s="3166">
        <f t="shared" si="98"/>
        <v>0</v>
      </c>
      <c r="BD145" s="3166">
        <f t="shared" si="99"/>
        <v>0</v>
      </c>
      <c r="BE145" s="3166">
        <f t="shared" si="100"/>
        <v>0</v>
      </c>
      <c r="BF145" s="3166">
        <f t="shared" si="101"/>
        <v>0</v>
      </c>
      <c r="BG145" s="3166">
        <f t="shared" si="102"/>
        <v>0</v>
      </c>
      <c r="BH145" s="3166">
        <f t="shared" si="103"/>
        <v>0</v>
      </c>
      <c r="BI145" s="3166">
        <f t="shared" si="104"/>
        <v>0</v>
      </c>
      <c r="BJ145" s="3166">
        <f t="shared" si="105"/>
        <v>0</v>
      </c>
      <c r="BK145" s="3166">
        <f t="shared" si="106"/>
        <v>0</v>
      </c>
      <c r="BL145" s="3166">
        <f t="shared" si="107"/>
        <v>0</v>
      </c>
      <c r="BM145" s="3166">
        <f t="shared" si="108"/>
        <v>0</v>
      </c>
      <c r="BN145" s="3166">
        <f t="shared" si="109"/>
        <v>0</v>
      </c>
      <c r="BO145" s="3166">
        <f t="shared" si="110"/>
        <v>0</v>
      </c>
      <c r="BP145" s="3166">
        <f t="shared" si="111"/>
        <v>0</v>
      </c>
      <c r="BQ145" s="3166">
        <f t="shared" si="112"/>
        <v>0</v>
      </c>
      <c r="BR145" s="3166">
        <f t="shared" si="113"/>
        <v>0</v>
      </c>
      <c r="BS145" s="3166">
        <f t="shared" si="114"/>
        <v>0</v>
      </c>
      <c r="BT145" s="3240">
        <f t="shared" si="115"/>
        <v>0</v>
      </c>
    </row>
    <row r="146" spans="1:72">
      <c r="A146" s="3163"/>
      <c r="B146" s="3173"/>
      <c r="C146" s="3171"/>
      <c r="D146" s="3172"/>
      <c r="E146" s="3166">
        <f t="shared" si="116"/>
        <v>0</v>
      </c>
      <c r="F146" s="3167"/>
      <c r="G146" s="3168">
        <f t="shared" si="91"/>
        <v>0</v>
      </c>
      <c r="H146" s="3169">
        <f t="shared" si="92"/>
        <v>0</v>
      </c>
      <c r="I146" s="3171"/>
      <c r="J146" s="3187"/>
      <c r="K146" s="3171"/>
      <c r="L146" s="3187"/>
      <c r="M146" s="3187"/>
      <c r="N146" s="3187"/>
      <c r="O146" s="3187"/>
      <c r="P146" s="3187"/>
      <c r="Q146" s="3187"/>
      <c r="R146" s="3187"/>
      <c r="S146" s="3187"/>
      <c r="T146" s="3187"/>
      <c r="U146" s="3187"/>
      <c r="V146" s="3187"/>
      <c r="W146" s="3187"/>
      <c r="X146" s="3187"/>
      <c r="Y146" s="3187"/>
      <c r="Z146" s="3187"/>
      <c r="AA146" s="3187"/>
      <c r="AB146" s="3187"/>
      <c r="AC146" s="3166">
        <f t="shared" si="93"/>
        <v>0</v>
      </c>
      <c r="AD146" s="3198"/>
      <c r="AE146" s="3198"/>
      <c r="AF146" s="3171"/>
      <c r="AG146" s="3198"/>
      <c r="AH146" s="3198"/>
      <c r="AI146" s="3198"/>
      <c r="AJ146" s="3198"/>
      <c r="AK146" s="3198"/>
      <c r="AL146" s="3198"/>
      <c r="AM146" s="3198"/>
      <c r="AN146" s="3198"/>
      <c r="AO146" s="3198"/>
      <c r="AP146" s="3198"/>
      <c r="AQ146" s="3198"/>
      <c r="AR146" s="3198"/>
      <c r="AS146" s="3198"/>
      <c r="AT146" s="3218"/>
      <c r="AU146" s="3219"/>
      <c r="AV146" s="488">
        <f t="shared" si="117"/>
        <v>0</v>
      </c>
      <c r="AW146" s="488">
        <f t="shared" si="118"/>
        <v>0</v>
      </c>
      <c r="AX146" s="488">
        <f t="shared" si="119"/>
        <v>0</v>
      </c>
      <c r="AY146" s="3235">
        <f t="shared" si="94"/>
        <v>0</v>
      </c>
      <c r="AZ146" s="3166">
        <f t="shared" si="95"/>
        <v>0</v>
      </c>
      <c r="BA146" s="3166">
        <f t="shared" si="96"/>
        <v>0</v>
      </c>
      <c r="BB146" s="3166">
        <f t="shared" si="97"/>
        <v>0</v>
      </c>
      <c r="BC146" s="3166">
        <f t="shared" si="98"/>
        <v>0</v>
      </c>
      <c r="BD146" s="3166">
        <f t="shared" si="99"/>
        <v>0</v>
      </c>
      <c r="BE146" s="3166">
        <f t="shared" si="100"/>
        <v>0</v>
      </c>
      <c r="BF146" s="3166">
        <f t="shared" si="101"/>
        <v>0</v>
      </c>
      <c r="BG146" s="3166">
        <f t="shared" si="102"/>
        <v>0</v>
      </c>
      <c r="BH146" s="3166">
        <f t="shared" si="103"/>
        <v>0</v>
      </c>
      <c r="BI146" s="3166">
        <f t="shared" si="104"/>
        <v>0</v>
      </c>
      <c r="BJ146" s="3166">
        <f t="shared" si="105"/>
        <v>0</v>
      </c>
      <c r="BK146" s="3166">
        <f t="shared" si="106"/>
        <v>0</v>
      </c>
      <c r="BL146" s="3166">
        <f t="shared" si="107"/>
        <v>0</v>
      </c>
      <c r="BM146" s="3166">
        <f t="shared" si="108"/>
        <v>0</v>
      </c>
      <c r="BN146" s="3166">
        <f t="shared" si="109"/>
        <v>0</v>
      </c>
      <c r="BO146" s="3166">
        <f t="shared" si="110"/>
        <v>0</v>
      </c>
      <c r="BP146" s="3166">
        <f t="shared" si="111"/>
        <v>0</v>
      </c>
      <c r="BQ146" s="3166">
        <f t="shared" si="112"/>
        <v>0</v>
      </c>
      <c r="BR146" s="3166">
        <f t="shared" si="113"/>
        <v>0</v>
      </c>
      <c r="BS146" s="3166">
        <f t="shared" si="114"/>
        <v>0</v>
      </c>
      <c r="BT146" s="3240">
        <f t="shared" si="115"/>
        <v>0</v>
      </c>
    </row>
    <row r="147" spans="1:72">
      <c r="A147" s="3163"/>
      <c r="B147" s="3174"/>
      <c r="C147" s="3175"/>
      <c r="D147" s="3172"/>
      <c r="E147" s="3166">
        <f t="shared" si="116"/>
        <v>0</v>
      </c>
      <c r="F147" s="3167"/>
      <c r="G147" s="3168">
        <f t="shared" si="91"/>
        <v>0</v>
      </c>
      <c r="H147" s="3169">
        <f t="shared" si="92"/>
        <v>0</v>
      </c>
      <c r="I147" s="3171"/>
      <c r="J147" s="3187"/>
      <c r="K147" s="3171"/>
      <c r="L147" s="3187"/>
      <c r="M147" s="3171"/>
      <c r="N147" s="3187"/>
      <c r="O147" s="3187"/>
      <c r="P147" s="3187"/>
      <c r="Q147" s="3187"/>
      <c r="R147" s="3187"/>
      <c r="S147" s="3187"/>
      <c r="T147" s="3187"/>
      <c r="U147" s="3187"/>
      <c r="V147" s="3187"/>
      <c r="W147" s="3187"/>
      <c r="X147" s="3187"/>
      <c r="Y147" s="3187"/>
      <c r="Z147" s="3187"/>
      <c r="AA147" s="3187"/>
      <c r="AB147" s="3187"/>
      <c r="AC147" s="3166">
        <f t="shared" si="93"/>
        <v>0</v>
      </c>
      <c r="AD147" s="3198"/>
      <c r="AE147" s="3198"/>
      <c r="AF147" s="3171"/>
      <c r="AG147" s="3198"/>
      <c r="AH147" s="3198"/>
      <c r="AI147" s="3198"/>
      <c r="AJ147" s="3198"/>
      <c r="AK147" s="3198"/>
      <c r="AL147" s="3198"/>
      <c r="AM147" s="3198"/>
      <c r="AN147" s="3198"/>
      <c r="AO147" s="3198"/>
      <c r="AP147" s="3198"/>
      <c r="AQ147" s="3198"/>
      <c r="AR147" s="3198"/>
      <c r="AS147" s="3198"/>
      <c r="AT147" s="3218"/>
      <c r="AU147" s="3219"/>
      <c r="AV147" s="488">
        <f t="shared" si="117"/>
        <v>0</v>
      </c>
      <c r="AW147" s="488">
        <f t="shared" si="118"/>
        <v>0</v>
      </c>
      <c r="AX147" s="488">
        <f t="shared" si="119"/>
        <v>0</v>
      </c>
      <c r="AY147" s="3235">
        <f t="shared" si="94"/>
        <v>0</v>
      </c>
      <c r="AZ147" s="3166">
        <f t="shared" si="95"/>
        <v>0</v>
      </c>
      <c r="BA147" s="3166">
        <f t="shared" si="96"/>
        <v>0</v>
      </c>
      <c r="BB147" s="3166">
        <f t="shared" si="97"/>
        <v>0</v>
      </c>
      <c r="BC147" s="3166">
        <f t="shared" si="98"/>
        <v>0</v>
      </c>
      <c r="BD147" s="3166">
        <f t="shared" si="99"/>
        <v>0</v>
      </c>
      <c r="BE147" s="3166">
        <f t="shared" si="100"/>
        <v>0</v>
      </c>
      <c r="BF147" s="3166">
        <f t="shared" si="101"/>
        <v>0</v>
      </c>
      <c r="BG147" s="3166">
        <f t="shared" si="102"/>
        <v>0</v>
      </c>
      <c r="BH147" s="3166">
        <f t="shared" si="103"/>
        <v>0</v>
      </c>
      <c r="BI147" s="3166">
        <f t="shared" si="104"/>
        <v>0</v>
      </c>
      <c r="BJ147" s="3166">
        <f t="shared" si="105"/>
        <v>0</v>
      </c>
      <c r="BK147" s="3166">
        <f t="shared" si="106"/>
        <v>0</v>
      </c>
      <c r="BL147" s="3166">
        <f t="shared" si="107"/>
        <v>0</v>
      </c>
      <c r="BM147" s="3166">
        <f t="shared" si="108"/>
        <v>0</v>
      </c>
      <c r="BN147" s="3166">
        <f t="shared" si="109"/>
        <v>0</v>
      </c>
      <c r="BO147" s="3166">
        <f t="shared" si="110"/>
        <v>0</v>
      </c>
      <c r="BP147" s="3166">
        <f t="shared" si="111"/>
        <v>0</v>
      </c>
      <c r="BQ147" s="3166">
        <f t="shared" si="112"/>
        <v>0</v>
      </c>
      <c r="BR147" s="3166">
        <f t="shared" si="113"/>
        <v>0</v>
      </c>
      <c r="BS147" s="3166">
        <f t="shared" si="114"/>
        <v>0</v>
      </c>
      <c r="BT147" s="3240">
        <f t="shared" si="115"/>
        <v>0</v>
      </c>
    </row>
    <row r="148" spans="1:72">
      <c r="A148" s="3163"/>
      <c r="B148" s="3164"/>
      <c r="C148" s="3164"/>
      <c r="D148" s="3176"/>
      <c r="E148" s="3166">
        <f t="shared" si="116"/>
        <v>0</v>
      </c>
      <c r="F148" s="3167"/>
      <c r="G148" s="3168">
        <f t="shared" si="91"/>
        <v>0</v>
      </c>
      <c r="H148" s="3169">
        <f t="shared" si="92"/>
        <v>0</v>
      </c>
      <c r="I148" s="3187"/>
      <c r="J148" s="3187"/>
      <c r="K148" s="3187"/>
      <c r="L148" s="3187"/>
      <c r="M148" s="3187"/>
      <c r="N148" s="3187"/>
      <c r="O148" s="3187"/>
      <c r="P148" s="3187"/>
      <c r="Q148" s="3187"/>
      <c r="R148" s="3187"/>
      <c r="S148" s="3187"/>
      <c r="T148" s="3187"/>
      <c r="U148" s="3187"/>
      <c r="V148" s="3187"/>
      <c r="W148" s="3187"/>
      <c r="X148" s="3187"/>
      <c r="Y148" s="3187"/>
      <c r="Z148" s="3187"/>
      <c r="AA148" s="3187"/>
      <c r="AB148" s="3187"/>
      <c r="AC148" s="3166">
        <f t="shared" si="93"/>
        <v>0</v>
      </c>
      <c r="AD148" s="3198"/>
      <c r="AE148" s="3198"/>
      <c r="AF148" s="3198"/>
      <c r="AG148" s="3198"/>
      <c r="AH148" s="3198"/>
      <c r="AI148" s="3198"/>
      <c r="AJ148" s="3198"/>
      <c r="AK148" s="3198"/>
      <c r="AL148" s="3198"/>
      <c r="AM148" s="3198"/>
      <c r="AN148" s="3198"/>
      <c r="AO148" s="3198"/>
      <c r="AP148" s="3198"/>
      <c r="AQ148" s="3198"/>
      <c r="AR148" s="3198"/>
      <c r="AS148" s="3198"/>
      <c r="AT148" s="3218"/>
      <c r="AU148" s="3219"/>
      <c r="AV148" s="488">
        <f t="shared" si="117"/>
        <v>0</v>
      </c>
      <c r="AW148" s="488">
        <f t="shared" si="118"/>
        <v>0</v>
      </c>
      <c r="AX148" s="488">
        <f t="shared" si="119"/>
        <v>0</v>
      </c>
      <c r="AY148" s="3235">
        <f t="shared" si="94"/>
        <v>0</v>
      </c>
      <c r="AZ148" s="3166">
        <f t="shared" si="95"/>
        <v>0</v>
      </c>
      <c r="BA148" s="3166">
        <f t="shared" si="96"/>
        <v>0</v>
      </c>
      <c r="BB148" s="3166">
        <f t="shared" si="97"/>
        <v>0</v>
      </c>
      <c r="BC148" s="3166">
        <f t="shared" si="98"/>
        <v>0</v>
      </c>
      <c r="BD148" s="3166">
        <f t="shared" si="99"/>
        <v>0</v>
      </c>
      <c r="BE148" s="3166">
        <f t="shared" si="100"/>
        <v>0</v>
      </c>
      <c r="BF148" s="3166">
        <f t="shared" si="101"/>
        <v>0</v>
      </c>
      <c r="BG148" s="3166">
        <f t="shared" si="102"/>
        <v>0</v>
      </c>
      <c r="BH148" s="3166">
        <f t="shared" si="103"/>
        <v>0</v>
      </c>
      <c r="BI148" s="3166">
        <f t="shared" si="104"/>
        <v>0</v>
      </c>
      <c r="BJ148" s="3166">
        <f t="shared" si="105"/>
        <v>0</v>
      </c>
      <c r="BK148" s="3166">
        <f t="shared" si="106"/>
        <v>0</v>
      </c>
      <c r="BL148" s="3166">
        <f t="shared" si="107"/>
        <v>0</v>
      </c>
      <c r="BM148" s="3166">
        <f t="shared" si="108"/>
        <v>0</v>
      </c>
      <c r="BN148" s="3166">
        <f t="shared" si="109"/>
        <v>0</v>
      </c>
      <c r="BO148" s="3166">
        <f t="shared" si="110"/>
        <v>0</v>
      </c>
      <c r="BP148" s="3166">
        <f t="shared" si="111"/>
        <v>0</v>
      </c>
      <c r="BQ148" s="3166">
        <f t="shared" si="112"/>
        <v>0</v>
      </c>
      <c r="BR148" s="3166">
        <f t="shared" si="113"/>
        <v>0</v>
      </c>
      <c r="BS148" s="3166">
        <f t="shared" si="114"/>
        <v>0</v>
      </c>
      <c r="BT148" s="3240">
        <f t="shared" si="115"/>
        <v>0</v>
      </c>
    </row>
    <row r="149" spans="1:72">
      <c r="A149" s="3163"/>
      <c r="B149" s="3164"/>
      <c r="C149" s="3164"/>
      <c r="D149" s="3176"/>
      <c r="E149" s="3166">
        <f t="shared" si="116"/>
        <v>0</v>
      </c>
      <c r="F149" s="3167"/>
      <c r="G149" s="3168">
        <f t="shared" si="91"/>
        <v>0</v>
      </c>
      <c r="H149" s="3169">
        <f t="shared" si="92"/>
        <v>0</v>
      </c>
      <c r="I149" s="3187"/>
      <c r="J149" s="3187"/>
      <c r="K149" s="3187"/>
      <c r="L149" s="3187"/>
      <c r="M149" s="3187"/>
      <c r="N149" s="3187"/>
      <c r="O149" s="3187"/>
      <c r="P149" s="3187"/>
      <c r="Q149" s="3187"/>
      <c r="R149" s="3187"/>
      <c r="S149" s="3187"/>
      <c r="T149" s="3187"/>
      <c r="U149" s="3187"/>
      <c r="V149" s="3187"/>
      <c r="W149" s="3187"/>
      <c r="X149" s="3187"/>
      <c r="Y149" s="3187"/>
      <c r="Z149" s="3187"/>
      <c r="AA149" s="3187"/>
      <c r="AB149" s="3187"/>
      <c r="AC149" s="3166">
        <f t="shared" si="93"/>
        <v>0</v>
      </c>
      <c r="AD149" s="3198"/>
      <c r="AE149" s="3198"/>
      <c r="AF149" s="3198"/>
      <c r="AG149" s="3198"/>
      <c r="AH149" s="3198"/>
      <c r="AI149" s="3198"/>
      <c r="AJ149" s="3198"/>
      <c r="AK149" s="3198"/>
      <c r="AL149" s="3198"/>
      <c r="AM149" s="3198"/>
      <c r="AN149" s="3198"/>
      <c r="AO149" s="3198"/>
      <c r="AP149" s="3198"/>
      <c r="AQ149" s="3198"/>
      <c r="AR149" s="3198"/>
      <c r="AS149" s="3198"/>
      <c r="AT149" s="3218"/>
      <c r="AU149" s="3219"/>
      <c r="AV149" s="488">
        <f t="shared" si="117"/>
        <v>0</v>
      </c>
      <c r="AW149" s="488">
        <f t="shared" si="118"/>
        <v>0</v>
      </c>
      <c r="AX149" s="488">
        <f t="shared" si="119"/>
        <v>0</v>
      </c>
      <c r="AY149" s="3235">
        <f t="shared" si="94"/>
        <v>0</v>
      </c>
      <c r="AZ149" s="3166">
        <f t="shared" si="95"/>
        <v>0</v>
      </c>
      <c r="BA149" s="3166">
        <f t="shared" si="96"/>
        <v>0</v>
      </c>
      <c r="BB149" s="3166">
        <f t="shared" si="97"/>
        <v>0</v>
      </c>
      <c r="BC149" s="3166">
        <f t="shared" si="98"/>
        <v>0</v>
      </c>
      <c r="BD149" s="3166">
        <f t="shared" si="99"/>
        <v>0</v>
      </c>
      <c r="BE149" s="3166">
        <f t="shared" si="100"/>
        <v>0</v>
      </c>
      <c r="BF149" s="3166">
        <f t="shared" si="101"/>
        <v>0</v>
      </c>
      <c r="BG149" s="3166">
        <f t="shared" si="102"/>
        <v>0</v>
      </c>
      <c r="BH149" s="3166">
        <f t="shared" si="103"/>
        <v>0</v>
      </c>
      <c r="BI149" s="3166">
        <f t="shared" si="104"/>
        <v>0</v>
      </c>
      <c r="BJ149" s="3166">
        <f t="shared" si="105"/>
        <v>0</v>
      </c>
      <c r="BK149" s="3166">
        <f t="shared" si="106"/>
        <v>0</v>
      </c>
      <c r="BL149" s="3166">
        <f t="shared" si="107"/>
        <v>0</v>
      </c>
      <c r="BM149" s="3166">
        <f t="shared" si="108"/>
        <v>0</v>
      </c>
      <c r="BN149" s="3166">
        <f t="shared" si="109"/>
        <v>0</v>
      </c>
      <c r="BO149" s="3166">
        <f t="shared" si="110"/>
        <v>0</v>
      </c>
      <c r="BP149" s="3166">
        <f t="shared" si="111"/>
        <v>0</v>
      </c>
      <c r="BQ149" s="3166">
        <f t="shared" si="112"/>
        <v>0</v>
      </c>
      <c r="BR149" s="3166">
        <f t="shared" si="113"/>
        <v>0</v>
      </c>
      <c r="BS149" s="3166">
        <f t="shared" si="114"/>
        <v>0</v>
      </c>
      <c r="BT149" s="3240">
        <f t="shared" si="115"/>
        <v>0</v>
      </c>
    </row>
    <row r="150" spans="1:72">
      <c r="A150" s="3163"/>
      <c r="B150" s="3164"/>
      <c r="C150" s="3164"/>
      <c r="D150" s="3176"/>
      <c r="E150" s="3166">
        <f t="shared" si="116"/>
        <v>0</v>
      </c>
      <c r="F150" s="3167"/>
      <c r="G150" s="3168">
        <f t="shared" si="91"/>
        <v>0</v>
      </c>
      <c r="H150" s="3169">
        <f t="shared" si="92"/>
        <v>0</v>
      </c>
      <c r="I150" s="3187"/>
      <c r="J150" s="3187"/>
      <c r="K150" s="3187"/>
      <c r="L150" s="3187"/>
      <c r="M150" s="3187"/>
      <c r="N150" s="3187"/>
      <c r="O150" s="3187"/>
      <c r="P150" s="3187"/>
      <c r="Q150" s="3187"/>
      <c r="R150" s="3187"/>
      <c r="S150" s="3187"/>
      <c r="T150" s="3187"/>
      <c r="U150" s="3187"/>
      <c r="V150" s="3187"/>
      <c r="W150" s="3187"/>
      <c r="X150" s="3187"/>
      <c r="Y150" s="3187"/>
      <c r="Z150" s="3187"/>
      <c r="AA150" s="3187"/>
      <c r="AB150" s="3187"/>
      <c r="AC150" s="3166">
        <f t="shared" si="93"/>
        <v>0</v>
      </c>
      <c r="AD150" s="3198"/>
      <c r="AE150" s="3198"/>
      <c r="AF150" s="3198"/>
      <c r="AG150" s="3198"/>
      <c r="AH150" s="3198"/>
      <c r="AI150" s="3198"/>
      <c r="AJ150" s="3198"/>
      <c r="AK150" s="3198"/>
      <c r="AL150" s="3198"/>
      <c r="AM150" s="3198"/>
      <c r="AN150" s="3198"/>
      <c r="AO150" s="3198"/>
      <c r="AP150" s="3198"/>
      <c r="AQ150" s="3198"/>
      <c r="AR150" s="3198"/>
      <c r="AS150" s="3198"/>
      <c r="AT150" s="3218"/>
      <c r="AU150" s="3219"/>
      <c r="AV150" s="488">
        <f t="shared" si="117"/>
        <v>0</v>
      </c>
      <c r="AW150" s="488">
        <f t="shared" si="118"/>
        <v>0</v>
      </c>
      <c r="AX150" s="488">
        <f t="shared" si="119"/>
        <v>0</v>
      </c>
      <c r="AY150" s="3235">
        <f t="shared" si="94"/>
        <v>0</v>
      </c>
      <c r="AZ150" s="3166">
        <f t="shared" si="95"/>
        <v>0</v>
      </c>
      <c r="BA150" s="3166">
        <f t="shared" si="96"/>
        <v>0</v>
      </c>
      <c r="BB150" s="3166">
        <f t="shared" si="97"/>
        <v>0</v>
      </c>
      <c r="BC150" s="3166">
        <f t="shared" si="98"/>
        <v>0</v>
      </c>
      <c r="BD150" s="3166">
        <f t="shared" si="99"/>
        <v>0</v>
      </c>
      <c r="BE150" s="3166">
        <f t="shared" si="100"/>
        <v>0</v>
      </c>
      <c r="BF150" s="3166">
        <f t="shared" si="101"/>
        <v>0</v>
      </c>
      <c r="BG150" s="3166">
        <f t="shared" si="102"/>
        <v>0</v>
      </c>
      <c r="BH150" s="3166">
        <f t="shared" si="103"/>
        <v>0</v>
      </c>
      <c r="BI150" s="3166">
        <f t="shared" si="104"/>
        <v>0</v>
      </c>
      <c r="BJ150" s="3166">
        <f t="shared" si="105"/>
        <v>0</v>
      </c>
      <c r="BK150" s="3166">
        <f t="shared" si="106"/>
        <v>0</v>
      </c>
      <c r="BL150" s="3166">
        <f t="shared" si="107"/>
        <v>0</v>
      </c>
      <c r="BM150" s="3166">
        <f t="shared" si="108"/>
        <v>0</v>
      </c>
      <c r="BN150" s="3166">
        <f t="shared" si="109"/>
        <v>0</v>
      </c>
      <c r="BO150" s="3166">
        <f t="shared" si="110"/>
        <v>0</v>
      </c>
      <c r="BP150" s="3166">
        <f t="shared" si="111"/>
        <v>0</v>
      </c>
      <c r="BQ150" s="3166">
        <f t="shared" si="112"/>
        <v>0</v>
      </c>
      <c r="BR150" s="3166">
        <f t="shared" si="113"/>
        <v>0</v>
      </c>
      <c r="BS150" s="3166">
        <f t="shared" si="114"/>
        <v>0</v>
      </c>
      <c r="BT150" s="3240">
        <f t="shared" si="115"/>
        <v>0</v>
      </c>
    </row>
    <row r="151" spans="1:72">
      <c r="A151" s="3163"/>
      <c r="B151" s="3164"/>
      <c r="C151" s="3164"/>
      <c r="D151" s="3176"/>
      <c r="E151" s="3166">
        <f t="shared" si="116"/>
        <v>0</v>
      </c>
      <c r="F151" s="3167"/>
      <c r="G151" s="3168">
        <f t="shared" si="91"/>
        <v>0</v>
      </c>
      <c r="H151" s="3169">
        <f t="shared" si="92"/>
        <v>0</v>
      </c>
      <c r="I151" s="3187"/>
      <c r="J151" s="3187"/>
      <c r="K151" s="3187"/>
      <c r="L151" s="3187"/>
      <c r="M151" s="3187"/>
      <c r="N151" s="3187"/>
      <c r="O151" s="3187"/>
      <c r="P151" s="3187"/>
      <c r="Q151" s="3187"/>
      <c r="R151" s="3187"/>
      <c r="S151" s="3187"/>
      <c r="T151" s="3187"/>
      <c r="U151" s="3187"/>
      <c r="V151" s="3187"/>
      <c r="W151" s="3187"/>
      <c r="X151" s="3187"/>
      <c r="Y151" s="3187"/>
      <c r="Z151" s="3187"/>
      <c r="AA151" s="3187"/>
      <c r="AB151" s="3187"/>
      <c r="AC151" s="3166">
        <f t="shared" si="93"/>
        <v>0</v>
      </c>
      <c r="AD151" s="3198"/>
      <c r="AE151" s="3198"/>
      <c r="AF151" s="3198"/>
      <c r="AG151" s="3198"/>
      <c r="AH151" s="3198"/>
      <c r="AI151" s="3198"/>
      <c r="AJ151" s="3198"/>
      <c r="AK151" s="3198"/>
      <c r="AL151" s="3198"/>
      <c r="AM151" s="3198"/>
      <c r="AN151" s="3198"/>
      <c r="AO151" s="3198"/>
      <c r="AP151" s="3198"/>
      <c r="AQ151" s="3198"/>
      <c r="AR151" s="3198"/>
      <c r="AS151" s="3198"/>
      <c r="AT151" s="3218"/>
      <c r="AU151" s="3219"/>
      <c r="AV151" s="488">
        <f t="shared" si="117"/>
        <v>0</v>
      </c>
      <c r="AW151" s="488">
        <f t="shared" si="118"/>
        <v>0</v>
      </c>
      <c r="AX151" s="488">
        <f t="shared" si="119"/>
        <v>0</v>
      </c>
      <c r="AY151" s="3235">
        <f t="shared" si="94"/>
        <v>0</v>
      </c>
      <c r="AZ151" s="3166">
        <f t="shared" si="95"/>
        <v>0</v>
      </c>
      <c r="BA151" s="3166">
        <f t="shared" si="96"/>
        <v>0</v>
      </c>
      <c r="BB151" s="3166">
        <f t="shared" si="97"/>
        <v>0</v>
      </c>
      <c r="BC151" s="3166">
        <f t="shared" si="98"/>
        <v>0</v>
      </c>
      <c r="BD151" s="3166">
        <f t="shared" si="99"/>
        <v>0</v>
      </c>
      <c r="BE151" s="3166">
        <f t="shared" si="100"/>
        <v>0</v>
      </c>
      <c r="BF151" s="3166">
        <f t="shared" si="101"/>
        <v>0</v>
      </c>
      <c r="BG151" s="3166">
        <f t="shared" si="102"/>
        <v>0</v>
      </c>
      <c r="BH151" s="3166">
        <f t="shared" si="103"/>
        <v>0</v>
      </c>
      <c r="BI151" s="3166">
        <f t="shared" si="104"/>
        <v>0</v>
      </c>
      <c r="BJ151" s="3166">
        <f t="shared" si="105"/>
        <v>0</v>
      </c>
      <c r="BK151" s="3166">
        <f t="shared" si="106"/>
        <v>0</v>
      </c>
      <c r="BL151" s="3166">
        <f t="shared" si="107"/>
        <v>0</v>
      </c>
      <c r="BM151" s="3166">
        <f t="shared" si="108"/>
        <v>0</v>
      </c>
      <c r="BN151" s="3166">
        <f t="shared" si="109"/>
        <v>0</v>
      </c>
      <c r="BO151" s="3166">
        <f t="shared" si="110"/>
        <v>0</v>
      </c>
      <c r="BP151" s="3166">
        <f t="shared" si="111"/>
        <v>0</v>
      </c>
      <c r="BQ151" s="3166">
        <f t="shared" si="112"/>
        <v>0</v>
      </c>
      <c r="BR151" s="3166">
        <f t="shared" si="113"/>
        <v>0</v>
      </c>
      <c r="BS151" s="3166">
        <f t="shared" si="114"/>
        <v>0</v>
      </c>
      <c r="BT151" s="3240">
        <f t="shared" si="115"/>
        <v>0</v>
      </c>
    </row>
    <row r="152" spans="1:72">
      <c r="A152" s="3163"/>
      <c r="B152" s="3164"/>
      <c r="C152" s="3164"/>
      <c r="D152" s="3176"/>
      <c r="E152" s="3166">
        <f t="shared" si="116"/>
        <v>0</v>
      </c>
      <c r="F152" s="3167"/>
      <c r="G152" s="3168">
        <f t="shared" si="91"/>
        <v>0</v>
      </c>
      <c r="H152" s="3169">
        <f t="shared" si="92"/>
        <v>0</v>
      </c>
      <c r="I152" s="3187"/>
      <c r="J152" s="3187"/>
      <c r="K152" s="3187"/>
      <c r="L152" s="3187"/>
      <c r="M152" s="3187"/>
      <c r="N152" s="3187"/>
      <c r="O152" s="3187"/>
      <c r="P152" s="3187"/>
      <c r="Q152" s="3187"/>
      <c r="R152" s="3187"/>
      <c r="S152" s="3187"/>
      <c r="T152" s="3187"/>
      <c r="U152" s="3187"/>
      <c r="V152" s="3187"/>
      <c r="W152" s="3187"/>
      <c r="X152" s="3187"/>
      <c r="Y152" s="3187"/>
      <c r="Z152" s="3187"/>
      <c r="AA152" s="3187"/>
      <c r="AB152" s="3187"/>
      <c r="AC152" s="3166">
        <f t="shared" si="93"/>
        <v>0</v>
      </c>
      <c r="AD152" s="3198"/>
      <c r="AE152" s="3198"/>
      <c r="AF152" s="3198"/>
      <c r="AG152" s="3198"/>
      <c r="AH152" s="3198"/>
      <c r="AI152" s="3198"/>
      <c r="AJ152" s="3198"/>
      <c r="AK152" s="3198"/>
      <c r="AL152" s="3198"/>
      <c r="AM152" s="3198"/>
      <c r="AN152" s="3198"/>
      <c r="AO152" s="3198"/>
      <c r="AP152" s="3198"/>
      <c r="AQ152" s="3198"/>
      <c r="AR152" s="3198"/>
      <c r="AS152" s="3198"/>
      <c r="AT152" s="3218"/>
      <c r="AU152" s="3219"/>
      <c r="AV152" s="488">
        <f t="shared" si="117"/>
        <v>0</v>
      </c>
      <c r="AW152" s="488">
        <f t="shared" si="118"/>
        <v>0</v>
      </c>
      <c r="AX152" s="488">
        <f t="shared" si="119"/>
        <v>0</v>
      </c>
      <c r="AY152" s="3235">
        <f t="shared" si="94"/>
        <v>0</v>
      </c>
      <c r="AZ152" s="3166">
        <f t="shared" si="95"/>
        <v>0</v>
      </c>
      <c r="BA152" s="3166">
        <f t="shared" si="96"/>
        <v>0</v>
      </c>
      <c r="BB152" s="3166">
        <f t="shared" si="97"/>
        <v>0</v>
      </c>
      <c r="BC152" s="3166">
        <f t="shared" si="98"/>
        <v>0</v>
      </c>
      <c r="BD152" s="3166">
        <f t="shared" si="99"/>
        <v>0</v>
      </c>
      <c r="BE152" s="3166">
        <f t="shared" si="100"/>
        <v>0</v>
      </c>
      <c r="BF152" s="3166">
        <f t="shared" si="101"/>
        <v>0</v>
      </c>
      <c r="BG152" s="3166">
        <f t="shared" si="102"/>
        <v>0</v>
      </c>
      <c r="BH152" s="3166">
        <f t="shared" si="103"/>
        <v>0</v>
      </c>
      <c r="BI152" s="3166">
        <f t="shared" si="104"/>
        <v>0</v>
      </c>
      <c r="BJ152" s="3166">
        <f t="shared" si="105"/>
        <v>0</v>
      </c>
      <c r="BK152" s="3166">
        <f t="shared" si="106"/>
        <v>0</v>
      </c>
      <c r="BL152" s="3166">
        <f t="shared" si="107"/>
        <v>0</v>
      </c>
      <c r="BM152" s="3166">
        <f t="shared" si="108"/>
        <v>0</v>
      </c>
      <c r="BN152" s="3166">
        <f t="shared" si="109"/>
        <v>0</v>
      </c>
      <c r="BO152" s="3166">
        <f t="shared" si="110"/>
        <v>0</v>
      </c>
      <c r="BP152" s="3166">
        <f t="shared" si="111"/>
        <v>0</v>
      </c>
      <c r="BQ152" s="3166">
        <f t="shared" si="112"/>
        <v>0</v>
      </c>
      <c r="BR152" s="3166">
        <f t="shared" si="113"/>
        <v>0</v>
      </c>
      <c r="BS152" s="3166">
        <f t="shared" si="114"/>
        <v>0</v>
      </c>
      <c r="BT152" s="3240">
        <f t="shared" si="115"/>
        <v>0</v>
      </c>
    </row>
    <row r="153" spans="1:72">
      <c r="A153" s="3163"/>
      <c r="B153" s="3164"/>
      <c r="C153" s="3164"/>
      <c r="D153" s="3176"/>
      <c r="E153" s="3166">
        <f t="shared" si="116"/>
        <v>0</v>
      </c>
      <c r="F153" s="3167"/>
      <c r="G153" s="3168">
        <f t="shared" si="91"/>
        <v>0</v>
      </c>
      <c r="H153" s="3169">
        <f t="shared" si="92"/>
        <v>0</v>
      </c>
      <c r="I153" s="3187"/>
      <c r="J153" s="3187"/>
      <c r="K153" s="3187"/>
      <c r="L153" s="3187"/>
      <c r="M153" s="3187"/>
      <c r="N153" s="3187"/>
      <c r="O153" s="3187"/>
      <c r="P153" s="3187"/>
      <c r="Q153" s="3187"/>
      <c r="R153" s="3187"/>
      <c r="S153" s="3187"/>
      <c r="T153" s="3187"/>
      <c r="U153" s="3187"/>
      <c r="V153" s="3187"/>
      <c r="W153" s="3187"/>
      <c r="X153" s="3187"/>
      <c r="Y153" s="3187"/>
      <c r="Z153" s="3187"/>
      <c r="AA153" s="3187"/>
      <c r="AB153" s="3187"/>
      <c r="AC153" s="3166">
        <f t="shared" si="93"/>
        <v>0</v>
      </c>
      <c r="AD153" s="3198"/>
      <c r="AE153" s="3198"/>
      <c r="AF153" s="3198"/>
      <c r="AG153" s="3198"/>
      <c r="AH153" s="3198"/>
      <c r="AI153" s="3198"/>
      <c r="AJ153" s="3198"/>
      <c r="AK153" s="3198"/>
      <c r="AL153" s="3198"/>
      <c r="AM153" s="3198"/>
      <c r="AN153" s="3198"/>
      <c r="AO153" s="3198"/>
      <c r="AP153" s="3198"/>
      <c r="AQ153" s="3198"/>
      <c r="AR153" s="3198"/>
      <c r="AS153" s="3198"/>
      <c r="AT153" s="3218"/>
      <c r="AU153" s="3219"/>
      <c r="AV153" s="488">
        <f t="shared" si="117"/>
        <v>0</v>
      </c>
      <c r="AW153" s="488">
        <f t="shared" si="118"/>
        <v>0</v>
      </c>
      <c r="AX153" s="488">
        <f t="shared" si="119"/>
        <v>0</v>
      </c>
      <c r="AY153" s="3235">
        <f t="shared" si="94"/>
        <v>0</v>
      </c>
      <c r="AZ153" s="3166">
        <f t="shared" si="95"/>
        <v>0</v>
      </c>
      <c r="BA153" s="3166">
        <f t="shared" si="96"/>
        <v>0</v>
      </c>
      <c r="BB153" s="3166">
        <f t="shared" si="97"/>
        <v>0</v>
      </c>
      <c r="BC153" s="3166">
        <f t="shared" si="98"/>
        <v>0</v>
      </c>
      <c r="BD153" s="3166">
        <f t="shared" si="99"/>
        <v>0</v>
      </c>
      <c r="BE153" s="3166">
        <f t="shared" si="100"/>
        <v>0</v>
      </c>
      <c r="BF153" s="3166">
        <f t="shared" si="101"/>
        <v>0</v>
      </c>
      <c r="BG153" s="3166">
        <f t="shared" si="102"/>
        <v>0</v>
      </c>
      <c r="BH153" s="3166">
        <f t="shared" si="103"/>
        <v>0</v>
      </c>
      <c r="BI153" s="3166">
        <f t="shared" si="104"/>
        <v>0</v>
      </c>
      <c r="BJ153" s="3166">
        <f t="shared" si="105"/>
        <v>0</v>
      </c>
      <c r="BK153" s="3166">
        <f t="shared" si="106"/>
        <v>0</v>
      </c>
      <c r="BL153" s="3166">
        <f t="shared" si="107"/>
        <v>0</v>
      </c>
      <c r="BM153" s="3166">
        <f t="shared" si="108"/>
        <v>0</v>
      </c>
      <c r="BN153" s="3166">
        <f t="shared" si="109"/>
        <v>0</v>
      </c>
      <c r="BO153" s="3166">
        <f t="shared" si="110"/>
        <v>0</v>
      </c>
      <c r="BP153" s="3166">
        <f t="shared" si="111"/>
        <v>0</v>
      </c>
      <c r="BQ153" s="3166">
        <f t="shared" si="112"/>
        <v>0</v>
      </c>
      <c r="BR153" s="3166">
        <f t="shared" si="113"/>
        <v>0</v>
      </c>
      <c r="BS153" s="3166">
        <f t="shared" si="114"/>
        <v>0</v>
      </c>
      <c r="BT153" s="3240">
        <f t="shared" si="115"/>
        <v>0</v>
      </c>
    </row>
    <row r="154" spans="1:72">
      <c r="A154" s="3163"/>
      <c r="B154" s="3164"/>
      <c r="C154" s="3164"/>
      <c r="D154" s="3176"/>
      <c r="E154" s="3166">
        <f t="shared" si="116"/>
        <v>0</v>
      </c>
      <c r="F154" s="3167"/>
      <c r="G154" s="3168">
        <f t="shared" si="91"/>
        <v>0</v>
      </c>
      <c r="H154" s="3169">
        <f t="shared" si="92"/>
        <v>0</v>
      </c>
      <c r="I154" s="3187"/>
      <c r="J154" s="3187"/>
      <c r="K154" s="3187"/>
      <c r="L154" s="3187"/>
      <c r="M154" s="3187"/>
      <c r="N154" s="3187"/>
      <c r="O154" s="3187"/>
      <c r="P154" s="3187"/>
      <c r="Q154" s="3187"/>
      <c r="R154" s="3187"/>
      <c r="S154" s="3187"/>
      <c r="T154" s="3187"/>
      <c r="U154" s="3187"/>
      <c r="V154" s="3187"/>
      <c r="W154" s="3187"/>
      <c r="X154" s="3187"/>
      <c r="Y154" s="3187"/>
      <c r="Z154" s="3187"/>
      <c r="AA154" s="3187"/>
      <c r="AB154" s="3187"/>
      <c r="AC154" s="3166">
        <f t="shared" si="93"/>
        <v>0</v>
      </c>
      <c r="AD154" s="3198"/>
      <c r="AE154" s="3198"/>
      <c r="AF154" s="3198"/>
      <c r="AG154" s="3198"/>
      <c r="AH154" s="3198"/>
      <c r="AI154" s="3198"/>
      <c r="AJ154" s="3198"/>
      <c r="AK154" s="3198"/>
      <c r="AL154" s="3198"/>
      <c r="AM154" s="3198"/>
      <c r="AN154" s="3198"/>
      <c r="AO154" s="3198"/>
      <c r="AP154" s="3198"/>
      <c r="AQ154" s="3198"/>
      <c r="AR154" s="3198"/>
      <c r="AS154" s="3198"/>
      <c r="AT154" s="3218"/>
      <c r="AU154" s="3219"/>
      <c r="AV154" s="488">
        <f t="shared" si="117"/>
        <v>0</v>
      </c>
      <c r="AW154" s="488">
        <f t="shared" si="118"/>
        <v>0</v>
      </c>
      <c r="AX154" s="488">
        <f t="shared" si="119"/>
        <v>0</v>
      </c>
      <c r="AY154" s="3235">
        <f t="shared" si="94"/>
        <v>0</v>
      </c>
      <c r="AZ154" s="3166">
        <f t="shared" si="95"/>
        <v>0</v>
      </c>
      <c r="BA154" s="3166">
        <f t="shared" si="96"/>
        <v>0</v>
      </c>
      <c r="BB154" s="3166">
        <f t="shared" si="97"/>
        <v>0</v>
      </c>
      <c r="BC154" s="3166">
        <f t="shared" si="98"/>
        <v>0</v>
      </c>
      <c r="BD154" s="3166">
        <f t="shared" si="99"/>
        <v>0</v>
      </c>
      <c r="BE154" s="3166">
        <f t="shared" si="100"/>
        <v>0</v>
      </c>
      <c r="BF154" s="3166">
        <f t="shared" si="101"/>
        <v>0</v>
      </c>
      <c r="BG154" s="3166">
        <f t="shared" si="102"/>
        <v>0</v>
      </c>
      <c r="BH154" s="3166">
        <f t="shared" si="103"/>
        <v>0</v>
      </c>
      <c r="BI154" s="3166">
        <f t="shared" si="104"/>
        <v>0</v>
      </c>
      <c r="BJ154" s="3166">
        <f t="shared" si="105"/>
        <v>0</v>
      </c>
      <c r="BK154" s="3166">
        <f t="shared" si="106"/>
        <v>0</v>
      </c>
      <c r="BL154" s="3166">
        <f t="shared" si="107"/>
        <v>0</v>
      </c>
      <c r="BM154" s="3166">
        <f t="shared" si="108"/>
        <v>0</v>
      </c>
      <c r="BN154" s="3166">
        <f t="shared" si="109"/>
        <v>0</v>
      </c>
      <c r="BO154" s="3166">
        <f t="shared" si="110"/>
        <v>0</v>
      </c>
      <c r="BP154" s="3166">
        <f t="shared" si="111"/>
        <v>0</v>
      </c>
      <c r="BQ154" s="3166">
        <f t="shared" si="112"/>
        <v>0</v>
      </c>
      <c r="BR154" s="3166">
        <f t="shared" si="113"/>
        <v>0</v>
      </c>
      <c r="BS154" s="3166">
        <f t="shared" si="114"/>
        <v>0</v>
      </c>
      <c r="BT154" s="3240">
        <f t="shared" si="115"/>
        <v>0</v>
      </c>
    </row>
    <row r="155" spans="1:72">
      <c r="A155" s="3163"/>
      <c r="B155" s="3164"/>
      <c r="C155" s="3164"/>
      <c r="D155" s="3176"/>
      <c r="E155" s="3166">
        <f t="shared" si="116"/>
        <v>0</v>
      </c>
      <c r="F155" s="3167"/>
      <c r="G155" s="3168">
        <f t="shared" si="91"/>
        <v>0</v>
      </c>
      <c r="H155" s="3169">
        <f t="shared" si="92"/>
        <v>0</v>
      </c>
      <c r="I155" s="3187"/>
      <c r="J155" s="3187"/>
      <c r="K155" s="3187"/>
      <c r="L155" s="3187"/>
      <c r="M155" s="3187"/>
      <c r="N155" s="3187"/>
      <c r="O155" s="3187"/>
      <c r="P155" s="3187"/>
      <c r="Q155" s="3187"/>
      <c r="R155" s="3187"/>
      <c r="S155" s="3187"/>
      <c r="T155" s="3187"/>
      <c r="U155" s="3187"/>
      <c r="V155" s="3187"/>
      <c r="W155" s="3187"/>
      <c r="X155" s="3187"/>
      <c r="Y155" s="3187"/>
      <c r="Z155" s="3187"/>
      <c r="AA155" s="3187"/>
      <c r="AB155" s="3187"/>
      <c r="AC155" s="3166">
        <f t="shared" si="93"/>
        <v>0</v>
      </c>
      <c r="AD155" s="3198"/>
      <c r="AE155" s="3198"/>
      <c r="AF155" s="3198"/>
      <c r="AG155" s="3198"/>
      <c r="AH155" s="3198"/>
      <c r="AI155" s="3198"/>
      <c r="AJ155" s="3198"/>
      <c r="AK155" s="3198"/>
      <c r="AL155" s="3198"/>
      <c r="AM155" s="3198"/>
      <c r="AN155" s="3198"/>
      <c r="AO155" s="3198"/>
      <c r="AP155" s="3198"/>
      <c r="AQ155" s="3198"/>
      <c r="AR155" s="3198"/>
      <c r="AS155" s="3198"/>
      <c r="AT155" s="3218"/>
      <c r="AU155" s="3219"/>
      <c r="AV155" s="488">
        <f t="shared" si="117"/>
        <v>0</v>
      </c>
      <c r="AW155" s="488">
        <f t="shared" si="118"/>
        <v>0</v>
      </c>
      <c r="AX155" s="488">
        <f t="shared" si="119"/>
        <v>0</v>
      </c>
      <c r="AY155" s="3235">
        <f t="shared" si="94"/>
        <v>0</v>
      </c>
      <c r="AZ155" s="3166">
        <f t="shared" si="95"/>
        <v>0</v>
      </c>
      <c r="BA155" s="3166">
        <f t="shared" si="96"/>
        <v>0</v>
      </c>
      <c r="BB155" s="3166">
        <f t="shared" si="97"/>
        <v>0</v>
      </c>
      <c r="BC155" s="3166">
        <f t="shared" si="98"/>
        <v>0</v>
      </c>
      <c r="BD155" s="3166">
        <f t="shared" si="99"/>
        <v>0</v>
      </c>
      <c r="BE155" s="3166">
        <f t="shared" si="100"/>
        <v>0</v>
      </c>
      <c r="BF155" s="3166">
        <f t="shared" si="101"/>
        <v>0</v>
      </c>
      <c r="BG155" s="3166">
        <f t="shared" si="102"/>
        <v>0</v>
      </c>
      <c r="BH155" s="3166">
        <f t="shared" si="103"/>
        <v>0</v>
      </c>
      <c r="BI155" s="3166">
        <f t="shared" si="104"/>
        <v>0</v>
      </c>
      <c r="BJ155" s="3166">
        <f t="shared" si="105"/>
        <v>0</v>
      </c>
      <c r="BK155" s="3166">
        <f t="shared" si="106"/>
        <v>0</v>
      </c>
      <c r="BL155" s="3166">
        <f t="shared" si="107"/>
        <v>0</v>
      </c>
      <c r="BM155" s="3166">
        <f t="shared" si="108"/>
        <v>0</v>
      </c>
      <c r="BN155" s="3166">
        <f t="shared" si="109"/>
        <v>0</v>
      </c>
      <c r="BO155" s="3166">
        <f t="shared" si="110"/>
        <v>0</v>
      </c>
      <c r="BP155" s="3166">
        <f t="shared" si="111"/>
        <v>0</v>
      </c>
      <c r="BQ155" s="3166">
        <f t="shared" si="112"/>
        <v>0</v>
      </c>
      <c r="BR155" s="3166">
        <f t="shared" si="113"/>
        <v>0</v>
      </c>
      <c r="BS155" s="3166">
        <f t="shared" si="114"/>
        <v>0</v>
      </c>
      <c r="BT155" s="3240">
        <f t="shared" si="115"/>
        <v>0</v>
      </c>
    </row>
    <row r="156" spans="1:72">
      <c r="A156" s="3163"/>
      <c r="B156" s="3164"/>
      <c r="C156" s="3164"/>
      <c r="D156" s="3176"/>
      <c r="E156" s="3166">
        <f t="shared" si="116"/>
        <v>0</v>
      </c>
      <c r="F156" s="3167"/>
      <c r="G156" s="3168">
        <f t="shared" si="91"/>
        <v>0</v>
      </c>
      <c r="H156" s="3169">
        <f t="shared" si="92"/>
        <v>0</v>
      </c>
      <c r="I156" s="3187"/>
      <c r="J156" s="3187"/>
      <c r="K156" s="3187"/>
      <c r="L156" s="3187"/>
      <c r="M156" s="3187"/>
      <c r="N156" s="3187"/>
      <c r="O156" s="3187"/>
      <c r="P156" s="3187"/>
      <c r="Q156" s="3187"/>
      <c r="R156" s="3187"/>
      <c r="S156" s="3187"/>
      <c r="T156" s="3187"/>
      <c r="U156" s="3187"/>
      <c r="V156" s="3187"/>
      <c r="W156" s="3187"/>
      <c r="X156" s="3187"/>
      <c r="Y156" s="3187"/>
      <c r="Z156" s="3187"/>
      <c r="AA156" s="3187"/>
      <c r="AB156" s="3187"/>
      <c r="AC156" s="3166">
        <f t="shared" si="93"/>
        <v>0</v>
      </c>
      <c r="AD156" s="3198"/>
      <c r="AE156" s="3198"/>
      <c r="AF156" s="3198"/>
      <c r="AG156" s="3198"/>
      <c r="AH156" s="3198"/>
      <c r="AI156" s="3198"/>
      <c r="AJ156" s="3198"/>
      <c r="AK156" s="3198"/>
      <c r="AL156" s="3198"/>
      <c r="AM156" s="3198"/>
      <c r="AN156" s="3198"/>
      <c r="AO156" s="3198"/>
      <c r="AP156" s="3198"/>
      <c r="AQ156" s="3198"/>
      <c r="AR156" s="3198"/>
      <c r="AS156" s="3198"/>
      <c r="AT156" s="3218"/>
      <c r="AU156" s="3219"/>
      <c r="AV156" s="488">
        <f t="shared" si="117"/>
        <v>0</v>
      </c>
      <c r="AW156" s="488">
        <f t="shared" si="118"/>
        <v>0</v>
      </c>
      <c r="AX156" s="488">
        <f t="shared" si="119"/>
        <v>0</v>
      </c>
      <c r="AY156" s="3235">
        <f t="shared" si="94"/>
        <v>0</v>
      </c>
      <c r="AZ156" s="3166">
        <f t="shared" si="95"/>
        <v>0</v>
      </c>
      <c r="BA156" s="3166">
        <f t="shared" si="96"/>
        <v>0</v>
      </c>
      <c r="BB156" s="3166">
        <f t="shared" si="97"/>
        <v>0</v>
      </c>
      <c r="BC156" s="3166">
        <f t="shared" si="98"/>
        <v>0</v>
      </c>
      <c r="BD156" s="3166">
        <f t="shared" si="99"/>
        <v>0</v>
      </c>
      <c r="BE156" s="3166">
        <f t="shared" si="100"/>
        <v>0</v>
      </c>
      <c r="BF156" s="3166">
        <f t="shared" si="101"/>
        <v>0</v>
      </c>
      <c r="BG156" s="3166">
        <f t="shared" si="102"/>
        <v>0</v>
      </c>
      <c r="BH156" s="3166">
        <f t="shared" si="103"/>
        <v>0</v>
      </c>
      <c r="BI156" s="3166">
        <f t="shared" si="104"/>
        <v>0</v>
      </c>
      <c r="BJ156" s="3166">
        <f t="shared" si="105"/>
        <v>0</v>
      </c>
      <c r="BK156" s="3166">
        <f t="shared" si="106"/>
        <v>0</v>
      </c>
      <c r="BL156" s="3166">
        <f t="shared" si="107"/>
        <v>0</v>
      </c>
      <c r="BM156" s="3166">
        <f t="shared" si="108"/>
        <v>0</v>
      </c>
      <c r="BN156" s="3166">
        <f t="shared" si="109"/>
        <v>0</v>
      </c>
      <c r="BO156" s="3166">
        <f t="shared" si="110"/>
        <v>0</v>
      </c>
      <c r="BP156" s="3166">
        <f t="shared" si="111"/>
        <v>0</v>
      </c>
      <c r="BQ156" s="3166">
        <f t="shared" si="112"/>
        <v>0</v>
      </c>
      <c r="BR156" s="3166">
        <f t="shared" si="113"/>
        <v>0</v>
      </c>
      <c r="BS156" s="3166">
        <f t="shared" si="114"/>
        <v>0</v>
      </c>
      <c r="BT156" s="3240">
        <f t="shared" si="115"/>
        <v>0</v>
      </c>
    </row>
    <row r="157" spans="1:72">
      <c r="A157" s="3163"/>
      <c r="B157" s="3164"/>
      <c r="C157" s="3164"/>
      <c r="D157" s="3176"/>
      <c r="E157" s="3166">
        <f t="shared" si="116"/>
        <v>0</v>
      </c>
      <c r="F157" s="3167"/>
      <c r="G157" s="3168">
        <f t="shared" si="91"/>
        <v>0</v>
      </c>
      <c r="H157" s="3169">
        <f t="shared" si="92"/>
        <v>0</v>
      </c>
      <c r="I157" s="3187"/>
      <c r="J157" s="3187"/>
      <c r="K157" s="3187"/>
      <c r="L157" s="3187"/>
      <c r="M157" s="3187"/>
      <c r="N157" s="3187"/>
      <c r="O157" s="3187"/>
      <c r="P157" s="3187"/>
      <c r="Q157" s="3187"/>
      <c r="R157" s="3187"/>
      <c r="S157" s="3187"/>
      <c r="T157" s="3187"/>
      <c r="U157" s="3187"/>
      <c r="V157" s="3187"/>
      <c r="W157" s="3187"/>
      <c r="X157" s="3187"/>
      <c r="Y157" s="3187"/>
      <c r="Z157" s="3187"/>
      <c r="AA157" s="3187"/>
      <c r="AB157" s="3187"/>
      <c r="AC157" s="3166">
        <f t="shared" si="93"/>
        <v>0</v>
      </c>
      <c r="AD157" s="3198"/>
      <c r="AE157" s="3198"/>
      <c r="AF157" s="3198"/>
      <c r="AG157" s="3198"/>
      <c r="AH157" s="3198"/>
      <c r="AI157" s="3198"/>
      <c r="AJ157" s="3198"/>
      <c r="AK157" s="3198"/>
      <c r="AL157" s="3198"/>
      <c r="AM157" s="3198"/>
      <c r="AN157" s="3198"/>
      <c r="AO157" s="3198"/>
      <c r="AP157" s="3198"/>
      <c r="AQ157" s="3198"/>
      <c r="AR157" s="3198"/>
      <c r="AS157" s="3198"/>
      <c r="AT157" s="3218"/>
      <c r="AU157" s="3219"/>
      <c r="AV157" s="488">
        <f t="shared" si="117"/>
        <v>0</v>
      </c>
      <c r="AW157" s="488">
        <f t="shared" si="118"/>
        <v>0</v>
      </c>
      <c r="AX157" s="488">
        <f t="shared" si="119"/>
        <v>0</v>
      </c>
      <c r="AY157" s="3235">
        <f t="shared" si="94"/>
        <v>0</v>
      </c>
      <c r="AZ157" s="3166">
        <f t="shared" si="95"/>
        <v>0</v>
      </c>
      <c r="BA157" s="3166">
        <f t="shared" si="96"/>
        <v>0</v>
      </c>
      <c r="BB157" s="3166">
        <f t="shared" si="97"/>
        <v>0</v>
      </c>
      <c r="BC157" s="3166">
        <f t="shared" si="98"/>
        <v>0</v>
      </c>
      <c r="BD157" s="3166">
        <f t="shared" si="99"/>
        <v>0</v>
      </c>
      <c r="BE157" s="3166">
        <f t="shared" si="100"/>
        <v>0</v>
      </c>
      <c r="BF157" s="3166">
        <f t="shared" si="101"/>
        <v>0</v>
      </c>
      <c r="BG157" s="3166">
        <f t="shared" si="102"/>
        <v>0</v>
      </c>
      <c r="BH157" s="3166">
        <f t="shared" si="103"/>
        <v>0</v>
      </c>
      <c r="BI157" s="3166">
        <f t="shared" si="104"/>
        <v>0</v>
      </c>
      <c r="BJ157" s="3166">
        <f t="shared" si="105"/>
        <v>0</v>
      </c>
      <c r="BK157" s="3166">
        <f t="shared" si="106"/>
        <v>0</v>
      </c>
      <c r="BL157" s="3166">
        <f t="shared" si="107"/>
        <v>0</v>
      </c>
      <c r="BM157" s="3166">
        <f t="shared" si="108"/>
        <v>0</v>
      </c>
      <c r="BN157" s="3166">
        <f t="shared" si="109"/>
        <v>0</v>
      </c>
      <c r="BO157" s="3166">
        <f t="shared" si="110"/>
        <v>0</v>
      </c>
      <c r="BP157" s="3166">
        <f t="shared" si="111"/>
        <v>0</v>
      </c>
      <c r="BQ157" s="3166">
        <f t="shared" si="112"/>
        <v>0</v>
      </c>
      <c r="BR157" s="3166">
        <f t="shared" si="113"/>
        <v>0</v>
      </c>
      <c r="BS157" s="3166">
        <f t="shared" si="114"/>
        <v>0</v>
      </c>
      <c r="BT157" s="3240">
        <f t="shared" si="115"/>
        <v>0</v>
      </c>
    </row>
    <row r="158" spans="1:72">
      <c r="A158" s="3163"/>
      <c r="B158" s="3164"/>
      <c r="C158" s="3164"/>
      <c r="D158" s="3176"/>
      <c r="E158" s="3166">
        <f t="shared" si="116"/>
        <v>0</v>
      </c>
      <c r="F158" s="3167"/>
      <c r="G158" s="3168">
        <f t="shared" si="91"/>
        <v>0</v>
      </c>
      <c r="H158" s="3169">
        <f t="shared" si="92"/>
        <v>0</v>
      </c>
      <c r="I158" s="3187"/>
      <c r="J158" s="3187"/>
      <c r="K158" s="3187"/>
      <c r="L158" s="3187"/>
      <c r="M158" s="3187"/>
      <c r="N158" s="3187"/>
      <c r="O158" s="3187"/>
      <c r="P158" s="3187"/>
      <c r="Q158" s="3187"/>
      <c r="R158" s="3187"/>
      <c r="S158" s="3187"/>
      <c r="T158" s="3187"/>
      <c r="U158" s="3187"/>
      <c r="V158" s="3187"/>
      <c r="W158" s="3187"/>
      <c r="X158" s="3187"/>
      <c r="Y158" s="3187"/>
      <c r="Z158" s="3187"/>
      <c r="AA158" s="3187"/>
      <c r="AB158" s="3187"/>
      <c r="AC158" s="3166">
        <f t="shared" si="93"/>
        <v>0</v>
      </c>
      <c r="AD158" s="3198"/>
      <c r="AE158" s="3198"/>
      <c r="AF158" s="3198"/>
      <c r="AG158" s="3198"/>
      <c r="AH158" s="3198"/>
      <c r="AI158" s="3198"/>
      <c r="AJ158" s="3198"/>
      <c r="AK158" s="3198"/>
      <c r="AL158" s="3198"/>
      <c r="AM158" s="3198"/>
      <c r="AN158" s="3198"/>
      <c r="AO158" s="3198"/>
      <c r="AP158" s="3198"/>
      <c r="AQ158" s="3198"/>
      <c r="AR158" s="3198"/>
      <c r="AS158" s="3198"/>
      <c r="AT158" s="3218"/>
      <c r="AU158" s="3219"/>
      <c r="AV158" s="488">
        <f t="shared" si="117"/>
        <v>0</v>
      </c>
      <c r="AW158" s="488">
        <f t="shared" si="118"/>
        <v>0</v>
      </c>
      <c r="AX158" s="488">
        <f t="shared" si="119"/>
        <v>0</v>
      </c>
      <c r="AY158" s="3235">
        <f t="shared" si="94"/>
        <v>0</v>
      </c>
      <c r="AZ158" s="3166">
        <f t="shared" si="95"/>
        <v>0</v>
      </c>
      <c r="BA158" s="3166">
        <f t="shared" si="96"/>
        <v>0</v>
      </c>
      <c r="BB158" s="3166">
        <f t="shared" si="97"/>
        <v>0</v>
      </c>
      <c r="BC158" s="3166">
        <f t="shared" si="98"/>
        <v>0</v>
      </c>
      <c r="BD158" s="3166">
        <f t="shared" si="99"/>
        <v>0</v>
      </c>
      <c r="BE158" s="3166">
        <f t="shared" si="100"/>
        <v>0</v>
      </c>
      <c r="BF158" s="3166">
        <f t="shared" si="101"/>
        <v>0</v>
      </c>
      <c r="BG158" s="3166">
        <f t="shared" si="102"/>
        <v>0</v>
      </c>
      <c r="BH158" s="3166">
        <f t="shared" si="103"/>
        <v>0</v>
      </c>
      <c r="BI158" s="3166">
        <f t="shared" si="104"/>
        <v>0</v>
      </c>
      <c r="BJ158" s="3166">
        <f t="shared" si="105"/>
        <v>0</v>
      </c>
      <c r="BK158" s="3166">
        <f t="shared" si="106"/>
        <v>0</v>
      </c>
      <c r="BL158" s="3166">
        <f t="shared" si="107"/>
        <v>0</v>
      </c>
      <c r="BM158" s="3166">
        <f t="shared" si="108"/>
        <v>0</v>
      </c>
      <c r="BN158" s="3166">
        <f t="shared" si="109"/>
        <v>0</v>
      </c>
      <c r="BO158" s="3166">
        <f t="shared" si="110"/>
        <v>0</v>
      </c>
      <c r="BP158" s="3166">
        <f t="shared" si="111"/>
        <v>0</v>
      </c>
      <c r="BQ158" s="3166">
        <f t="shared" si="112"/>
        <v>0</v>
      </c>
      <c r="BR158" s="3166">
        <f t="shared" si="113"/>
        <v>0</v>
      </c>
      <c r="BS158" s="3166">
        <f t="shared" si="114"/>
        <v>0</v>
      </c>
      <c r="BT158" s="3240">
        <f t="shared" si="115"/>
        <v>0</v>
      </c>
    </row>
    <row r="159" spans="1:72">
      <c r="A159" s="3163"/>
      <c r="B159" s="3164"/>
      <c r="C159" s="3164"/>
      <c r="D159" s="3176"/>
      <c r="E159" s="3166">
        <f t="shared" si="116"/>
        <v>0</v>
      </c>
      <c r="F159" s="3167"/>
      <c r="G159" s="3168">
        <f t="shared" si="91"/>
        <v>0</v>
      </c>
      <c r="H159" s="3169">
        <f t="shared" si="92"/>
        <v>0</v>
      </c>
      <c r="I159" s="3187"/>
      <c r="J159" s="3187"/>
      <c r="K159" s="3187"/>
      <c r="L159" s="3187"/>
      <c r="M159" s="3187"/>
      <c r="N159" s="3187"/>
      <c r="O159" s="3187"/>
      <c r="P159" s="3187"/>
      <c r="Q159" s="3187"/>
      <c r="R159" s="3187"/>
      <c r="S159" s="3187"/>
      <c r="T159" s="3187"/>
      <c r="U159" s="3187"/>
      <c r="V159" s="3187"/>
      <c r="W159" s="3187"/>
      <c r="X159" s="3187"/>
      <c r="Y159" s="3187"/>
      <c r="Z159" s="3187"/>
      <c r="AA159" s="3187"/>
      <c r="AB159" s="3187"/>
      <c r="AC159" s="3166">
        <f t="shared" si="93"/>
        <v>0</v>
      </c>
      <c r="AD159" s="3198"/>
      <c r="AE159" s="3198"/>
      <c r="AF159" s="3198"/>
      <c r="AG159" s="3198"/>
      <c r="AH159" s="3198"/>
      <c r="AI159" s="3198"/>
      <c r="AJ159" s="3198"/>
      <c r="AK159" s="3198"/>
      <c r="AL159" s="3198"/>
      <c r="AM159" s="3198"/>
      <c r="AN159" s="3198"/>
      <c r="AO159" s="3198"/>
      <c r="AP159" s="3198"/>
      <c r="AQ159" s="3198"/>
      <c r="AR159" s="3198"/>
      <c r="AS159" s="3198"/>
      <c r="AT159" s="3218"/>
      <c r="AU159" s="3219"/>
      <c r="AV159" s="488">
        <f t="shared" si="117"/>
        <v>0</v>
      </c>
      <c r="AW159" s="488">
        <f t="shared" si="118"/>
        <v>0</v>
      </c>
      <c r="AX159" s="488">
        <f t="shared" si="119"/>
        <v>0</v>
      </c>
      <c r="AY159" s="3235">
        <f t="shared" si="94"/>
        <v>0</v>
      </c>
      <c r="AZ159" s="3166">
        <f t="shared" si="95"/>
        <v>0</v>
      </c>
      <c r="BA159" s="3166">
        <f t="shared" si="96"/>
        <v>0</v>
      </c>
      <c r="BB159" s="3166">
        <f t="shared" si="97"/>
        <v>0</v>
      </c>
      <c r="BC159" s="3166">
        <f t="shared" si="98"/>
        <v>0</v>
      </c>
      <c r="BD159" s="3166">
        <f t="shared" si="99"/>
        <v>0</v>
      </c>
      <c r="BE159" s="3166">
        <f t="shared" si="100"/>
        <v>0</v>
      </c>
      <c r="BF159" s="3166">
        <f t="shared" si="101"/>
        <v>0</v>
      </c>
      <c r="BG159" s="3166">
        <f t="shared" si="102"/>
        <v>0</v>
      </c>
      <c r="BH159" s="3166">
        <f t="shared" si="103"/>
        <v>0</v>
      </c>
      <c r="BI159" s="3166">
        <f t="shared" si="104"/>
        <v>0</v>
      </c>
      <c r="BJ159" s="3166">
        <f t="shared" si="105"/>
        <v>0</v>
      </c>
      <c r="BK159" s="3166">
        <f t="shared" si="106"/>
        <v>0</v>
      </c>
      <c r="BL159" s="3166">
        <f t="shared" si="107"/>
        <v>0</v>
      </c>
      <c r="BM159" s="3166">
        <f t="shared" si="108"/>
        <v>0</v>
      </c>
      <c r="BN159" s="3166">
        <f t="shared" si="109"/>
        <v>0</v>
      </c>
      <c r="BO159" s="3166">
        <f t="shared" si="110"/>
        <v>0</v>
      </c>
      <c r="BP159" s="3166">
        <f t="shared" si="111"/>
        <v>0</v>
      </c>
      <c r="BQ159" s="3166">
        <f t="shared" si="112"/>
        <v>0</v>
      </c>
      <c r="BR159" s="3166">
        <f t="shared" si="113"/>
        <v>0</v>
      </c>
      <c r="BS159" s="3166">
        <f t="shared" si="114"/>
        <v>0</v>
      </c>
      <c r="BT159" s="3240">
        <f t="shared" si="115"/>
        <v>0</v>
      </c>
    </row>
    <row r="160" spans="1:72">
      <c r="A160" s="3163"/>
      <c r="B160" s="3164"/>
      <c r="C160" s="3164"/>
      <c r="D160" s="3176"/>
      <c r="E160" s="3166">
        <f t="shared" si="116"/>
        <v>0</v>
      </c>
      <c r="F160" s="3167"/>
      <c r="G160" s="3168">
        <f t="shared" si="91"/>
        <v>0</v>
      </c>
      <c r="H160" s="3169">
        <f t="shared" si="92"/>
        <v>0</v>
      </c>
      <c r="I160" s="3187"/>
      <c r="J160" s="3187"/>
      <c r="K160" s="3187"/>
      <c r="L160" s="3187"/>
      <c r="M160" s="3187"/>
      <c r="N160" s="3187"/>
      <c r="O160" s="3187"/>
      <c r="P160" s="3187"/>
      <c r="Q160" s="3187"/>
      <c r="R160" s="3187"/>
      <c r="S160" s="3187"/>
      <c r="T160" s="3187"/>
      <c r="U160" s="3187"/>
      <c r="V160" s="3187"/>
      <c r="W160" s="3187"/>
      <c r="X160" s="3187"/>
      <c r="Y160" s="3187"/>
      <c r="Z160" s="3187"/>
      <c r="AA160" s="3187"/>
      <c r="AB160" s="3187"/>
      <c r="AC160" s="3166">
        <f t="shared" si="93"/>
        <v>0</v>
      </c>
      <c r="AD160" s="3198"/>
      <c r="AE160" s="3198"/>
      <c r="AF160" s="3198"/>
      <c r="AG160" s="3198"/>
      <c r="AH160" s="3198"/>
      <c r="AI160" s="3198"/>
      <c r="AJ160" s="3198"/>
      <c r="AK160" s="3198"/>
      <c r="AL160" s="3198"/>
      <c r="AM160" s="3198"/>
      <c r="AN160" s="3198"/>
      <c r="AO160" s="3198"/>
      <c r="AP160" s="3198"/>
      <c r="AQ160" s="3198"/>
      <c r="AR160" s="3198"/>
      <c r="AS160" s="3198"/>
      <c r="AT160" s="3218"/>
      <c r="AU160" s="3219"/>
      <c r="AV160" s="488">
        <f t="shared" si="117"/>
        <v>0</v>
      </c>
      <c r="AW160" s="488">
        <f t="shared" si="118"/>
        <v>0</v>
      </c>
      <c r="AX160" s="488">
        <f t="shared" si="119"/>
        <v>0</v>
      </c>
      <c r="AY160" s="3235">
        <f t="shared" si="94"/>
        <v>0</v>
      </c>
      <c r="AZ160" s="3166">
        <f t="shared" si="95"/>
        <v>0</v>
      </c>
      <c r="BA160" s="3166">
        <f t="shared" si="96"/>
        <v>0</v>
      </c>
      <c r="BB160" s="3166">
        <f t="shared" si="97"/>
        <v>0</v>
      </c>
      <c r="BC160" s="3166">
        <f t="shared" si="98"/>
        <v>0</v>
      </c>
      <c r="BD160" s="3166">
        <f t="shared" si="99"/>
        <v>0</v>
      </c>
      <c r="BE160" s="3166">
        <f t="shared" si="100"/>
        <v>0</v>
      </c>
      <c r="BF160" s="3166">
        <f t="shared" si="101"/>
        <v>0</v>
      </c>
      <c r="BG160" s="3166">
        <f t="shared" si="102"/>
        <v>0</v>
      </c>
      <c r="BH160" s="3166">
        <f t="shared" si="103"/>
        <v>0</v>
      </c>
      <c r="BI160" s="3166">
        <f t="shared" si="104"/>
        <v>0</v>
      </c>
      <c r="BJ160" s="3166">
        <f t="shared" si="105"/>
        <v>0</v>
      </c>
      <c r="BK160" s="3166">
        <f t="shared" si="106"/>
        <v>0</v>
      </c>
      <c r="BL160" s="3166">
        <f t="shared" si="107"/>
        <v>0</v>
      </c>
      <c r="BM160" s="3166">
        <f t="shared" si="108"/>
        <v>0</v>
      </c>
      <c r="BN160" s="3166">
        <f t="shared" si="109"/>
        <v>0</v>
      </c>
      <c r="BO160" s="3166">
        <f t="shared" si="110"/>
        <v>0</v>
      </c>
      <c r="BP160" s="3166">
        <f t="shared" si="111"/>
        <v>0</v>
      </c>
      <c r="BQ160" s="3166">
        <f t="shared" si="112"/>
        <v>0</v>
      </c>
      <c r="BR160" s="3166">
        <f t="shared" si="113"/>
        <v>0</v>
      </c>
      <c r="BS160" s="3166">
        <f t="shared" si="114"/>
        <v>0</v>
      </c>
      <c r="BT160" s="3240">
        <f t="shared" si="115"/>
        <v>0</v>
      </c>
    </row>
    <row r="161" spans="1:72">
      <c r="A161" s="3163"/>
      <c r="B161" s="3164"/>
      <c r="C161" s="3164"/>
      <c r="D161" s="3176"/>
      <c r="E161" s="3166">
        <f t="shared" si="116"/>
        <v>0</v>
      </c>
      <c r="F161" s="3167"/>
      <c r="G161" s="3168">
        <f t="shared" si="91"/>
        <v>0</v>
      </c>
      <c r="H161" s="3169">
        <f t="shared" si="92"/>
        <v>0</v>
      </c>
      <c r="I161" s="3187"/>
      <c r="J161" s="3187"/>
      <c r="K161" s="3187"/>
      <c r="L161" s="3187"/>
      <c r="M161" s="3187"/>
      <c r="N161" s="3187"/>
      <c r="O161" s="3187"/>
      <c r="P161" s="3187"/>
      <c r="Q161" s="3187"/>
      <c r="R161" s="3187"/>
      <c r="S161" s="3187"/>
      <c r="T161" s="3187"/>
      <c r="U161" s="3187"/>
      <c r="V161" s="3187"/>
      <c r="W161" s="3187"/>
      <c r="X161" s="3187"/>
      <c r="Y161" s="3187"/>
      <c r="Z161" s="3187"/>
      <c r="AA161" s="3187"/>
      <c r="AB161" s="3187"/>
      <c r="AC161" s="3166">
        <f t="shared" si="93"/>
        <v>0</v>
      </c>
      <c r="AD161" s="3198"/>
      <c r="AE161" s="3198"/>
      <c r="AF161" s="3198"/>
      <c r="AG161" s="3198"/>
      <c r="AH161" s="3198"/>
      <c r="AI161" s="3198"/>
      <c r="AJ161" s="3198"/>
      <c r="AK161" s="3198"/>
      <c r="AL161" s="3198"/>
      <c r="AM161" s="3198"/>
      <c r="AN161" s="3198"/>
      <c r="AO161" s="3198"/>
      <c r="AP161" s="3198"/>
      <c r="AQ161" s="3198"/>
      <c r="AR161" s="3198"/>
      <c r="AS161" s="3198"/>
      <c r="AT161" s="3218"/>
      <c r="AU161" s="3219"/>
      <c r="AV161" s="488">
        <f t="shared" si="117"/>
        <v>0</v>
      </c>
      <c r="AW161" s="488">
        <f t="shared" si="118"/>
        <v>0</v>
      </c>
      <c r="AX161" s="488">
        <f t="shared" si="119"/>
        <v>0</v>
      </c>
      <c r="AY161" s="3235">
        <f t="shared" si="94"/>
        <v>0</v>
      </c>
      <c r="AZ161" s="3166">
        <f t="shared" si="95"/>
        <v>0</v>
      </c>
      <c r="BA161" s="3166">
        <f t="shared" si="96"/>
        <v>0</v>
      </c>
      <c r="BB161" s="3166">
        <f t="shared" si="97"/>
        <v>0</v>
      </c>
      <c r="BC161" s="3166">
        <f t="shared" si="98"/>
        <v>0</v>
      </c>
      <c r="BD161" s="3166">
        <f t="shared" si="99"/>
        <v>0</v>
      </c>
      <c r="BE161" s="3166">
        <f t="shared" si="100"/>
        <v>0</v>
      </c>
      <c r="BF161" s="3166">
        <f t="shared" si="101"/>
        <v>0</v>
      </c>
      <c r="BG161" s="3166">
        <f t="shared" si="102"/>
        <v>0</v>
      </c>
      <c r="BH161" s="3166">
        <f t="shared" si="103"/>
        <v>0</v>
      </c>
      <c r="BI161" s="3166">
        <f t="shared" si="104"/>
        <v>0</v>
      </c>
      <c r="BJ161" s="3166">
        <f t="shared" si="105"/>
        <v>0</v>
      </c>
      <c r="BK161" s="3166">
        <f t="shared" si="106"/>
        <v>0</v>
      </c>
      <c r="BL161" s="3166">
        <f t="shared" si="107"/>
        <v>0</v>
      </c>
      <c r="BM161" s="3166">
        <f t="shared" si="108"/>
        <v>0</v>
      </c>
      <c r="BN161" s="3166">
        <f t="shared" si="109"/>
        <v>0</v>
      </c>
      <c r="BO161" s="3166">
        <f t="shared" si="110"/>
        <v>0</v>
      </c>
      <c r="BP161" s="3166">
        <f t="shared" si="111"/>
        <v>0</v>
      </c>
      <c r="BQ161" s="3166">
        <f t="shared" si="112"/>
        <v>0</v>
      </c>
      <c r="BR161" s="3166">
        <f t="shared" si="113"/>
        <v>0</v>
      </c>
      <c r="BS161" s="3166">
        <f t="shared" si="114"/>
        <v>0</v>
      </c>
      <c r="BT161" s="3240">
        <f t="shared" si="115"/>
        <v>0</v>
      </c>
    </row>
    <row r="162" spans="1:72">
      <c r="A162" s="3163"/>
      <c r="B162" s="3164"/>
      <c r="C162" s="3164"/>
      <c r="D162" s="3176"/>
      <c r="E162" s="3166">
        <f t="shared" si="116"/>
        <v>0</v>
      </c>
      <c r="F162" s="3167"/>
      <c r="G162" s="3168">
        <f t="shared" si="91"/>
        <v>0</v>
      </c>
      <c r="H162" s="3169">
        <f t="shared" si="92"/>
        <v>0</v>
      </c>
      <c r="I162" s="3187"/>
      <c r="J162" s="3187"/>
      <c r="K162" s="3187"/>
      <c r="L162" s="3187"/>
      <c r="M162" s="3187"/>
      <c r="N162" s="3187"/>
      <c r="O162" s="3187"/>
      <c r="P162" s="3187"/>
      <c r="Q162" s="3187"/>
      <c r="R162" s="3187"/>
      <c r="S162" s="3187"/>
      <c r="T162" s="3187"/>
      <c r="U162" s="3187"/>
      <c r="V162" s="3187"/>
      <c r="W162" s="3187"/>
      <c r="X162" s="3187"/>
      <c r="Y162" s="3187"/>
      <c r="Z162" s="3187"/>
      <c r="AA162" s="3187"/>
      <c r="AB162" s="3187"/>
      <c r="AC162" s="3166">
        <f t="shared" si="93"/>
        <v>0</v>
      </c>
      <c r="AD162" s="3198"/>
      <c r="AE162" s="3198"/>
      <c r="AF162" s="3198"/>
      <c r="AG162" s="3198"/>
      <c r="AH162" s="3198"/>
      <c r="AI162" s="3198"/>
      <c r="AJ162" s="3198"/>
      <c r="AK162" s="3198"/>
      <c r="AL162" s="3198"/>
      <c r="AM162" s="3198"/>
      <c r="AN162" s="3198"/>
      <c r="AO162" s="3198"/>
      <c r="AP162" s="3198"/>
      <c r="AQ162" s="3198"/>
      <c r="AR162" s="3198"/>
      <c r="AS162" s="3198"/>
      <c r="AT162" s="3218"/>
      <c r="AU162" s="3219"/>
      <c r="AV162" s="488">
        <f t="shared" si="117"/>
        <v>0</v>
      </c>
      <c r="AW162" s="488">
        <f t="shared" si="118"/>
        <v>0</v>
      </c>
      <c r="AX162" s="488">
        <f t="shared" si="119"/>
        <v>0</v>
      </c>
      <c r="AY162" s="3235">
        <f t="shared" si="94"/>
        <v>0</v>
      </c>
      <c r="AZ162" s="3166">
        <f t="shared" si="95"/>
        <v>0</v>
      </c>
      <c r="BA162" s="3166">
        <f t="shared" si="96"/>
        <v>0</v>
      </c>
      <c r="BB162" s="3166">
        <f t="shared" si="97"/>
        <v>0</v>
      </c>
      <c r="BC162" s="3166">
        <f t="shared" si="98"/>
        <v>0</v>
      </c>
      <c r="BD162" s="3166">
        <f t="shared" si="99"/>
        <v>0</v>
      </c>
      <c r="BE162" s="3166">
        <f t="shared" si="100"/>
        <v>0</v>
      </c>
      <c r="BF162" s="3166">
        <f t="shared" si="101"/>
        <v>0</v>
      </c>
      <c r="BG162" s="3166">
        <f t="shared" si="102"/>
        <v>0</v>
      </c>
      <c r="BH162" s="3166">
        <f t="shared" si="103"/>
        <v>0</v>
      </c>
      <c r="BI162" s="3166">
        <f t="shared" si="104"/>
        <v>0</v>
      </c>
      <c r="BJ162" s="3166">
        <f t="shared" si="105"/>
        <v>0</v>
      </c>
      <c r="BK162" s="3166">
        <f t="shared" si="106"/>
        <v>0</v>
      </c>
      <c r="BL162" s="3166">
        <f t="shared" si="107"/>
        <v>0</v>
      </c>
      <c r="BM162" s="3166">
        <f t="shared" si="108"/>
        <v>0</v>
      </c>
      <c r="BN162" s="3166">
        <f t="shared" si="109"/>
        <v>0</v>
      </c>
      <c r="BO162" s="3166">
        <f t="shared" si="110"/>
        <v>0</v>
      </c>
      <c r="BP162" s="3166">
        <f t="shared" si="111"/>
        <v>0</v>
      </c>
      <c r="BQ162" s="3166">
        <f t="shared" si="112"/>
        <v>0</v>
      </c>
      <c r="BR162" s="3166">
        <f t="shared" si="113"/>
        <v>0</v>
      </c>
      <c r="BS162" s="3166">
        <f t="shared" si="114"/>
        <v>0</v>
      </c>
      <c r="BT162" s="3240">
        <f t="shared" si="115"/>
        <v>0</v>
      </c>
    </row>
    <row r="163" spans="1:72">
      <c r="A163" s="3163"/>
      <c r="B163" s="3164"/>
      <c r="C163" s="3164"/>
      <c r="D163" s="3176"/>
      <c r="E163" s="3166">
        <f t="shared" si="116"/>
        <v>0</v>
      </c>
      <c r="F163" s="3167"/>
      <c r="G163" s="3168">
        <f t="shared" si="91"/>
        <v>0</v>
      </c>
      <c r="H163" s="3169">
        <f t="shared" si="92"/>
        <v>0</v>
      </c>
      <c r="I163" s="3187"/>
      <c r="J163" s="3187"/>
      <c r="K163" s="3187"/>
      <c r="L163" s="3187"/>
      <c r="M163" s="3187"/>
      <c r="N163" s="3187"/>
      <c r="O163" s="3187"/>
      <c r="P163" s="3187"/>
      <c r="Q163" s="3187"/>
      <c r="R163" s="3187"/>
      <c r="S163" s="3187"/>
      <c r="T163" s="3187"/>
      <c r="U163" s="3187"/>
      <c r="V163" s="3187"/>
      <c r="W163" s="3187"/>
      <c r="X163" s="3187"/>
      <c r="Y163" s="3187"/>
      <c r="Z163" s="3187"/>
      <c r="AA163" s="3187"/>
      <c r="AB163" s="3187"/>
      <c r="AC163" s="3166">
        <f t="shared" si="93"/>
        <v>0</v>
      </c>
      <c r="AD163" s="3198"/>
      <c r="AE163" s="3198"/>
      <c r="AF163" s="3198"/>
      <c r="AG163" s="3198"/>
      <c r="AH163" s="3198"/>
      <c r="AI163" s="3198"/>
      <c r="AJ163" s="3198"/>
      <c r="AK163" s="3198"/>
      <c r="AL163" s="3198"/>
      <c r="AM163" s="3198"/>
      <c r="AN163" s="3198"/>
      <c r="AO163" s="3198"/>
      <c r="AP163" s="3198"/>
      <c r="AQ163" s="3198"/>
      <c r="AR163" s="3198"/>
      <c r="AS163" s="3198"/>
      <c r="AT163" s="3218"/>
      <c r="AU163" s="3219"/>
      <c r="AV163" s="488">
        <f t="shared" si="117"/>
        <v>0</v>
      </c>
      <c r="AW163" s="488">
        <f t="shared" si="118"/>
        <v>0</v>
      </c>
      <c r="AX163" s="488">
        <f t="shared" si="119"/>
        <v>0</v>
      </c>
      <c r="AY163" s="3235">
        <f t="shared" si="94"/>
        <v>0</v>
      </c>
      <c r="AZ163" s="3166">
        <f t="shared" si="95"/>
        <v>0</v>
      </c>
      <c r="BA163" s="3166">
        <f t="shared" si="96"/>
        <v>0</v>
      </c>
      <c r="BB163" s="3166">
        <f t="shared" si="97"/>
        <v>0</v>
      </c>
      <c r="BC163" s="3166">
        <f t="shared" si="98"/>
        <v>0</v>
      </c>
      <c r="BD163" s="3166">
        <f t="shared" si="99"/>
        <v>0</v>
      </c>
      <c r="BE163" s="3166">
        <f t="shared" si="100"/>
        <v>0</v>
      </c>
      <c r="BF163" s="3166">
        <f t="shared" si="101"/>
        <v>0</v>
      </c>
      <c r="BG163" s="3166">
        <f t="shared" si="102"/>
        <v>0</v>
      </c>
      <c r="BH163" s="3166">
        <f t="shared" si="103"/>
        <v>0</v>
      </c>
      <c r="BI163" s="3166">
        <f t="shared" si="104"/>
        <v>0</v>
      </c>
      <c r="BJ163" s="3166">
        <f t="shared" si="105"/>
        <v>0</v>
      </c>
      <c r="BK163" s="3166">
        <f t="shared" si="106"/>
        <v>0</v>
      </c>
      <c r="BL163" s="3166">
        <f t="shared" si="107"/>
        <v>0</v>
      </c>
      <c r="BM163" s="3166">
        <f t="shared" si="108"/>
        <v>0</v>
      </c>
      <c r="BN163" s="3166">
        <f t="shared" si="109"/>
        <v>0</v>
      </c>
      <c r="BO163" s="3166">
        <f t="shared" si="110"/>
        <v>0</v>
      </c>
      <c r="BP163" s="3166">
        <f t="shared" si="111"/>
        <v>0</v>
      </c>
      <c r="BQ163" s="3166">
        <f t="shared" si="112"/>
        <v>0</v>
      </c>
      <c r="BR163" s="3166">
        <f t="shared" si="113"/>
        <v>0</v>
      </c>
      <c r="BS163" s="3166">
        <f t="shared" si="114"/>
        <v>0</v>
      </c>
      <c r="BT163" s="3240">
        <f t="shared" si="115"/>
        <v>0</v>
      </c>
    </row>
    <row r="164" spans="1:72">
      <c r="A164" s="3163"/>
      <c r="B164" s="3164"/>
      <c r="C164" s="3164"/>
      <c r="D164" s="3176"/>
      <c r="E164" s="3166">
        <f t="shared" si="116"/>
        <v>0</v>
      </c>
      <c r="F164" s="3167"/>
      <c r="G164" s="3168">
        <f t="shared" si="91"/>
        <v>0</v>
      </c>
      <c r="H164" s="3169">
        <f t="shared" si="92"/>
        <v>0</v>
      </c>
      <c r="I164" s="3187"/>
      <c r="J164" s="3187"/>
      <c r="K164" s="3187"/>
      <c r="L164" s="3187"/>
      <c r="M164" s="3187"/>
      <c r="N164" s="3187"/>
      <c r="O164" s="3187"/>
      <c r="P164" s="3187"/>
      <c r="Q164" s="3187"/>
      <c r="R164" s="3187"/>
      <c r="S164" s="3187"/>
      <c r="T164" s="3187"/>
      <c r="U164" s="3187"/>
      <c r="V164" s="3187"/>
      <c r="W164" s="3187"/>
      <c r="X164" s="3187"/>
      <c r="Y164" s="3187"/>
      <c r="Z164" s="3187"/>
      <c r="AA164" s="3187"/>
      <c r="AB164" s="3187"/>
      <c r="AC164" s="3166">
        <f t="shared" si="93"/>
        <v>0</v>
      </c>
      <c r="AD164" s="3198"/>
      <c r="AE164" s="3198"/>
      <c r="AF164" s="3198"/>
      <c r="AG164" s="3198"/>
      <c r="AH164" s="3198"/>
      <c r="AI164" s="3198"/>
      <c r="AJ164" s="3198"/>
      <c r="AK164" s="3198"/>
      <c r="AL164" s="3198"/>
      <c r="AM164" s="3198"/>
      <c r="AN164" s="3198"/>
      <c r="AO164" s="3198"/>
      <c r="AP164" s="3198"/>
      <c r="AQ164" s="3198"/>
      <c r="AR164" s="3198"/>
      <c r="AS164" s="3198"/>
      <c r="AT164" s="3218"/>
      <c r="AU164" s="3219"/>
      <c r="AV164" s="488">
        <f t="shared" si="117"/>
        <v>0</v>
      </c>
      <c r="AW164" s="488">
        <f t="shared" si="118"/>
        <v>0</v>
      </c>
      <c r="AX164" s="488">
        <f t="shared" si="119"/>
        <v>0</v>
      </c>
      <c r="AY164" s="3235">
        <f t="shared" si="94"/>
        <v>0</v>
      </c>
      <c r="AZ164" s="3166">
        <f t="shared" si="95"/>
        <v>0</v>
      </c>
      <c r="BA164" s="3166">
        <f t="shared" si="96"/>
        <v>0</v>
      </c>
      <c r="BB164" s="3166">
        <f t="shared" si="97"/>
        <v>0</v>
      </c>
      <c r="BC164" s="3166">
        <f t="shared" si="98"/>
        <v>0</v>
      </c>
      <c r="BD164" s="3166">
        <f t="shared" si="99"/>
        <v>0</v>
      </c>
      <c r="BE164" s="3166">
        <f t="shared" si="100"/>
        <v>0</v>
      </c>
      <c r="BF164" s="3166">
        <f t="shared" si="101"/>
        <v>0</v>
      </c>
      <c r="BG164" s="3166">
        <f t="shared" si="102"/>
        <v>0</v>
      </c>
      <c r="BH164" s="3166">
        <f t="shared" si="103"/>
        <v>0</v>
      </c>
      <c r="BI164" s="3166">
        <f t="shared" si="104"/>
        <v>0</v>
      </c>
      <c r="BJ164" s="3166">
        <f t="shared" si="105"/>
        <v>0</v>
      </c>
      <c r="BK164" s="3166">
        <f t="shared" si="106"/>
        <v>0</v>
      </c>
      <c r="BL164" s="3166">
        <f t="shared" si="107"/>
        <v>0</v>
      </c>
      <c r="BM164" s="3166">
        <f t="shared" si="108"/>
        <v>0</v>
      </c>
      <c r="BN164" s="3166">
        <f t="shared" si="109"/>
        <v>0</v>
      </c>
      <c r="BO164" s="3166">
        <f t="shared" si="110"/>
        <v>0</v>
      </c>
      <c r="BP164" s="3166">
        <f t="shared" si="111"/>
        <v>0</v>
      </c>
      <c r="BQ164" s="3166">
        <f t="shared" si="112"/>
        <v>0</v>
      </c>
      <c r="BR164" s="3166">
        <f t="shared" si="113"/>
        <v>0</v>
      </c>
      <c r="BS164" s="3166">
        <f t="shared" si="114"/>
        <v>0</v>
      </c>
      <c r="BT164" s="3240">
        <f t="shared" si="115"/>
        <v>0</v>
      </c>
    </row>
    <row r="165" spans="1:72">
      <c r="A165" s="3163"/>
      <c r="B165" s="3164"/>
      <c r="C165" s="3164"/>
      <c r="D165" s="3176"/>
      <c r="E165" s="3166">
        <f t="shared" si="116"/>
        <v>0</v>
      </c>
      <c r="F165" s="3167"/>
      <c r="G165" s="3168">
        <f t="shared" si="91"/>
        <v>0</v>
      </c>
      <c r="H165" s="3169">
        <f t="shared" si="92"/>
        <v>0</v>
      </c>
      <c r="I165" s="3187"/>
      <c r="J165" s="3187"/>
      <c r="K165" s="3187"/>
      <c r="L165" s="3187"/>
      <c r="M165" s="3187"/>
      <c r="N165" s="3187"/>
      <c r="O165" s="3187"/>
      <c r="P165" s="3187"/>
      <c r="Q165" s="3187"/>
      <c r="R165" s="3187"/>
      <c r="S165" s="3187"/>
      <c r="T165" s="3187"/>
      <c r="U165" s="3187"/>
      <c r="V165" s="3187"/>
      <c r="W165" s="3187"/>
      <c r="X165" s="3187"/>
      <c r="Y165" s="3187"/>
      <c r="Z165" s="3187"/>
      <c r="AA165" s="3187"/>
      <c r="AB165" s="3187"/>
      <c r="AC165" s="3166">
        <f t="shared" si="93"/>
        <v>0</v>
      </c>
      <c r="AD165" s="3198"/>
      <c r="AE165" s="3198"/>
      <c r="AF165" s="3198"/>
      <c r="AG165" s="3198"/>
      <c r="AH165" s="3198"/>
      <c r="AI165" s="3198"/>
      <c r="AJ165" s="3198"/>
      <c r="AK165" s="3198"/>
      <c r="AL165" s="3198"/>
      <c r="AM165" s="3198"/>
      <c r="AN165" s="3198"/>
      <c r="AO165" s="3198"/>
      <c r="AP165" s="3198"/>
      <c r="AQ165" s="3198"/>
      <c r="AR165" s="3198"/>
      <c r="AS165" s="3198"/>
      <c r="AT165" s="3218"/>
      <c r="AU165" s="3219"/>
      <c r="AV165" s="488">
        <f t="shared" si="117"/>
        <v>0</v>
      </c>
      <c r="AW165" s="488">
        <f t="shared" si="118"/>
        <v>0</v>
      </c>
      <c r="AX165" s="488">
        <f t="shared" si="119"/>
        <v>0</v>
      </c>
      <c r="AY165" s="3235">
        <f t="shared" si="94"/>
        <v>0</v>
      </c>
      <c r="AZ165" s="3166">
        <f t="shared" si="95"/>
        <v>0</v>
      </c>
      <c r="BA165" s="3166">
        <f t="shared" si="96"/>
        <v>0</v>
      </c>
      <c r="BB165" s="3166">
        <f t="shared" si="97"/>
        <v>0</v>
      </c>
      <c r="BC165" s="3166">
        <f t="shared" si="98"/>
        <v>0</v>
      </c>
      <c r="BD165" s="3166">
        <f t="shared" si="99"/>
        <v>0</v>
      </c>
      <c r="BE165" s="3166">
        <f t="shared" si="100"/>
        <v>0</v>
      </c>
      <c r="BF165" s="3166">
        <f t="shared" si="101"/>
        <v>0</v>
      </c>
      <c r="BG165" s="3166">
        <f t="shared" si="102"/>
        <v>0</v>
      </c>
      <c r="BH165" s="3166">
        <f t="shared" si="103"/>
        <v>0</v>
      </c>
      <c r="BI165" s="3166">
        <f t="shared" si="104"/>
        <v>0</v>
      </c>
      <c r="BJ165" s="3166">
        <f t="shared" si="105"/>
        <v>0</v>
      </c>
      <c r="BK165" s="3166">
        <f t="shared" si="106"/>
        <v>0</v>
      </c>
      <c r="BL165" s="3166">
        <f t="shared" si="107"/>
        <v>0</v>
      </c>
      <c r="BM165" s="3166">
        <f t="shared" si="108"/>
        <v>0</v>
      </c>
      <c r="BN165" s="3166">
        <f t="shared" si="109"/>
        <v>0</v>
      </c>
      <c r="BO165" s="3166">
        <f t="shared" si="110"/>
        <v>0</v>
      </c>
      <c r="BP165" s="3166">
        <f t="shared" si="111"/>
        <v>0</v>
      </c>
      <c r="BQ165" s="3166">
        <f t="shared" si="112"/>
        <v>0</v>
      </c>
      <c r="BR165" s="3166">
        <f t="shared" si="113"/>
        <v>0</v>
      </c>
      <c r="BS165" s="3166">
        <f t="shared" si="114"/>
        <v>0</v>
      </c>
      <c r="BT165" s="3240">
        <f t="shared" si="115"/>
        <v>0</v>
      </c>
    </row>
    <row r="166" spans="1:72">
      <c r="A166" s="3163"/>
      <c r="B166" s="3164"/>
      <c r="C166" s="3164"/>
      <c r="D166" s="3176"/>
      <c r="E166" s="3166">
        <f t="shared" si="116"/>
        <v>0</v>
      </c>
      <c r="F166" s="3167"/>
      <c r="G166" s="3168">
        <f t="shared" si="91"/>
        <v>0</v>
      </c>
      <c r="H166" s="3169">
        <f t="shared" si="92"/>
        <v>0</v>
      </c>
      <c r="I166" s="3187"/>
      <c r="J166" s="3187"/>
      <c r="K166" s="3187"/>
      <c r="L166" s="3187"/>
      <c r="M166" s="3187"/>
      <c r="N166" s="3187"/>
      <c r="O166" s="3187"/>
      <c r="P166" s="3187"/>
      <c r="Q166" s="3187"/>
      <c r="R166" s="3187"/>
      <c r="S166" s="3187"/>
      <c r="T166" s="3187"/>
      <c r="U166" s="3187"/>
      <c r="V166" s="3187"/>
      <c r="W166" s="3187"/>
      <c r="X166" s="3187"/>
      <c r="Y166" s="3187"/>
      <c r="Z166" s="3187"/>
      <c r="AA166" s="3187"/>
      <c r="AB166" s="3187"/>
      <c r="AC166" s="3166">
        <f t="shared" si="93"/>
        <v>0</v>
      </c>
      <c r="AD166" s="3198"/>
      <c r="AE166" s="3198"/>
      <c r="AF166" s="3198"/>
      <c r="AG166" s="3198"/>
      <c r="AH166" s="3198"/>
      <c r="AI166" s="3198"/>
      <c r="AJ166" s="3198"/>
      <c r="AK166" s="3198"/>
      <c r="AL166" s="3198"/>
      <c r="AM166" s="3198"/>
      <c r="AN166" s="3198"/>
      <c r="AO166" s="3198"/>
      <c r="AP166" s="3198"/>
      <c r="AQ166" s="3198"/>
      <c r="AR166" s="3198"/>
      <c r="AS166" s="3198"/>
      <c r="AT166" s="3218"/>
      <c r="AU166" s="3219"/>
      <c r="AV166" s="488">
        <f t="shared" si="117"/>
        <v>0</v>
      </c>
      <c r="AW166" s="488">
        <f t="shared" si="118"/>
        <v>0</v>
      </c>
      <c r="AX166" s="488">
        <f t="shared" si="119"/>
        <v>0</v>
      </c>
      <c r="AY166" s="3235">
        <f t="shared" si="94"/>
        <v>0</v>
      </c>
      <c r="AZ166" s="3166">
        <f t="shared" si="95"/>
        <v>0</v>
      </c>
      <c r="BA166" s="3166">
        <f t="shared" si="96"/>
        <v>0</v>
      </c>
      <c r="BB166" s="3166">
        <f t="shared" si="97"/>
        <v>0</v>
      </c>
      <c r="BC166" s="3166">
        <f t="shared" si="98"/>
        <v>0</v>
      </c>
      <c r="BD166" s="3166">
        <f t="shared" si="99"/>
        <v>0</v>
      </c>
      <c r="BE166" s="3166">
        <f t="shared" si="100"/>
        <v>0</v>
      </c>
      <c r="BF166" s="3166">
        <f t="shared" si="101"/>
        <v>0</v>
      </c>
      <c r="BG166" s="3166">
        <f t="shared" si="102"/>
        <v>0</v>
      </c>
      <c r="BH166" s="3166">
        <f t="shared" si="103"/>
        <v>0</v>
      </c>
      <c r="BI166" s="3166">
        <f t="shared" si="104"/>
        <v>0</v>
      </c>
      <c r="BJ166" s="3166">
        <f t="shared" si="105"/>
        <v>0</v>
      </c>
      <c r="BK166" s="3166">
        <f t="shared" si="106"/>
        <v>0</v>
      </c>
      <c r="BL166" s="3166">
        <f t="shared" si="107"/>
        <v>0</v>
      </c>
      <c r="BM166" s="3166">
        <f t="shared" si="108"/>
        <v>0</v>
      </c>
      <c r="BN166" s="3166">
        <f t="shared" si="109"/>
        <v>0</v>
      </c>
      <c r="BO166" s="3166">
        <f t="shared" si="110"/>
        <v>0</v>
      </c>
      <c r="BP166" s="3166">
        <f t="shared" si="111"/>
        <v>0</v>
      </c>
      <c r="BQ166" s="3166">
        <f t="shared" si="112"/>
        <v>0</v>
      </c>
      <c r="BR166" s="3166">
        <f t="shared" si="113"/>
        <v>0</v>
      </c>
      <c r="BS166" s="3166">
        <f t="shared" si="114"/>
        <v>0</v>
      </c>
      <c r="BT166" s="3240">
        <f t="shared" si="115"/>
        <v>0</v>
      </c>
    </row>
    <row r="167" spans="1:72">
      <c r="A167" s="3163"/>
      <c r="B167" s="3164"/>
      <c r="C167" s="3164"/>
      <c r="D167" s="3176"/>
      <c r="E167" s="3166">
        <f t="shared" si="116"/>
        <v>0</v>
      </c>
      <c r="F167" s="3167"/>
      <c r="G167" s="3168">
        <f t="shared" si="91"/>
        <v>0</v>
      </c>
      <c r="H167" s="3169">
        <f t="shared" si="92"/>
        <v>0</v>
      </c>
      <c r="I167" s="3187"/>
      <c r="J167" s="3187"/>
      <c r="K167" s="3187"/>
      <c r="L167" s="3187"/>
      <c r="M167" s="3187"/>
      <c r="N167" s="3187"/>
      <c r="O167" s="3187"/>
      <c r="P167" s="3187"/>
      <c r="Q167" s="3187"/>
      <c r="R167" s="3187"/>
      <c r="S167" s="3187"/>
      <c r="T167" s="3187"/>
      <c r="U167" s="3187"/>
      <c r="V167" s="3187"/>
      <c r="W167" s="3187"/>
      <c r="X167" s="3187"/>
      <c r="Y167" s="3187"/>
      <c r="Z167" s="3187"/>
      <c r="AA167" s="3187"/>
      <c r="AB167" s="3187"/>
      <c r="AC167" s="3166">
        <f t="shared" si="93"/>
        <v>0</v>
      </c>
      <c r="AD167" s="3198"/>
      <c r="AE167" s="3198"/>
      <c r="AF167" s="3198"/>
      <c r="AG167" s="3198"/>
      <c r="AH167" s="3198"/>
      <c r="AI167" s="3198"/>
      <c r="AJ167" s="3198"/>
      <c r="AK167" s="3198"/>
      <c r="AL167" s="3198"/>
      <c r="AM167" s="3198"/>
      <c r="AN167" s="3198"/>
      <c r="AO167" s="3198"/>
      <c r="AP167" s="3198"/>
      <c r="AQ167" s="3198"/>
      <c r="AR167" s="3198"/>
      <c r="AS167" s="3198"/>
      <c r="AT167" s="3218"/>
      <c r="AU167" s="3219"/>
      <c r="AV167" s="488">
        <f t="shared" si="117"/>
        <v>0</v>
      </c>
      <c r="AW167" s="488">
        <f t="shared" si="118"/>
        <v>0</v>
      </c>
      <c r="AX167" s="488">
        <f t="shared" si="119"/>
        <v>0</v>
      </c>
      <c r="AY167" s="3235">
        <f t="shared" si="94"/>
        <v>0</v>
      </c>
      <c r="AZ167" s="3166">
        <f t="shared" si="95"/>
        <v>0</v>
      </c>
      <c r="BA167" s="3166">
        <f t="shared" si="96"/>
        <v>0</v>
      </c>
      <c r="BB167" s="3166">
        <f t="shared" si="97"/>
        <v>0</v>
      </c>
      <c r="BC167" s="3166">
        <f t="shared" si="98"/>
        <v>0</v>
      </c>
      <c r="BD167" s="3166">
        <f t="shared" si="99"/>
        <v>0</v>
      </c>
      <c r="BE167" s="3166">
        <f t="shared" si="100"/>
        <v>0</v>
      </c>
      <c r="BF167" s="3166">
        <f t="shared" si="101"/>
        <v>0</v>
      </c>
      <c r="BG167" s="3166">
        <f t="shared" si="102"/>
        <v>0</v>
      </c>
      <c r="BH167" s="3166">
        <f t="shared" si="103"/>
        <v>0</v>
      </c>
      <c r="BI167" s="3166">
        <f t="shared" si="104"/>
        <v>0</v>
      </c>
      <c r="BJ167" s="3166">
        <f t="shared" si="105"/>
        <v>0</v>
      </c>
      <c r="BK167" s="3166">
        <f t="shared" si="106"/>
        <v>0</v>
      </c>
      <c r="BL167" s="3166">
        <f t="shared" si="107"/>
        <v>0</v>
      </c>
      <c r="BM167" s="3166">
        <f t="shared" si="108"/>
        <v>0</v>
      </c>
      <c r="BN167" s="3166">
        <f t="shared" si="109"/>
        <v>0</v>
      </c>
      <c r="BO167" s="3166">
        <f t="shared" si="110"/>
        <v>0</v>
      </c>
      <c r="BP167" s="3166">
        <f t="shared" si="111"/>
        <v>0</v>
      </c>
      <c r="BQ167" s="3166">
        <f t="shared" si="112"/>
        <v>0</v>
      </c>
      <c r="BR167" s="3166">
        <f t="shared" si="113"/>
        <v>0</v>
      </c>
      <c r="BS167" s="3166">
        <f t="shared" si="114"/>
        <v>0</v>
      </c>
      <c r="BT167" s="3240">
        <f t="shared" si="115"/>
        <v>0</v>
      </c>
    </row>
    <row r="168" spans="1:72">
      <c r="A168" s="3163"/>
      <c r="B168" s="3164"/>
      <c r="C168" s="3164"/>
      <c r="D168" s="3176"/>
      <c r="E168" s="3166">
        <f t="shared" si="116"/>
        <v>0</v>
      </c>
      <c r="F168" s="3167"/>
      <c r="G168" s="3168">
        <f t="shared" si="91"/>
        <v>0</v>
      </c>
      <c r="H168" s="3169">
        <f t="shared" si="92"/>
        <v>0</v>
      </c>
      <c r="I168" s="3187"/>
      <c r="J168" s="3187"/>
      <c r="K168" s="3187"/>
      <c r="L168" s="3187"/>
      <c r="M168" s="3187"/>
      <c r="N168" s="3187"/>
      <c r="O168" s="3187"/>
      <c r="P168" s="3187"/>
      <c r="Q168" s="3187"/>
      <c r="R168" s="3187"/>
      <c r="S168" s="3187"/>
      <c r="T168" s="3187"/>
      <c r="U168" s="3187"/>
      <c r="V168" s="3187"/>
      <c r="W168" s="3187"/>
      <c r="X168" s="3187"/>
      <c r="Y168" s="3187"/>
      <c r="Z168" s="3187"/>
      <c r="AA168" s="3187"/>
      <c r="AB168" s="3187"/>
      <c r="AC168" s="3166">
        <f t="shared" si="93"/>
        <v>0</v>
      </c>
      <c r="AD168" s="3198"/>
      <c r="AE168" s="3198"/>
      <c r="AF168" s="3198"/>
      <c r="AG168" s="3198"/>
      <c r="AH168" s="3198"/>
      <c r="AI168" s="3198"/>
      <c r="AJ168" s="3198"/>
      <c r="AK168" s="3198"/>
      <c r="AL168" s="3198"/>
      <c r="AM168" s="3198"/>
      <c r="AN168" s="3198"/>
      <c r="AO168" s="3198"/>
      <c r="AP168" s="3198"/>
      <c r="AQ168" s="3198"/>
      <c r="AR168" s="3198"/>
      <c r="AS168" s="3198"/>
      <c r="AT168" s="3218"/>
      <c r="AU168" s="3219"/>
      <c r="AV168" s="488">
        <f t="shared" si="117"/>
        <v>0</v>
      </c>
      <c r="AW168" s="488">
        <f t="shared" si="118"/>
        <v>0</v>
      </c>
      <c r="AX168" s="488">
        <f t="shared" si="119"/>
        <v>0</v>
      </c>
      <c r="AY168" s="3235">
        <f t="shared" si="94"/>
        <v>0</v>
      </c>
      <c r="AZ168" s="3166">
        <f t="shared" si="95"/>
        <v>0</v>
      </c>
      <c r="BA168" s="3166">
        <f t="shared" si="96"/>
        <v>0</v>
      </c>
      <c r="BB168" s="3166">
        <f t="shared" si="97"/>
        <v>0</v>
      </c>
      <c r="BC168" s="3166">
        <f t="shared" si="98"/>
        <v>0</v>
      </c>
      <c r="BD168" s="3166">
        <f t="shared" si="99"/>
        <v>0</v>
      </c>
      <c r="BE168" s="3166">
        <f t="shared" si="100"/>
        <v>0</v>
      </c>
      <c r="BF168" s="3166">
        <f t="shared" si="101"/>
        <v>0</v>
      </c>
      <c r="BG168" s="3166">
        <f t="shared" si="102"/>
        <v>0</v>
      </c>
      <c r="BH168" s="3166">
        <f t="shared" si="103"/>
        <v>0</v>
      </c>
      <c r="BI168" s="3166">
        <f t="shared" si="104"/>
        <v>0</v>
      </c>
      <c r="BJ168" s="3166">
        <f t="shared" si="105"/>
        <v>0</v>
      </c>
      <c r="BK168" s="3166">
        <f t="shared" si="106"/>
        <v>0</v>
      </c>
      <c r="BL168" s="3166">
        <f t="shared" si="107"/>
        <v>0</v>
      </c>
      <c r="BM168" s="3166">
        <f t="shared" si="108"/>
        <v>0</v>
      </c>
      <c r="BN168" s="3166">
        <f t="shared" si="109"/>
        <v>0</v>
      </c>
      <c r="BO168" s="3166">
        <f t="shared" si="110"/>
        <v>0</v>
      </c>
      <c r="BP168" s="3166">
        <f t="shared" si="111"/>
        <v>0</v>
      </c>
      <c r="BQ168" s="3166">
        <f t="shared" si="112"/>
        <v>0</v>
      </c>
      <c r="BR168" s="3166">
        <f t="shared" si="113"/>
        <v>0</v>
      </c>
      <c r="BS168" s="3166">
        <f t="shared" si="114"/>
        <v>0</v>
      </c>
      <c r="BT168" s="3240">
        <f t="shared" si="115"/>
        <v>0</v>
      </c>
    </row>
    <row r="169" spans="1:72">
      <c r="A169" s="3163"/>
      <c r="B169" s="3164"/>
      <c r="C169" s="3164"/>
      <c r="D169" s="3176"/>
      <c r="E169" s="3166">
        <f t="shared" si="116"/>
        <v>0</v>
      </c>
      <c r="F169" s="3167"/>
      <c r="G169" s="3168">
        <f t="shared" si="91"/>
        <v>0</v>
      </c>
      <c r="H169" s="3169">
        <f t="shared" si="92"/>
        <v>0</v>
      </c>
      <c r="I169" s="3187"/>
      <c r="J169" s="3187"/>
      <c r="K169" s="3187"/>
      <c r="L169" s="3187"/>
      <c r="M169" s="3187"/>
      <c r="N169" s="3187"/>
      <c r="O169" s="3187"/>
      <c r="P169" s="3187"/>
      <c r="Q169" s="3187"/>
      <c r="R169" s="3187"/>
      <c r="S169" s="3187"/>
      <c r="T169" s="3187"/>
      <c r="U169" s="3187"/>
      <c r="V169" s="3187"/>
      <c r="W169" s="3187"/>
      <c r="X169" s="3187"/>
      <c r="Y169" s="3187"/>
      <c r="Z169" s="3187"/>
      <c r="AA169" s="3187"/>
      <c r="AB169" s="3187"/>
      <c r="AC169" s="3166">
        <f t="shared" si="93"/>
        <v>0</v>
      </c>
      <c r="AD169" s="3198"/>
      <c r="AE169" s="3198"/>
      <c r="AF169" s="3198"/>
      <c r="AG169" s="3198"/>
      <c r="AH169" s="3198"/>
      <c r="AI169" s="3198"/>
      <c r="AJ169" s="3198"/>
      <c r="AK169" s="3198"/>
      <c r="AL169" s="3198"/>
      <c r="AM169" s="3198"/>
      <c r="AN169" s="3198"/>
      <c r="AO169" s="3198"/>
      <c r="AP169" s="3198"/>
      <c r="AQ169" s="3198"/>
      <c r="AR169" s="3198"/>
      <c r="AS169" s="3198"/>
      <c r="AT169" s="3218"/>
      <c r="AU169" s="3219"/>
      <c r="AV169" s="488">
        <f t="shared" si="117"/>
        <v>0</v>
      </c>
      <c r="AW169" s="488">
        <f t="shared" si="118"/>
        <v>0</v>
      </c>
      <c r="AX169" s="488">
        <f t="shared" si="119"/>
        <v>0</v>
      </c>
      <c r="AY169" s="3235">
        <f t="shared" si="94"/>
        <v>0</v>
      </c>
      <c r="AZ169" s="3166">
        <f t="shared" si="95"/>
        <v>0</v>
      </c>
      <c r="BA169" s="3166">
        <f t="shared" si="96"/>
        <v>0</v>
      </c>
      <c r="BB169" s="3166">
        <f t="shared" si="97"/>
        <v>0</v>
      </c>
      <c r="BC169" s="3166">
        <f t="shared" si="98"/>
        <v>0</v>
      </c>
      <c r="BD169" s="3166">
        <f t="shared" si="99"/>
        <v>0</v>
      </c>
      <c r="BE169" s="3166">
        <f t="shared" si="100"/>
        <v>0</v>
      </c>
      <c r="BF169" s="3166">
        <f t="shared" si="101"/>
        <v>0</v>
      </c>
      <c r="BG169" s="3166">
        <f t="shared" si="102"/>
        <v>0</v>
      </c>
      <c r="BH169" s="3166">
        <f t="shared" si="103"/>
        <v>0</v>
      </c>
      <c r="BI169" s="3166">
        <f t="shared" si="104"/>
        <v>0</v>
      </c>
      <c r="BJ169" s="3166">
        <f t="shared" si="105"/>
        <v>0</v>
      </c>
      <c r="BK169" s="3166">
        <f t="shared" si="106"/>
        <v>0</v>
      </c>
      <c r="BL169" s="3166">
        <f t="shared" si="107"/>
        <v>0</v>
      </c>
      <c r="BM169" s="3166">
        <f t="shared" si="108"/>
        <v>0</v>
      </c>
      <c r="BN169" s="3166">
        <f t="shared" si="109"/>
        <v>0</v>
      </c>
      <c r="BO169" s="3166">
        <f t="shared" si="110"/>
        <v>0</v>
      </c>
      <c r="BP169" s="3166">
        <f t="shared" si="111"/>
        <v>0</v>
      </c>
      <c r="BQ169" s="3166">
        <f t="shared" si="112"/>
        <v>0</v>
      </c>
      <c r="BR169" s="3166">
        <f t="shared" si="113"/>
        <v>0</v>
      </c>
      <c r="BS169" s="3166">
        <f t="shared" si="114"/>
        <v>0</v>
      </c>
      <c r="BT169" s="3240">
        <f t="shared" si="115"/>
        <v>0</v>
      </c>
    </row>
    <row r="170" spans="1:72">
      <c r="A170" s="3163"/>
      <c r="B170" s="3164"/>
      <c r="C170" s="3164"/>
      <c r="D170" s="3176"/>
      <c r="E170" s="3166">
        <f t="shared" si="116"/>
        <v>0</v>
      </c>
      <c r="F170" s="3167"/>
      <c r="G170" s="3168">
        <f t="shared" si="91"/>
        <v>0</v>
      </c>
      <c r="H170" s="3169">
        <f t="shared" si="92"/>
        <v>0</v>
      </c>
      <c r="I170" s="3187"/>
      <c r="J170" s="3187"/>
      <c r="K170" s="3187"/>
      <c r="L170" s="3187"/>
      <c r="M170" s="3187"/>
      <c r="N170" s="3187"/>
      <c r="O170" s="3187"/>
      <c r="P170" s="3187"/>
      <c r="Q170" s="3187"/>
      <c r="R170" s="3187"/>
      <c r="S170" s="3187"/>
      <c r="T170" s="3187"/>
      <c r="U170" s="3187"/>
      <c r="V170" s="3187"/>
      <c r="W170" s="3187"/>
      <c r="X170" s="3187"/>
      <c r="Y170" s="3187"/>
      <c r="Z170" s="3187"/>
      <c r="AA170" s="3187"/>
      <c r="AB170" s="3187"/>
      <c r="AC170" s="3166">
        <f t="shared" si="93"/>
        <v>0</v>
      </c>
      <c r="AD170" s="3198"/>
      <c r="AE170" s="3198"/>
      <c r="AF170" s="3198"/>
      <c r="AG170" s="3198"/>
      <c r="AH170" s="3198"/>
      <c r="AI170" s="3198"/>
      <c r="AJ170" s="3198"/>
      <c r="AK170" s="3198"/>
      <c r="AL170" s="3198"/>
      <c r="AM170" s="3198"/>
      <c r="AN170" s="3198"/>
      <c r="AO170" s="3198"/>
      <c r="AP170" s="3198"/>
      <c r="AQ170" s="3198"/>
      <c r="AR170" s="3198"/>
      <c r="AS170" s="3198"/>
      <c r="AT170" s="3218"/>
      <c r="AU170" s="3219"/>
      <c r="AV170" s="488">
        <f t="shared" si="117"/>
        <v>0</v>
      </c>
      <c r="AW170" s="488">
        <f t="shared" si="118"/>
        <v>0</v>
      </c>
      <c r="AX170" s="488">
        <f t="shared" si="119"/>
        <v>0</v>
      </c>
      <c r="AY170" s="3235">
        <f t="shared" si="94"/>
        <v>0</v>
      </c>
      <c r="AZ170" s="3166">
        <f t="shared" si="95"/>
        <v>0</v>
      </c>
      <c r="BA170" s="3166">
        <f t="shared" si="96"/>
        <v>0</v>
      </c>
      <c r="BB170" s="3166">
        <f t="shared" si="97"/>
        <v>0</v>
      </c>
      <c r="BC170" s="3166">
        <f t="shared" si="98"/>
        <v>0</v>
      </c>
      <c r="BD170" s="3166">
        <f t="shared" si="99"/>
        <v>0</v>
      </c>
      <c r="BE170" s="3166">
        <f t="shared" si="100"/>
        <v>0</v>
      </c>
      <c r="BF170" s="3166">
        <f t="shared" si="101"/>
        <v>0</v>
      </c>
      <c r="BG170" s="3166">
        <f t="shared" si="102"/>
        <v>0</v>
      </c>
      <c r="BH170" s="3166">
        <f t="shared" si="103"/>
        <v>0</v>
      </c>
      <c r="BI170" s="3166">
        <f t="shared" si="104"/>
        <v>0</v>
      </c>
      <c r="BJ170" s="3166">
        <f t="shared" si="105"/>
        <v>0</v>
      </c>
      <c r="BK170" s="3166">
        <f t="shared" si="106"/>
        <v>0</v>
      </c>
      <c r="BL170" s="3166">
        <f t="shared" si="107"/>
        <v>0</v>
      </c>
      <c r="BM170" s="3166">
        <f t="shared" si="108"/>
        <v>0</v>
      </c>
      <c r="BN170" s="3166">
        <f t="shared" si="109"/>
        <v>0</v>
      </c>
      <c r="BO170" s="3166">
        <f t="shared" si="110"/>
        <v>0</v>
      </c>
      <c r="BP170" s="3166">
        <f t="shared" si="111"/>
        <v>0</v>
      </c>
      <c r="BQ170" s="3166">
        <f t="shared" si="112"/>
        <v>0</v>
      </c>
      <c r="BR170" s="3166">
        <f t="shared" si="113"/>
        <v>0</v>
      </c>
      <c r="BS170" s="3166">
        <f t="shared" si="114"/>
        <v>0</v>
      </c>
      <c r="BT170" s="3240">
        <f t="shared" si="115"/>
        <v>0</v>
      </c>
    </row>
    <row r="171" spans="1:72">
      <c r="A171" s="3163"/>
      <c r="B171" s="3164"/>
      <c r="C171" s="3164"/>
      <c r="D171" s="3176"/>
      <c r="E171" s="3166">
        <f t="shared" si="116"/>
        <v>0</v>
      </c>
      <c r="F171" s="3167"/>
      <c r="G171" s="3168">
        <f t="shared" si="91"/>
        <v>0</v>
      </c>
      <c r="H171" s="3169">
        <f t="shared" si="92"/>
        <v>0</v>
      </c>
      <c r="I171" s="3187"/>
      <c r="J171" s="3187"/>
      <c r="K171" s="3187"/>
      <c r="L171" s="3187"/>
      <c r="M171" s="3187"/>
      <c r="N171" s="3187"/>
      <c r="O171" s="3187"/>
      <c r="P171" s="3187"/>
      <c r="Q171" s="3187"/>
      <c r="R171" s="3187"/>
      <c r="S171" s="3187"/>
      <c r="T171" s="3187"/>
      <c r="U171" s="3187"/>
      <c r="V171" s="3187"/>
      <c r="W171" s="3187"/>
      <c r="X171" s="3187"/>
      <c r="Y171" s="3187"/>
      <c r="Z171" s="3187"/>
      <c r="AA171" s="3187"/>
      <c r="AB171" s="3187"/>
      <c r="AC171" s="3166">
        <f t="shared" si="93"/>
        <v>0</v>
      </c>
      <c r="AD171" s="3198"/>
      <c r="AE171" s="3198"/>
      <c r="AF171" s="3198"/>
      <c r="AG171" s="3198"/>
      <c r="AH171" s="3198"/>
      <c r="AI171" s="3198"/>
      <c r="AJ171" s="3198"/>
      <c r="AK171" s="3198"/>
      <c r="AL171" s="3198"/>
      <c r="AM171" s="3198"/>
      <c r="AN171" s="3198"/>
      <c r="AO171" s="3198"/>
      <c r="AP171" s="3198"/>
      <c r="AQ171" s="3198"/>
      <c r="AR171" s="3198"/>
      <c r="AS171" s="3198"/>
      <c r="AT171" s="3218"/>
      <c r="AU171" s="3219"/>
      <c r="AV171" s="488">
        <f t="shared" si="117"/>
        <v>0</v>
      </c>
      <c r="AW171" s="488">
        <f t="shared" si="118"/>
        <v>0</v>
      </c>
      <c r="AX171" s="488">
        <f t="shared" si="119"/>
        <v>0</v>
      </c>
      <c r="AY171" s="3235">
        <f t="shared" si="94"/>
        <v>0</v>
      </c>
      <c r="AZ171" s="3166">
        <f t="shared" si="95"/>
        <v>0</v>
      </c>
      <c r="BA171" s="3166">
        <f t="shared" si="96"/>
        <v>0</v>
      </c>
      <c r="BB171" s="3166">
        <f t="shared" si="97"/>
        <v>0</v>
      </c>
      <c r="BC171" s="3166">
        <f t="shared" si="98"/>
        <v>0</v>
      </c>
      <c r="BD171" s="3166">
        <f t="shared" si="99"/>
        <v>0</v>
      </c>
      <c r="BE171" s="3166">
        <f t="shared" si="100"/>
        <v>0</v>
      </c>
      <c r="BF171" s="3166">
        <f t="shared" si="101"/>
        <v>0</v>
      </c>
      <c r="BG171" s="3166">
        <f t="shared" si="102"/>
        <v>0</v>
      </c>
      <c r="BH171" s="3166">
        <f t="shared" si="103"/>
        <v>0</v>
      </c>
      <c r="BI171" s="3166">
        <f t="shared" si="104"/>
        <v>0</v>
      </c>
      <c r="BJ171" s="3166">
        <f t="shared" si="105"/>
        <v>0</v>
      </c>
      <c r="BK171" s="3166">
        <f t="shared" si="106"/>
        <v>0</v>
      </c>
      <c r="BL171" s="3166">
        <f t="shared" si="107"/>
        <v>0</v>
      </c>
      <c r="BM171" s="3166">
        <f t="shared" si="108"/>
        <v>0</v>
      </c>
      <c r="BN171" s="3166">
        <f t="shared" si="109"/>
        <v>0</v>
      </c>
      <c r="BO171" s="3166">
        <f t="shared" si="110"/>
        <v>0</v>
      </c>
      <c r="BP171" s="3166">
        <f t="shared" si="111"/>
        <v>0</v>
      </c>
      <c r="BQ171" s="3166">
        <f t="shared" si="112"/>
        <v>0</v>
      </c>
      <c r="BR171" s="3166">
        <f t="shared" si="113"/>
        <v>0</v>
      </c>
      <c r="BS171" s="3166">
        <f t="shared" si="114"/>
        <v>0</v>
      </c>
      <c r="BT171" s="3240">
        <f t="shared" si="115"/>
        <v>0</v>
      </c>
    </row>
    <row r="172" spans="1:72">
      <c r="A172" s="3163"/>
      <c r="B172" s="3164"/>
      <c r="C172" s="3164"/>
      <c r="D172" s="3176"/>
      <c r="E172" s="3166">
        <f t="shared" si="116"/>
        <v>0</v>
      </c>
      <c r="F172" s="3167"/>
      <c r="G172" s="3168">
        <f t="shared" si="91"/>
        <v>0</v>
      </c>
      <c r="H172" s="3169">
        <f t="shared" si="92"/>
        <v>0</v>
      </c>
      <c r="I172" s="3187"/>
      <c r="J172" s="3187"/>
      <c r="K172" s="3187"/>
      <c r="L172" s="3187"/>
      <c r="M172" s="3187"/>
      <c r="N172" s="3187"/>
      <c r="O172" s="3187"/>
      <c r="P172" s="3187"/>
      <c r="Q172" s="3187"/>
      <c r="R172" s="3187"/>
      <c r="S172" s="3187"/>
      <c r="T172" s="3187"/>
      <c r="U172" s="3187"/>
      <c r="V172" s="3187"/>
      <c r="W172" s="3187"/>
      <c r="X172" s="3187"/>
      <c r="Y172" s="3187"/>
      <c r="Z172" s="3187"/>
      <c r="AA172" s="3187"/>
      <c r="AB172" s="3187"/>
      <c r="AC172" s="3166">
        <f t="shared" si="93"/>
        <v>0</v>
      </c>
      <c r="AD172" s="3198"/>
      <c r="AE172" s="3198"/>
      <c r="AF172" s="3198"/>
      <c r="AG172" s="3198"/>
      <c r="AH172" s="3198"/>
      <c r="AI172" s="3198"/>
      <c r="AJ172" s="3198"/>
      <c r="AK172" s="3198"/>
      <c r="AL172" s="3198"/>
      <c r="AM172" s="3198"/>
      <c r="AN172" s="3198"/>
      <c r="AO172" s="3198"/>
      <c r="AP172" s="3198"/>
      <c r="AQ172" s="3198"/>
      <c r="AR172" s="3198"/>
      <c r="AS172" s="3198"/>
      <c r="AT172" s="3218"/>
      <c r="AU172" s="3219"/>
      <c r="AV172" s="488">
        <f t="shared" si="117"/>
        <v>0</v>
      </c>
      <c r="AW172" s="488">
        <f t="shared" si="118"/>
        <v>0</v>
      </c>
      <c r="AX172" s="488">
        <f t="shared" si="119"/>
        <v>0</v>
      </c>
      <c r="AY172" s="3235">
        <f t="shared" si="94"/>
        <v>0</v>
      </c>
      <c r="AZ172" s="3166">
        <f t="shared" si="95"/>
        <v>0</v>
      </c>
      <c r="BA172" s="3166">
        <f t="shared" si="96"/>
        <v>0</v>
      </c>
      <c r="BB172" s="3166">
        <f t="shared" si="97"/>
        <v>0</v>
      </c>
      <c r="BC172" s="3166">
        <f t="shared" si="98"/>
        <v>0</v>
      </c>
      <c r="BD172" s="3166">
        <f t="shared" si="99"/>
        <v>0</v>
      </c>
      <c r="BE172" s="3166">
        <f t="shared" si="100"/>
        <v>0</v>
      </c>
      <c r="BF172" s="3166">
        <f t="shared" si="101"/>
        <v>0</v>
      </c>
      <c r="BG172" s="3166">
        <f t="shared" si="102"/>
        <v>0</v>
      </c>
      <c r="BH172" s="3166">
        <f t="shared" si="103"/>
        <v>0</v>
      </c>
      <c r="BI172" s="3166">
        <f t="shared" si="104"/>
        <v>0</v>
      </c>
      <c r="BJ172" s="3166">
        <f t="shared" si="105"/>
        <v>0</v>
      </c>
      <c r="BK172" s="3166">
        <f t="shared" si="106"/>
        <v>0</v>
      </c>
      <c r="BL172" s="3166">
        <f t="shared" si="107"/>
        <v>0</v>
      </c>
      <c r="BM172" s="3166">
        <f t="shared" si="108"/>
        <v>0</v>
      </c>
      <c r="BN172" s="3166">
        <f t="shared" si="109"/>
        <v>0</v>
      </c>
      <c r="BO172" s="3166">
        <f t="shared" si="110"/>
        <v>0</v>
      </c>
      <c r="BP172" s="3166">
        <f t="shared" si="111"/>
        <v>0</v>
      </c>
      <c r="BQ172" s="3166">
        <f t="shared" si="112"/>
        <v>0</v>
      </c>
      <c r="BR172" s="3166">
        <f t="shared" si="113"/>
        <v>0</v>
      </c>
      <c r="BS172" s="3166">
        <f t="shared" si="114"/>
        <v>0</v>
      </c>
      <c r="BT172" s="3240">
        <f t="shared" si="115"/>
        <v>0</v>
      </c>
    </row>
    <row r="173" spans="1:72">
      <c r="A173" s="3163"/>
      <c r="B173" s="3164"/>
      <c r="C173" s="3164"/>
      <c r="D173" s="3176"/>
      <c r="E173" s="3166">
        <f t="shared" si="116"/>
        <v>0</v>
      </c>
      <c r="F173" s="3167"/>
      <c r="G173" s="3168">
        <f t="shared" si="91"/>
        <v>0</v>
      </c>
      <c r="H173" s="3169">
        <f t="shared" si="92"/>
        <v>0</v>
      </c>
      <c r="I173" s="3187"/>
      <c r="J173" s="3187"/>
      <c r="K173" s="3187"/>
      <c r="L173" s="3187"/>
      <c r="M173" s="3187"/>
      <c r="N173" s="3187"/>
      <c r="O173" s="3187"/>
      <c r="P173" s="3187"/>
      <c r="Q173" s="3187"/>
      <c r="R173" s="3187"/>
      <c r="S173" s="3187"/>
      <c r="T173" s="3187"/>
      <c r="U173" s="3187"/>
      <c r="V173" s="3187"/>
      <c r="W173" s="3187"/>
      <c r="X173" s="3187"/>
      <c r="Y173" s="3187"/>
      <c r="Z173" s="3187"/>
      <c r="AA173" s="3187"/>
      <c r="AB173" s="3187"/>
      <c r="AC173" s="3166">
        <f t="shared" si="93"/>
        <v>0</v>
      </c>
      <c r="AD173" s="3198"/>
      <c r="AE173" s="3198"/>
      <c r="AF173" s="3198"/>
      <c r="AG173" s="3198"/>
      <c r="AH173" s="3198"/>
      <c r="AI173" s="3198"/>
      <c r="AJ173" s="3198"/>
      <c r="AK173" s="3198"/>
      <c r="AL173" s="3198"/>
      <c r="AM173" s="3198"/>
      <c r="AN173" s="3198"/>
      <c r="AO173" s="3198"/>
      <c r="AP173" s="3198"/>
      <c r="AQ173" s="3198"/>
      <c r="AR173" s="3198"/>
      <c r="AS173" s="3198"/>
      <c r="AT173" s="3218"/>
      <c r="AU173" s="3219"/>
      <c r="AV173" s="488">
        <f t="shared" si="117"/>
        <v>0</v>
      </c>
      <c r="AW173" s="488">
        <f t="shared" si="118"/>
        <v>0</v>
      </c>
      <c r="AX173" s="488">
        <f t="shared" si="119"/>
        <v>0</v>
      </c>
      <c r="AY173" s="3235">
        <f t="shared" si="94"/>
        <v>0</v>
      </c>
      <c r="AZ173" s="3166">
        <f t="shared" si="95"/>
        <v>0</v>
      </c>
      <c r="BA173" s="3166">
        <f t="shared" si="96"/>
        <v>0</v>
      </c>
      <c r="BB173" s="3166">
        <f t="shared" si="97"/>
        <v>0</v>
      </c>
      <c r="BC173" s="3166">
        <f t="shared" si="98"/>
        <v>0</v>
      </c>
      <c r="BD173" s="3166">
        <f t="shared" si="99"/>
        <v>0</v>
      </c>
      <c r="BE173" s="3166">
        <f t="shared" si="100"/>
        <v>0</v>
      </c>
      <c r="BF173" s="3166">
        <f t="shared" si="101"/>
        <v>0</v>
      </c>
      <c r="BG173" s="3166">
        <f t="shared" si="102"/>
        <v>0</v>
      </c>
      <c r="BH173" s="3166">
        <f t="shared" si="103"/>
        <v>0</v>
      </c>
      <c r="BI173" s="3166">
        <f t="shared" si="104"/>
        <v>0</v>
      </c>
      <c r="BJ173" s="3166">
        <f t="shared" si="105"/>
        <v>0</v>
      </c>
      <c r="BK173" s="3166">
        <f t="shared" si="106"/>
        <v>0</v>
      </c>
      <c r="BL173" s="3166">
        <f t="shared" si="107"/>
        <v>0</v>
      </c>
      <c r="BM173" s="3166">
        <f t="shared" si="108"/>
        <v>0</v>
      </c>
      <c r="BN173" s="3166">
        <f t="shared" si="109"/>
        <v>0</v>
      </c>
      <c r="BO173" s="3166">
        <f t="shared" si="110"/>
        <v>0</v>
      </c>
      <c r="BP173" s="3166">
        <f t="shared" si="111"/>
        <v>0</v>
      </c>
      <c r="BQ173" s="3166">
        <f t="shared" si="112"/>
        <v>0</v>
      </c>
      <c r="BR173" s="3166">
        <f t="shared" si="113"/>
        <v>0</v>
      </c>
      <c r="BS173" s="3166">
        <f t="shared" si="114"/>
        <v>0</v>
      </c>
      <c r="BT173" s="3240">
        <f t="shared" si="115"/>
        <v>0</v>
      </c>
    </row>
    <row r="174" spans="1:72">
      <c r="A174" s="3163"/>
      <c r="B174" s="3164"/>
      <c r="C174" s="3164"/>
      <c r="D174" s="3176"/>
      <c r="E174" s="3166">
        <f t="shared" si="116"/>
        <v>0</v>
      </c>
      <c r="F174" s="3167"/>
      <c r="G174" s="3168">
        <f t="shared" ref="G174:G204" si="120">H174+AC174+AT174</f>
        <v>0</v>
      </c>
      <c r="H174" s="3169">
        <f t="shared" ref="H174:H204" si="121">SUMIF(I$12:AB$12,"总值",I174:AB174)</f>
        <v>0</v>
      </c>
      <c r="I174" s="3187"/>
      <c r="J174" s="3187"/>
      <c r="K174" s="3187"/>
      <c r="L174" s="3187"/>
      <c r="M174" s="3187"/>
      <c r="N174" s="3187"/>
      <c r="O174" s="3187"/>
      <c r="P174" s="3187"/>
      <c r="Q174" s="3187"/>
      <c r="R174" s="3187"/>
      <c r="S174" s="3187"/>
      <c r="T174" s="3187"/>
      <c r="U174" s="3187"/>
      <c r="V174" s="3187"/>
      <c r="W174" s="3187"/>
      <c r="X174" s="3187"/>
      <c r="Y174" s="3187"/>
      <c r="Z174" s="3187"/>
      <c r="AA174" s="3187"/>
      <c r="AB174" s="3187"/>
      <c r="AC174" s="3166">
        <f t="shared" ref="AC174:AC204" si="122">SUMIF(AD$12:AS$12,"总值",AD174:AS174)</f>
        <v>0</v>
      </c>
      <c r="AD174" s="3198"/>
      <c r="AE174" s="3198"/>
      <c r="AF174" s="3198"/>
      <c r="AG174" s="3198"/>
      <c r="AH174" s="3198"/>
      <c r="AI174" s="3198"/>
      <c r="AJ174" s="3198"/>
      <c r="AK174" s="3198"/>
      <c r="AL174" s="3198"/>
      <c r="AM174" s="3198"/>
      <c r="AN174" s="3198"/>
      <c r="AO174" s="3198"/>
      <c r="AP174" s="3198"/>
      <c r="AQ174" s="3198"/>
      <c r="AR174" s="3198"/>
      <c r="AS174" s="3198"/>
      <c r="AT174" s="3218"/>
      <c r="AU174" s="3219"/>
      <c r="AV174" s="488">
        <f t="shared" si="117"/>
        <v>0</v>
      </c>
      <c r="AW174" s="488">
        <f t="shared" si="118"/>
        <v>0</v>
      </c>
      <c r="AX174" s="488">
        <f t="shared" si="119"/>
        <v>0</v>
      </c>
      <c r="AY174" s="3235">
        <f t="shared" ref="AY174:AY204" si="123">ROUND($AY$6*AZ174/$AZ$5,2)</f>
        <v>0</v>
      </c>
      <c r="AZ174" s="3166">
        <f t="shared" ref="AZ174:AZ204" si="124">BA174+BL174</f>
        <v>0</v>
      </c>
      <c r="BA174" s="3166">
        <f t="shared" ref="BA174:BA204" si="125">SUM(BB174:BK174)</f>
        <v>0</v>
      </c>
      <c r="BB174" s="3166">
        <f t="shared" ref="BB174:BB204" si="126">IF($D174="是",I174-J174,0)</f>
        <v>0</v>
      </c>
      <c r="BC174" s="3166">
        <f t="shared" ref="BC174:BC204" si="127">IF($D174="是",K174-L174,0)</f>
        <v>0</v>
      </c>
      <c r="BD174" s="3166">
        <f t="shared" ref="BD174:BD204" si="128">IF($D174="是",M174-N174,0)</f>
        <v>0</v>
      </c>
      <c r="BE174" s="3166">
        <f t="shared" ref="BE174:BE204" si="129">IF($D174="是",O174-P174,0)</f>
        <v>0</v>
      </c>
      <c r="BF174" s="3166">
        <f t="shared" ref="BF174:BF204" si="130">IF($D174="是",Q174-R174,0)</f>
        <v>0</v>
      </c>
      <c r="BG174" s="3166">
        <f t="shared" ref="BG174:BG204" si="131">IF($D174="是",S174-T174,0)</f>
        <v>0</v>
      </c>
      <c r="BH174" s="3166">
        <f t="shared" ref="BH174:BH204" si="132">IF($D174="是",U174-V174,0)</f>
        <v>0</v>
      </c>
      <c r="BI174" s="3166">
        <f t="shared" ref="BI174:BI204" si="133">IF($D174="是",W174-X174,0)</f>
        <v>0</v>
      </c>
      <c r="BJ174" s="3166">
        <f t="shared" ref="BJ174:BJ204" si="134">IF($D174="是",Y174-Z174,0)</f>
        <v>0</v>
      </c>
      <c r="BK174" s="3166">
        <f t="shared" ref="BK174:BK204" si="135">IF($D174="是",AA174-AB174,0)</f>
        <v>0</v>
      </c>
      <c r="BL174" s="3166">
        <f t="shared" ref="BL174:BL204" si="136">SUM(BM174:BT174)</f>
        <v>0</v>
      </c>
      <c r="BM174" s="3166">
        <f t="shared" ref="BM174:BM204" si="137">IF($D174="是",AD174-AE174,0)</f>
        <v>0</v>
      </c>
      <c r="BN174" s="3166">
        <f t="shared" ref="BN174:BN204" si="138">IF($D174="是",AF174-AG174,0)</f>
        <v>0</v>
      </c>
      <c r="BO174" s="3166">
        <f t="shared" ref="BO174:BO204" si="139">IF($D174="是",AH174-AI174,0)</f>
        <v>0</v>
      </c>
      <c r="BP174" s="3166">
        <f t="shared" ref="BP174:BP204" si="140">IF($D174="是",AJ174-AK174,0)</f>
        <v>0</v>
      </c>
      <c r="BQ174" s="3166">
        <f t="shared" ref="BQ174:BQ204" si="141">IF($D174="是",AL174-AM174,0)</f>
        <v>0</v>
      </c>
      <c r="BR174" s="3166">
        <f t="shared" ref="BR174:BR204" si="142">IF($D174="是",AN174-AO174,0)</f>
        <v>0</v>
      </c>
      <c r="BS174" s="3166">
        <f t="shared" ref="BS174:BS204" si="143">IF($D174="是",AP174-AQ174,0)</f>
        <v>0</v>
      </c>
      <c r="BT174" s="3240">
        <f t="shared" ref="BT174:BT204" si="144">IF($D174="是",AR174-AS174,0)</f>
        <v>0</v>
      </c>
    </row>
    <row r="175" spans="1:72">
      <c r="A175" s="3163"/>
      <c r="B175" s="3164"/>
      <c r="C175" s="3164"/>
      <c r="D175" s="3176"/>
      <c r="E175" s="3166">
        <f t="shared" si="116"/>
        <v>0</v>
      </c>
      <c r="F175" s="3167"/>
      <c r="G175" s="3168">
        <f t="shared" si="120"/>
        <v>0</v>
      </c>
      <c r="H175" s="3169">
        <f t="shared" si="121"/>
        <v>0</v>
      </c>
      <c r="I175" s="3187"/>
      <c r="J175" s="3187"/>
      <c r="K175" s="3187"/>
      <c r="L175" s="3187"/>
      <c r="M175" s="3187"/>
      <c r="N175" s="3187"/>
      <c r="O175" s="3187"/>
      <c r="P175" s="3187"/>
      <c r="Q175" s="3187"/>
      <c r="R175" s="3187"/>
      <c r="S175" s="3187"/>
      <c r="T175" s="3187"/>
      <c r="U175" s="3187"/>
      <c r="V175" s="3187"/>
      <c r="W175" s="3187"/>
      <c r="X175" s="3187"/>
      <c r="Y175" s="3187"/>
      <c r="Z175" s="3187"/>
      <c r="AA175" s="3187"/>
      <c r="AB175" s="3187"/>
      <c r="AC175" s="3166">
        <f t="shared" si="122"/>
        <v>0</v>
      </c>
      <c r="AD175" s="3198"/>
      <c r="AE175" s="3198"/>
      <c r="AF175" s="3198"/>
      <c r="AG175" s="3198"/>
      <c r="AH175" s="3198"/>
      <c r="AI175" s="3198"/>
      <c r="AJ175" s="3198"/>
      <c r="AK175" s="3198"/>
      <c r="AL175" s="3198"/>
      <c r="AM175" s="3198"/>
      <c r="AN175" s="3198"/>
      <c r="AO175" s="3198"/>
      <c r="AP175" s="3198"/>
      <c r="AQ175" s="3198"/>
      <c r="AR175" s="3198"/>
      <c r="AS175" s="3198"/>
      <c r="AT175" s="3218"/>
      <c r="AU175" s="3219"/>
      <c r="AV175" s="488">
        <f t="shared" si="117"/>
        <v>0</v>
      </c>
      <c r="AW175" s="488">
        <f t="shared" si="118"/>
        <v>0</v>
      </c>
      <c r="AX175" s="488">
        <f t="shared" si="119"/>
        <v>0</v>
      </c>
      <c r="AY175" s="3235">
        <f t="shared" si="123"/>
        <v>0</v>
      </c>
      <c r="AZ175" s="3166">
        <f t="shared" si="124"/>
        <v>0</v>
      </c>
      <c r="BA175" s="3166">
        <f t="shared" si="125"/>
        <v>0</v>
      </c>
      <c r="BB175" s="3166">
        <f t="shared" si="126"/>
        <v>0</v>
      </c>
      <c r="BC175" s="3166">
        <f t="shared" si="127"/>
        <v>0</v>
      </c>
      <c r="BD175" s="3166">
        <f t="shared" si="128"/>
        <v>0</v>
      </c>
      <c r="BE175" s="3166">
        <f t="shared" si="129"/>
        <v>0</v>
      </c>
      <c r="BF175" s="3166">
        <f t="shared" si="130"/>
        <v>0</v>
      </c>
      <c r="BG175" s="3166">
        <f t="shared" si="131"/>
        <v>0</v>
      </c>
      <c r="BH175" s="3166">
        <f t="shared" si="132"/>
        <v>0</v>
      </c>
      <c r="BI175" s="3166">
        <f t="shared" si="133"/>
        <v>0</v>
      </c>
      <c r="BJ175" s="3166">
        <f t="shared" si="134"/>
        <v>0</v>
      </c>
      <c r="BK175" s="3166">
        <f t="shared" si="135"/>
        <v>0</v>
      </c>
      <c r="BL175" s="3166">
        <f t="shared" si="136"/>
        <v>0</v>
      </c>
      <c r="BM175" s="3166">
        <f t="shared" si="137"/>
        <v>0</v>
      </c>
      <c r="BN175" s="3166">
        <f t="shared" si="138"/>
        <v>0</v>
      </c>
      <c r="BO175" s="3166">
        <f t="shared" si="139"/>
        <v>0</v>
      </c>
      <c r="BP175" s="3166">
        <f t="shared" si="140"/>
        <v>0</v>
      </c>
      <c r="BQ175" s="3166">
        <f t="shared" si="141"/>
        <v>0</v>
      </c>
      <c r="BR175" s="3166">
        <f t="shared" si="142"/>
        <v>0</v>
      </c>
      <c r="BS175" s="3166">
        <f t="shared" si="143"/>
        <v>0</v>
      </c>
      <c r="BT175" s="3240">
        <f t="shared" si="144"/>
        <v>0</v>
      </c>
    </row>
    <row r="176" spans="1:72">
      <c r="A176" s="3163"/>
      <c r="B176" s="3164"/>
      <c r="C176" s="3164"/>
      <c r="D176" s="3176"/>
      <c r="E176" s="3166">
        <f t="shared" si="116"/>
        <v>0</v>
      </c>
      <c r="F176" s="3167"/>
      <c r="G176" s="3168">
        <f t="shared" si="120"/>
        <v>0</v>
      </c>
      <c r="H176" s="3169">
        <f t="shared" si="121"/>
        <v>0</v>
      </c>
      <c r="I176" s="3187"/>
      <c r="J176" s="3187"/>
      <c r="K176" s="3187"/>
      <c r="L176" s="3187"/>
      <c r="M176" s="3187"/>
      <c r="N176" s="3187"/>
      <c r="O176" s="3187"/>
      <c r="P176" s="3187"/>
      <c r="Q176" s="3187"/>
      <c r="R176" s="3187"/>
      <c r="S176" s="3187"/>
      <c r="T176" s="3187"/>
      <c r="U176" s="3187"/>
      <c r="V176" s="3187"/>
      <c r="W176" s="3187"/>
      <c r="X176" s="3187"/>
      <c r="Y176" s="3187"/>
      <c r="Z176" s="3187"/>
      <c r="AA176" s="3187"/>
      <c r="AB176" s="3187"/>
      <c r="AC176" s="3166">
        <f t="shared" si="122"/>
        <v>0</v>
      </c>
      <c r="AD176" s="3198"/>
      <c r="AE176" s="3198"/>
      <c r="AF176" s="3198"/>
      <c r="AG176" s="3198"/>
      <c r="AH176" s="3198"/>
      <c r="AI176" s="3198"/>
      <c r="AJ176" s="3198"/>
      <c r="AK176" s="3198"/>
      <c r="AL176" s="3198"/>
      <c r="AM176" s="3198"/>
      <c r="AN176" s="3198"/>
      <c r="AO176" s="3198"/>
      <c r="AP176" s="3198"/>
      <c r="AQ176" s="3198"/>
      <c r="AR176" s="3198"/>
      <c r="AS176" s="3198"/>
      <c r="AT176" s="3218"/>
      <c r="AU176" s="3219"/>
      <c r="AV176" s="488">
        <f t="shared" si="117"/>
        <v>0</v>
      </c>
      <c r="AW176" s="488">
        <f t="shared" si="118"/>
        <v>0</v>
      </c>
      <c r="AX176" s="488">
        <f t="shared" si="119"/>
        <v>0</v>
      </c>
      <c r="AY176" s="3235">
        <f t="shared" si="123"/>
        <v>0</v>
      </c>
      <c r="AZ176" s="3166">
        <f t="shared" si="124"/>
        <v>0</v>
      </c>
      <c r="BA176" s="3166">
        <f t="shared" si="125"/>
        <v>0</v>
      </c>
      <c r="BB176" s="3166">
        <f t="shared" si="126"/>
        <v>0</v>
      </c>
      <c r="BC176" s="3166">
        <f t="shared" si="127"/>
        <v>0</v>
      </c>
      <c r="BD176" s="3166">
        <f t="shared" si="128"/>
        <v>0</v>
      </c>
      <c r="BE176" s="3166">
        <f t="shared" si="129"/>
        <v>0</v>
      </c>
      <c r="BF176" s="3166">
        <f t="shared" si="130"/>
        <v>0</v>
      </c>
      <c r="BG176" s="3166">
        <f t="shared" si="131"/>
        <v>0</v>
      </c>
      <c r="BH176" s="3166">
        <f t="shared" si="132"/>
        <v>0</v>
      </c>
      <c r="BI176" s="3166">
        <f t="shared" si="133"/>
        <v>0</v>
      </c>
      <c r="BJ176" s="3166">
        <f t="shared" si="134"/>
        <v>0</v>
      </c>
      <c r="BK176" s="3166">
        <f t="shared" si="135"/>
        <v>0</v>
      </c>
      <c r="BL176" s="3166">
        <f t="shared" si="136"/>
        <v>0</v>
      </c>
      <c r="BM176" s="3166">
        <f t="shared" si="137"/>
        <v>0</v>
      </c>
      <c r="BN176" s="3166">
        <f t="shared" si="138"/>
        <v>0</v>
      </c>
      <c r="BO176" s="3166">
        <f t="shared" si="139"/>
        <v>0</v>
      </c>
      <c r="BP176" s="3166">
        <f t="shared" si="140"/>
        <v>0</v>
      </c>
      <c r="BQ176" s="3166">
        <f t="shared" si="141"/>
        <v>0</v>
      </c>
      <c r="BR176" s="3166">
        <f t="shared" si="142"/>
        <v>0</v>
      </c>
      <c r="BS176" s="3166">
        <f t="shared" si="143"/>
        <v>0</v>
      </c>
      <c r="BT176" s="3240">
        <f t="shared" si="144"/>
        <v>0</v>
      </c>
    </row>
    <row r="177" spans="1:72">
      <c r="A177" s="3163"/>
      <c r="B177" s="3164"/>
      <c r="C177" s="3164"/>
      <c r="D177" s="3176"/>
      <c r="E177" s="3166">
        <f t="shared" ref="E177:E204" si="145">IF($C$3="是",ROUND($A$3*G177/$B$3,2),ROUND($A$3*(G177-AT177)/$B$3,2))</f>
        <v>0</v>
      </c>
      <c r="F177" s="3167"/>
      <c r="G177" s="3168">
        <f t="shared" si="120"/>
        <v>0</v>
      </c>
      <c r="H177" s="3169">
        <f t="shared" si="121"/>
        <v>0</v>
      </c>
      <c r="I177" s="3187"/>
      <c r="J177" s="3187"/>
      <c r="K177" s="3187"/>
      <c r="L177" s="3187"/>
      <c r="M177" s="3187"/>
      <c r="N177" s="3187"/>
      <c r="O177" s="3187"/>
      <c r="P177" s="3187"/>
      <c r="Q177" s="3187"/>
      <c r="R177" s="3187"/>
      <c r="S177" s="3187"/>
      <c r="T177" s="3187"/>
      <c r="U177" s="3187"/>
      <c r="V177" s="3187"/>
      <c r="W177" s="3187"/>
      <c r="X177" s="3187"/>
      <c r="Y177" s="3187"/>
      <c r="Z177" s="3187"/>
      <c r="AA177" s="3187"/>
      <c r="AB177" s="3187"/>
      <c r="AC177" s="3166">
        <f t="shared" si="122"/>
        <v>0</v>
      </c>
      <c r="AD177" s="3198"/>
      <c r="AE177" s="3198"/>
      <c r="AF177" s="3198"/>
      <c r="AG177" s="3198"/>
      <c r="AH177" s="3198"/>
      <c r="AI177" s="3198"/>
      <c r="AJ177" s="3198"/>
      <c r="AK177" s="3198"/>
      <c r="AL177" s="3198"/>
      <c r="AM177" s="3198"/>
      <c r="AN177" s="3198"/>
      <c r="AO177" s="3198"/>
      <c r="AP177" s="3198"/>
      <c r="AQ177" s="3198"/>
      <c r="AR177" s="3198"/>
      <c r="AS177" s="3198"/>
      <c r="AT177" s="3218"/>
      <c r="AU177" s="3219"/>
      <c r="AV177" s="488">
        <f t="shared" ref="AV177:AV204" si="146">A177</f>
        <v>0</v>
      </c>
      <c r="AW177" s="488">
        <f t="shared" ref="AW177:AW204" si="147">B177</f>
        <v>0</v>
      </c>
      <c r="AX177" s="488">
        <f t="shared" ref="AX177:AX204" si="148">C177</f>
        <v>0</v>
      </c>
      <c r="AY177" s="3235">
        <f t="shared" si="123"/>
        <v>0</v>
      </c>
      <c r="AZ177" s="3166">
        <f t="shared" si="124"/>
        <v>0</v>
      </c>
      <c r="BA177" s="3166">
        <f t="shared" si="125"/>
        <v>0</v>
      </c>
      <c r="BB177" s="3166">
        <f t="shared" si="126"/>
        <v>0</v>
      </c>
      <c r="BC177" s="3166">
        <f t="shared" si="127"/>
        <v>0</v>
      </c>
      <c r="BD177" s="3166">
        <f t="shared" si="128"/>
        <v>0</v>
      </c>
      <c r="BE177" s="3166">
        <f t="shared" si="129"/>
        <v>0</v>
      </c>
      <c r="BF177" s="3166">
        <f t="shared" si="130"/>
        <v>0</v>
      </c>
      <c r="BG177" s="3166">
        <f t="shared" si="131"/>
        <v>0</v>
      </c>
      <c r="BH177" s="3166">
        <f t="shared" si="132"/>
        <v>0</v>
      </c>
      <c r="BI177" s="3166">
        <f t="shared" si="133"/>
        <v>0</v>
      </c>
      <c r="BJ177" s="3166">
        <f t="shared" si="134"/>
        <v>0</v>
      </c>
      <c r="BK177" s="3166">
        <f t="shared" si="135"/>
        <v>0</v>
      </c>
      <c r="BL177" s="3166">
        <f t="shared" si="136"/>
        <v>0</v>
      </c>
      <c r="BM177" s="3166">
        <f t="shared" si="137"/>
        <v>0</v>
      </c>
      <c r="BN177" s="3166">
        <f t="shared" si="138"/>
        <v>0</v>
      </c>
      <c r="BO177" s="3166">
        <f t="shared" si="139"/>
        <v>0</v>
      </c>
      <c r="BP177" s="3166">
        <f t="shared" si="140"/>
        <v>0</v>
      </c>
      <c r="BQ177" s="3166">
        <f t="shared" si="141"/>
        <v>0</v>
      </c>
      <c r="BR177" s="3166">
        <f t="shared" si="142"/>
        <v>0</v>
      </c>
      <c r="BS177" s="3166">
        <f t="shared" si="143"/>
        <v>0</v>
      </c>
      <c r="BT177" s="3240">
        <f t="shared" si="144"/>
        <v>0</v>
      </c>
    </row>
    <row r="178" spans="1:72">
      <c r="A178" s="3163"/>
      <c r="B178" s="3164"/>
      <c r="C178" s="3164"/>
      <c r="D178" s="3176"/>
      <c r="E178" s="3166">
        <f t="shared" si="145"/>
        <v>0</v>
      </c>
      <c r="F178" s="3167"/>
      <c r="G178" s="3168">
        <f t="shared" si="120"/>
        <v>0</v>
      </c>
      <c r="H178" s="3169">
        <f t="shared" si="121"/>
        <v>0</v>
      </c>
      <c r="I178" s="3187"/>
      <c r="J178" s="3187"/>
      <c r="K178" s="3187"/>
      <c r="L178" s="3187"/>
      <c r="M178" s="3187"/>
      <c r="N178" s="3187"/>
      <c r="O178" s="3187"/>
      <c r="P178" s="3187"/>
      <c r="Q178" s="3187"/>
      <c r="R178" s="3187"/>
      <c r="S178" s="3187"/>
      <c r="T178" s="3187"/>
      <c r="U178" s="3187"/>
      <c r="V178" s="3187"/>
      <c r="W178" s="3187"/>
      <c r="X178" s="3187"/>
      <c r="Y178" s="3187"/>
      <c r="Z178" s="3187"/>
      <c r="AA178" s="3187"/>
      <c r="AB178" s="3187"/>
      <c r="AC178" s="3166">
        <f t="shared" si="122"/>
        <v>0</v>
      </c>
      <c r="AD178" s="3198"/>
      <c r="AE178" s="3198"/>
      <c r="AF178" s="3198"/>
      <c r="AG178" s="3198"/>
      <c r="AH178" s="3198"/>
      <c r="AI178" s="3198"/>
      <c r="AJ178" s="3198"/>
      <c r="AK178" s="3198"/>
      <c r="AL178" s="3198"/>
      <c r="AM178" s="3198"/>
      <c r="AN178" s="3198"/>
      <c r="AO178" s="3198"/>
      <c r="AP178" s="3198"/>
      <c r="AQ178" s="3198"/>
      <c r="AR178" s="3198"/>
      <c r="AS178" s="3198"/>
      <c r="AT178" s="3218"/>
      <c r="AU178" s="3219"/>
      <c r="AV178" s="488">
        <f t="shared" si="146"/>
        <v>0</v>
      </c>
      <c r="AW178" s="488">
        <f t="shared" si="147"/>
        <v>0</v>
      </c>
      <c r="AX178" s="488">
        <f t="shared" si="148"/>
        <v>0</v>
      </c>
      <c r="AY178" s="3235">
        <f t="shared" si="123"/>
        <v>0</v>
      </c>
      <c r="AZ178" s="3166">
        <f t="shared" si="124"/>
        <v>0</v>
      </c>
      <c r="BA178" s="3166">
        <f t="shared" si="125"/>
        <v>0</v>
      </c>
      <c r="BB178" s="3166">
        <f t="shared" si="126"/>
        <v>0</v>
      </c>
      <c r="BC178" s="3166">
        <f t="shared" si="127"/>
        <v>0</v>
      </c>
      <c r="BD178" s="3166">
        <f t="shared" si="128"/>
        <v>0</v>
      </c>
      <c r="BE178" s="3166">
        <f t="shared" si="129"/>
        <v>0</v>
      </c>
      <c r="BF178" s="3166">
        <f t="shared" si="130"/>
        <v>0</v>
      </c>
      <c r="BG178" s="3166">
        <f t="shared" si="131"/>
        <v>0</v>
      </c>
      <c r="BH178" s="3166">
        <f t="shared" si="132"/>
        <v>0</v>
      </c>
      <c r="BI178" s="3166">
        <f t="shared" si="133"/>
        <v>0</v>
      </c>
      <c r="BJ178" s="3166">
        <f t="shared" si="134"/>
        <v>0</v>
      </c>
      <c r="BK178" s="3166">
        <f t="shared" si="135"/>
        <v>0</v>
      </c>
      <c r="BL178" s="3166">
        <f t="shared" si="136"/>
        <v>0</v>
      </c>
      <c r="BM178" s="3166">
        <f t="shared" si="137"/>
        <v>0</v>
      </c>
      <c r="BN178" s="3166">
        <f t="shared" si="138"/>
        <v>0</v>
      </c>
      <c r="BO178" s="3166">
        <f t="shared" si="139"/>
        <v>0</v>
      </c>
      <c r="BP178" s="3166">
        <f t="shared" si="140"/>
        <v>0</v>
      </c>
      <c r="BQ178" s="3166">
        <f t="shared" si="141"/>
        <v>0</v>
      </c>
      <c r="BR178" s="3166">
        <f t="shared" si="142"/>
        <v>0</v>
      </c>
      <c r="BS178" s="3166">
        <f t="shared" si="143"/>
        <v>0</v>
      </c>
      <c r="BT178" s="3240">
        <f t="shared" si="144"/>
        <v>0</v>
      </c>
    </row>
    <row r="179" spans="1:72">
      <c r="A179" s="3163"/>
      <c r="B179" s="3164"/>
      <c r="C179" s="3164"/>
      <c r="D179" s="3176"/>
      <c r="E179" s="3166">
        <f t="shared" si="145"/>
        <v>0</v>
      </c>
      <c r="F179" s="3167"/>
      <c r="G179" s="3168">
        <f t="shared" si="120"/>
        <v>0</v>
      </c>
      <c r="H179" s="3169">
        <f t="shared" si="121"/>
        <v>0</v>
      </c>
      <c r="I179" s="3187"/>
      <c r="J179" s="3187"/>
      <c r="K179" s="3187"/>
      <c r="L179" s="3187"/>
      <c r="M179" s="3187"/>
      <c r="N179" s="3187"/>
      <c r="O179" s="3187"/>
      <c r="P179" s="3187"/>
      <c r="Q179" s="3187"/>
      <c r="R179" s="3187"/>
      <c r="S179" s="3187"/>
      <c r="T179" s="3187"/>
      <c r="U179" s="3187"/>
      <c r="V179" s="3187"/>
      <c r="W179" s="3187"/>
      <c r="X179" s="3187"/>
      <c r="Y179" s="3187"/>
      <c r="Z179" s="3187"/>
      <c r="AA179" s="3187"/>
      <c r="AB179" s="3187"/>
      <c r="AC179" s="3166">
        <f t="shared" si="122"/>
        <v>0</v>
      </c>
      <c r="AD179" s="3198"/>
      <c r="AE179" s="3198"/>
      <c r="AF179" s="3198"/>
      <c r="AG179" s="3198"/>
      <c r="AH179" s="3198"/>
      <c r="AI179" s="3198"/>
      <c r="AJ179" s="3198"/>
      <c r="AK179" s="3198"/>
      <c r="AL179" s="3198"/>
      <c r="AM179" s="3198"/>
      <c r="AN179" s="3198"/>
      <c r="AO179" s="3198"/>
      <c r="AP179" s="3198"/>
      <c r="AQ179" s="3198"/>
      <c r="AR179" s="3198"/>
      <c r="AS179" s="3198"/>
      <c r="AT179" s="3218"/>
      <c r="AU179" s="3219"/>
      <c r="AV179" s="488">
        <f t="shared" si="146"/>
        <v>0</v>
      </c>
      <c r="AW179" s="488">
        <f t="shared" si="147"/>
        <v>0</v>
      </c>
      <c r="AX179" s="488">
        <f t="shared" si="148"/>
        <v>0</v>
      </c>
      <c r="AY179" s="3235">
        <f t="shared" si="123"/>
        <v>0</v>
      </c>
      <c r="AZ179" s="3166">
        <f t="shared" si="124"/>
        <v>0</v>
      </c>
      <c r="BA179" s="3166">
        <f t="shared" si="125"/>
        <v>0</v>
      </c>
      <c r="BB179" s="3166">
        <f t="shared" si="126"/>
        <v>0</v>
      </c>
      <c r="BC179" s="3166">
        <f t="shared" si="127"/>
        <v>0</v>
      </c>
      <c r="BD179" s="3166">
        <f t="shared" si="128"/>
        <v>0</v>
      </c>
      <c r="BE179" s="3166">
        <f t="shared" si="129"/>
        <v>0</v>
      </c>
      <c r="BF179" s="3166">
        <f t="shared" si="130"/>
        <v>0</v>
      </c>
      <c r="BG179" s="3166">
        <f t="shared" si="131"/>
        <v>0</v>
      </c>
      <c r="BH179" s="3166">
        <f t="shared" si="132"/>
        <v>0</v>
      </c>
      <c r="BI179" s="3166">
        <f t="shared" si="133"/>
        <v>0</v>
      </c>
      <c r="BJ179" s="3166">
        <f t="shared" si="134"/>
        <v>0</v>
      </c>
      <c r="BK179" s="3166">
        <f t="shared" si="135"/>
        <v>0</v>
      </c>
      <c r="BL179" s="3166">
        <f t="shared" si="136"/>
        <v>0</v>
      </c>
      <c r="BM179" s="3166">
        <f t="shared" si="137"/>
        <v>0</v>
      </c>
      <c r="BN179" s="3166">
        <f t="shared" si="138"/>
        <v>0</v>
      </c>
      <c r="BO179" s="3166">
        <f t="shared" si="139"/>
        <v>0</v>
      </c>
      <c r="BP179" s="3166">
        <f t="shared" si="140"/>
        <v>0</v>
      </c>
      <c r="BQ179" s="3166">
        <f t="shared" si="141"/>
        <v>0</v>
      </c>
      <c r="BR179" s="3166">
        <f t="shared" si="142"/>
        <v>0</v>
      </c>
      <c r="BS179" s="3166">
        <f t="shared" si="143"/>
        <v>0</v>
      </c>
      <c r="BT179" s="3240">
        <f t="shared" si="144"/>
        <v>0</v>
      </c>
    </row>
    <row r="180" spans="1:72">
      <c r="A180" s="3163"/>
      <c r="B180" s="3164"/>
      <c r="C180" s="3164"/>
      <c r="D180" s="3176"/>
      <c r="E180" s="3166">
        <f t="shared" si="145"/>
        <v>0</v>
      </c>
      <c r="F180" s="3167"/>
      <c r="G180" s="3168">
        <f t="shared" si="120"/>
        <v>0</v>
      </c>
      <c r="H180" s="3169">
        <f t="shared" si="121"/>
        <v>0</v>
      </c>
      <c r="I180" s="3187"/>
      <c r="J180" s="3187"/>
      <c r="K180" s="3187"/>
      <c r="L180" s="3187"/>
      <c r="M180" s="3187"/>
      <c r="N180" s="3187"/>
      <c r="O180" s="3187"/>
      <c r="P180" s="3187"/>
      <c r="Q180" s="3187"/>
      <c r="R180" s="3187"/>
      <c r="S180" s="3187"/>
      <c r="T180" s="3187"/>
      <c r="U180" s="3187"/>
      <c r="V180" s="3187"/>
      <c r="W180" s="3187"/>
      <c r="X180" s="3187"/>
      <c r="Y180" s="3187"/>
      <c r="Z180" s="3187"/>
      <c r="AA180" s="3187"/>
      <c r="AB180" s="3187"/>
      <c r="AC180" s="3166">
        <f t="shared" si="122"/>
        <v>0</v>
      </c>
      <c r="AD180" s="3198"/>
      <c r="AE180" s="3198"/>
      <c r="AF180" s="3198"/>
      <c r="AG180" s="3198"/>
      <c r="AH180" s="3198"/>
      <c r="AI180" s="3198"/>
      <c r="AJ180" s="3198"/>
      <c r="AK180" s="3198"/>
      <c r="AL180" s="3198"/>
      <c r="AM180" s="3198"/>
      <c r="AN180" s="3198"/>
      <c r="AO180" s="3198"/>
      <c r="AP180" s="3198"/>
      <c r="AQ180" s="3198"/>
      <c r="AR180" s="3198"/>
      <c r="AS180" s="3198"/>
      <c r="AT180" s="3218"/>
      <c r="AU180" s="3219"/>
      <c r="AV180" s="488">
        <f t="shared" si="146"/>
        <v>0</v>
      </c>
      <c r="AW180" s="488">
        <f t="shared" si="147"/>
        <v>0</v>
      </c>
      <c r="AX180" s="488">
        <f t="shared" si="148"/>
        <v>0</v>
      </c>
      <c r="AY180" s="3235">
        <f t="shared" si="123"/>
        <v>0</v>
      </c>
      <c r="AZ180" s="3166">
        <f t="shared" si="124"/>
        <v>0</v>
      </c>
      <c r="BA180" s="3166">
        <f t="shared" si="125"/>
        <v>0</v>
      </c>
      <c r="BB180" s="3166">
        <f t="shared" si="126"/>
        <v>0</v>
      </c>
      <c r="BC180" s="3166">
        <f t="shared" si="127"/>
        <v>0</v>
      </c>
      <c r="BD180" s="3166">
        <f t="shared" si="128"/>
        <v>0</v>
      </c>
      <c r="BE180" s="3166">
        <f t="shared" si="129"/>
        <v>0</v>
      </c>
      <c r="BF180" s="3166">
        <f t="shared" si="130"/>
        <v>0</v>
      </c>
      <c r="BG180" s="3166">
        <f t="shared" si="131"/>
        <v>0</v>
      </c>
      <c r="BH180" s="3166">
        <f t="shared" si="132"/>
        <v>0</v>
      </c>
      <c r="BI180" s="3166">
        <f t="shared" si="133"/>
        <v>0</v>
      </c>
      <c r="BJ180" s="3166">
        <f t="shared" si="134"/>
        <v>0</v>
      </c>
      <c r="BK180" s="3166">
        <f t="shared" si="135"/>
        <v>0</v>
      </c>
      <c r="BL180" s="3166">
        <f t="shared" si="136"/>
        <v>0</v>
      </c>
      <c r="BM180" s="3166">
        <f t="shared" si="137"/>
        <v>0</v>
      </c>
      <c r="BN180" s="3166">
        <f t="shared" si="138"/>
        <v>0</v>
      </c>
      <c r="BO180" s="3166">
        <f t="shared" si="139"/>
        <v>0</v>
      </c>
      <c r="BP180" s="3166">
        <f t="shared" si="140"/>
        <v>0</v>
      </c>
      <c r="BQ180" s="3166">
        <f t="shared" si="141"/>
        <v>0</v>
      </c>
      <c r="BR180" s="3166">
        <f t="shared" si="142"/>
        <v>0</v>
      </c>
      <c r="BS180" s="3166">
        <f t="shared" si="143"/>
        <v>0</v>
      </c>
      <c r="BT180" s="3240">
        <f t="shared" si="144"/>
        <v>0</v>
      </c>
    </row>
    <row r="181" spans="1:72">
      <c r="A181" s="3163"/>
      <c r="B181" s="3164"/>
      <c r="C181" s="3164"/>
      <c r="D181" s="3176"/>
      <c r="E181" s="3166">
        <f t="shared" si="145"/>
        <v>0</v>
      </c>
      <c r="F181" s="3167"/>
      <c r="G181" s="3168">
        <f t="shared" si="120"/>
        <v>0</v>
      </c>
      <c r="H181" s="3169">
        <f t="shared" si="121"/>
        <v>0</v>
      </c>
      <c r="I181" s="3187"/>
      <c r="J181" s="3187"/>
      <c r="K181" s="3187"/>
      <c r="L181" s="3187"/>
      <c r="M181" s="3187"/>
      <c r="N181" s="3187"/>
      <c r="O181" s="3187"/>
      <c r="P181" s="3187"/>
      <c r="Q181" s="3187"/>
      <c r="R181" s="3187"/>
      <c r="S181" s="3187"/>
      <c r="T181" s="3187"/>
      <c r="U181" s="3187"/>
      <c r="V181" s="3187"/>
      <c r="W181" s="3187"/>
      <c r="X181" s="3187"/>
      <c r="Y181" s="3187"/>
      <c r="Z181" s="3187"/>
      <c r="AA181" s="3187"/>
      <c r="AB181" s="3187"/>
      <c r="AC181" s="3166">
        <f t="shared" si="122"/>
        <v>0</v>
      </c>
      <c r="AD181" s="3198"/>
      <c r="AE181" s="3198"/>
      <c r="AF181" s="3198"/>
      <c r="AG181" s="3198"/>
      <c r="AH181" s="3198"/>
      <c r="AI181" s="3198"/>
      <c r="AJ181" s="3198"/>
      <c r="AK181" s="3198"/>
      <c r="AL181" s="3198"/>
      <c r="AM181" s="3198"/>
      <c r="AN181" s="3198"/>
      <c r="AO181" s="3198"/>
      <c r="AP181" s="3198"/>
      <c r="AQ181" s="3198"/>
      <c r="AR181" s="3198"/>
      <c r="AS181" s="3198"/>
      <c r="AT181" s="3218"/>
      <c r="AU181" s="3219"/>
      <c r="AV181" s="488">
        <f t="shared" si="146"/>
        <v>0</v>
      </c>
      <c r="AW181" s="488">
        <f t="shared" si="147"/>
        <v>0</v>
      </c>
      <c r="AX181" s="488">
        <f t="shared" si="148"/>
        <v>0</v>
      </c>
      <c r="AY181" s="3235">
        <f t="shared" si="123"/>
        <v>0</v>
      </c>
      <c r="AZ181" s="3166">
        <f t="shared" si="124"/>
        <v>0</v>
      </c>
      <c r="BA181" s="3166">
        <f t="shared" si="125"/>
        <v>0</v>
      </c>
      <c r="BB181" s="3166">
        <f t="shared" si="126"/>
        <v>0</v>
      </c>
      <c r="BC181" s="3166">
        <f t="shared" si="127"/>
        <v>0</v>
      </c>
      <c r="BD181" s="3166">
        <f t="shared" si="128"/>
        <v>0</v>
      </c>
      <c r="BE181" s="3166">
        <f t="shared" si="129"/>
        <v>0</v>
      </c>
      <c r="BF181" s="3166">
        <f t="shared" si="130"/>
        <v>0</v>
      </c>
      <c r="BG181" s="3166">
        <f t="shared" si="131"/>
        <v>0</v>
      </c>
      <c r="BH181" s="3166">
        <f t="shared" si="132"/>
        <v>0</v>
      </c>
      <c r="BI181" s="3166">
        <f t="shared" si="133"/>
        <v>0</v>
      </c>
      <c r="BJ181" s="3166">
        <f t="shared" si="134"/>
        <v>0</v>
      </c>
      <c r="BK181" s="3166">
        <f t="shared" si="135"/>
        <v>0</v>
      </c>
      <c r="BL181" s="3166">
        <f t="shared" si="136"/>
        <v>0</v>
      </c>
      <c r="BM181" s="3166">
        <f t="shared" si="137"/>
        <v>0</v>
      </c>
      <c r="BN181" s="3166">
        <f t="shared" si="138"/>
        <v>0</v>
      </c>
      <c r="BO181" s="3166">
        <f t="shared" si="139"/>
        <v>0</v>
      </c>
      <c r="BP181" s="3166">
        <f t="shared" si="140"/>
        <v>0</v>
      </c>
      <c r="BQ181" s="3166">
        <f t="shared" si="141"/>
        <v>0</v>
      </c>
      <c r="BR181" s="3166">
        <f t="shared" si="142"/>
        <v>0</v>
      </c>
      <c r="BS181" s="3166">
        <f t="shared" si="143"/>
        <v>0</v>
      </c>
      <c r="BT181" s="3240">
        <f t="shared" si="144"/>
        <v>0</v>
      </c>
    </row>
    <row r="182" spans="1:72">
      <c r="A182" s="3163"/>
      <c r="B182" s="3164"/>
      <c r="C182" s="3164"/>
      <c r="D182" s="3176"/>
      <c r="E182" s="3166">
        <f t="shared" si="145"/>
        <v>0</v>
      </c>
      <c r="F182" s="3167"/>
      <c r="G182" s="3168">
        <f t="shared" si="120"/>
        <v>0</v>
      </c>
      <c r="H182" s="3169">
        <f t="shared" si="121"/>
        <v>0</v>
      </c>
      <c r="I182" s="3187"/>
      <c r="J182" s="3187"/>
      <c r="K182" s="3187"/>
      <c r="L182" s="3187"/>
      <c r="M182" s="3187"/>
      <c r="N182" s="3187"/>
      <c r="O182" s="3187"/>
      <c r="P182" s="3187"/>
      <c r="Q182" s="3187"/>
      <c r="R182" s="3187"/>
      <c r="S182" s="3187"/>
      <c r="T182" s="3187"/>
      <c r="U182" s="3187"/>
      <c r="V182" s="3187"/>
      <c r="W182" s="3187"/>
      <c r="X182" s="3187"/>
      <c r="Y182" s="3187"/>
      <c r="Z182" s="3187"/>
      <c r="AA182" s="3187"/>
      <c r="AB182" s="3187"/>
      <c r="AC182" s="3166">
        <f t="shared" si="122"/>
        <v>0</v>
      </c>
      <c r="AD182" s="3198"/>
      <c r="AE182" s="3198"/>
      <c r="AF182" s="3198"/>
      <c r="AG182" s="3198"/>
      <c r="AH182" s="3198"/>
      <c r="AI182" s="3198"/>
      <c r="AJ182" s="3198"/>
      <c r="AK182" s="3198"/>
      <c r="AL182" s="3198"/>
      <c r="AM182" s="3198"/>
      <c r="AN182" s="3198"/>
      <c r="AO182" s="3198"/>
      <c r="AP182" s="3198"/>
      <c r="AQ182" s="3198"/>
      <c r="AR182" s="3198"/>
      <c r="AS182" s="3198"/>
      <c r="AT182" s="3218"/>
      <c r="AU182" s="3219"/>
      <c r="AV182" s="488">
        <f t="shared" si="146"/>
        <v>0</v>
      </c>
      <c r="AW182" s="488">
        <f t="shared" si="147"/>
        <v>0</v>
      </c>
      <c r="AX182" s="488">
        <f t="shared" si="148"/>
        <v>0</v>
      </c>
      <c r="AY182" s="3235">
        <f t="shared" si="123"/>
        <v>0</v>
      </c>
      <c r="AZ182" s="3166">
        <f t="shared" si="124"/>
        <v>0</v>
      </c>
      <c r="BA182" s="3166">
        <f t="shared" si="125"/>
        <v>0</v>
      </c>
      <c r="BB182" s="3166">
        <f t="shared" si="126"/>
        <v>0</v>
      </c>
      <c r="BC182" s="3166">
        <f t="shared" si="127"/>
        <v>0</v>
      </c>
      <c r="BD182" s="3166">
        <f t="shared" si="128"/>
        <v>0</v>
      </c>
      <c r="BE182" s="3166">
        <f t="shared" si="129"/>
        <v>0</v>
      </c>
      <c r="BF182" s="3166">
        <f t="shared" si="130"/>
        <v>0</v>
      </c>
      <c r="BG182" s="3166">
        <f t="shared" si="131"/>
        <v>0</v>
      </c>
      <c r="BH182" s="3166">
        <f t="shared" si="132"/>
        <v>0</v>
      </c>
      <c r="BI182" s="3166">
        <f t="shared" si="133"/>
        <v>0</v>
      </c>
      <c r="BJ182" s="3166">
        <f t="shared" si="134"/>
        <v>0</v>
      </c>
      <c r="BK182" s="3166">
        <f t="shared" si="135"/>
        <v>0</v>
      </c>
      <c r="BL182" s="3166">
        <f t="shared" si="136"/>
        <v>0</v>
      </c>
      <c r="BM182" s="3166">
        <f t="shared" si="137"/>
        <v>0</v>
      </c>
      <c r="BN182" s="3166">
        <f t="shared" si="138"/>
        <v>0</v>
      </c>
      <c r="BO182" s="3166">
        <f t="shared" si="139"/>
        <v>0</v>
      </c>
      <c r="BP182" s="3166">
        <f t="shared" si="140"/>
        <v>0</v>
      </c>
      <c r="BQ182" s="3166">
        <f t="shared" si="141"/>
        <v>0</v>
      </c>
      <c r="BR182" s="3166">
        <f t="shared" si="142"/>
        <v>0</v>
      </c>
      <c r="BS182" s="3166">
        <f t="shared" si="143"/>
        <v>0</v>
      </c>
      <c r="BT182" s="3240">
        <f t="shared" si="144"/>
        <v>0</v>
      </c>
    </row>
    <row r="183" spans="1:72">
      <c r="A183" s="3163"/>
      <c r="B183" s="3164"/>
      <c r="C183" s="3164"/>
      <c r="D183" s="3176"/>
      <c r="E183" s="3166">
        <f t="shared" si="145"/>
        <v>0</v>
      </c>
      <c r="F183" s="3167"/>
      <c r="G183" s="3168">
        <f t="shared" si="120"/>
        <v>0</v>
      </c>
      <c r="H183" s="3169">
        <f t="shared" si="121"/>
        <v>0</v>
      </c>
      <c r="I183" s="3187"/>
      <c r="J183" s="3187"/>
      <c r="K183" s="3187"/>
      <c r="L183" s="3187"/>
      <c r="M183" s="3187"/>
      <c r="N183" s="3187"/>
      <c r="O183" s="3187"/>
      <c r="P183" s="3187"/>
      <c r="Q183" s="3187"/>
      <c r="R183" s="3187"/>
      <c r="S183" s="3187"/>
      <c r="T183" s="3187"/>
      <c r="U183" s="3187"/>
      <c r="V183" s="3187"/>
      <c r="W183" s="3187"/>
      <c r="X183" s="3187"/>
      <c r="Y183" s="3187"/>
      <c r="Z183" s="3187"/>
      <c r="AA183" s="3187"/>
      <c r="AB183" s="3187"/>
      <c r="AC183" s="3166">
        <f t="shared" si="122"/>
        <v>0</v>
      </c>
      <c r="AD183" s="3198"/>
      <c r="AE183" s="3198"/>
      <c r="AF183" s="3198"/>
      <c r="AG183" s="3198"/>
      <c r="AH183" s="3198"/>
      <c r="AI183" s="3198"/>
      <c r="AJ183" s="3198"/>
      <c r="AK183" s="3198"/>
      <c r="AL183" s="3198"/>
      <c r="AM183" s="3198"/>
      <c r="AN183" s="3198"/>
      <c r="AO183" s="3198"/>
      <c r="AP183" s="3198"/>
      <c r="AQ183" s="3198"/>
      <c r="AR183" s="3198"/>
      <c r="AS183" s="3198"/>
      <c r="AT183" s="3218"/>
      <c r="AU183" s="3219"/>
      <c r="AV183" s="488">
        <f t="shared" si="146"/>
        <v>0</v>
      </c>
      <c r="AW183" s="488">
        <f t="shared" si="147"/>
        <v>0</v>
      </c>
      <c r="AX183" s="488">
        <f t="shared" si="148"/>
        <v>0</v>
      </c>
      <c r="AY183" s="3235">
        <f t="shared" si="123"/>
        <v>0</v>
      </c>
      <c r="AZ183" s="3166">
        <f t="shared" si="124"/>
        <v>0</v>
      </c>
      <c r="BA183" s="3166">
        <f t="shared" si="125"/>
        <v>0</v>
      </c>
      <c r="BB183" s="3166">
        <f t="shared" si="126"/>
        <v>0</v>
      </c>
      <c r="BC183" s="3166">
        <f t="shared" si="127"/>
        <v>0</v>
      </c>
      <c r="BD183" s="3166">
        <f t="shared" si="128"/>
        <v>0</v>
      </c>
      <c r="BE183" s="3166">
        <f t="shared" si="129"/>
        <v>0</v>
      </c>
      <c r="BF183" s="3166">
        <f t="shared" si="130"/>
        <v>0</v>
      </c>
      <c r="BG183" s="3166">
        <f t="shared" si="131"/>
        <v>0</v>
      </c>
      <c r="BH183" s="3166">
        <f t="shared" si="132"/>
        <v>0</v>
      </c>
      <c r="BI183" s="3166">
        <f t="shared" si="133"/>
        <v>0</v>
      </c>
      <c r="BJ183" s="3166">
        <f t="shared" si="134"/>
        <v>0</v>
      </c>
      <c r="BK183" s="3166">
        <f t="shared" si="135"/>
        <v>0</v>
      </c>
      <c r="BL183" s="3166">
        <f t="shared" si="136"/>
        <v>0</v>
      </c>
      <c r="BM183" s="3166">
        <f t="shared" si="137"/>
        <v>0</v>
      </c>
      <c r="BN183" s="3166">
        <f t="shared" si="138"/>
        <v>0</v>
      </c>
      <c r="BO183" s="3166">
        <f t="shared" si="139"/>
        <v>0</v>
      </c>
      <c r="BP183" s="3166">
        <f t="shared" si="140"/>
        <v>0</v>
      </c>
      <c r="BQ183" s="3166">
        <f t="shared" si="141"/>
        <v>0</v>
      </c>
      <c r="BR183" s="3166">
        <f t="shared" si="142"/>
        <v>0</v>
      </c>
      <c r="BS183" s="3166">
        <f t="shared" si="143"/>
        <v>0</v>
      </c>
      <c r="BT183" s="3240">
        <f t="shared" si="144"/>
        <v>0</v>
      </c>
    </row>
    <row r="184" spans="1:72">
      <c r="A184" s="3163"/>
      <c r="B184" s="3164"/>
      <c r="C184" s="3164"/>
      <c r="D184" s="3176"/>
      <c r="E184" s="3166">
        <f t="shared" si="145"/>
        <v>0</v>
      </c>
      <c r="F184" s="3167"/>
      <c r="G184" s="3168">
        <f t="shared" si="120"/>
        <v>0</v>
      </c>
      <c r="H184" s="3169">
        <f t="shared" si="121"/>
        <v>0</v>
      </c>
      <c r="I184" s="3187"/>
      <c r="J184" s="3187"/>
      <c r="K184" s="3187"/>
      <c r="L184" s="3187"/>
      <c r="M184" s="3187"/>
      <c r="N184" s="3187"/>
      <c r="O184" s="3187"/>
      <c r="P184" s="3187"/>
      <c r="Q184" s="3187"/>
      <c r="R184" s="3187"/>
      <c r="S184" s="3187"/>
      <c r="T184" s="3187"/>
      <c r="U184" s="3187"/>
      <c r="V184" s="3187"/>
      <c r="W184" s="3187"/>
      <c r="X184" s="3187"/>
      <c r="Y184" s="3187"/>
      <c r="Z184" s="3187"/>
      <c r="AA184" s="3187"/>
      <c r="AB184" s="3187"/>
      <c r="AC184" s="3166">
        <f t="shared" si="122"/>
        <v>0</v>
      </c>
      <c r="AD184" s="3198"/>
      <c r="AE184" s="3198"/>
      <c r="AF184" s="3198"/>
      <c r="AG184" s="3198"/>
      <c r="AH184" s="3198"/>
      <c r="AI184" s="3198"/>
      <c r="AJ184" s="3198"/>
      <c r="AK184" s="3198"/>
      <c r="AL184" s="3198"/>
      <c r="AM184" s="3198"/>
      <c r="AN184" s="3198"/>
      <c r="AO184" s="3198"/>
      <c r="AP184" s="3198"/>
      <c r="AQ184" s="3198"/>
      <c r="AR184" s="3198"/>
      <c r="AS184" s="3198"/>
      <c r="AT184" s="3218"/>
      <c r="AU184" s="3219"/>
      <c r="AV184" s="488">
        <f t="shared" si="146"/>
        <v>0</v>
      </c>
      <c r="AW184" s="488">
        <f t="shared" si="147"/>
        <v>0</v>
      </c>
      <c r="AX184" s="488">
        <f t="shared" si="148"/>
        <v>0</v>
      </c>
      <c r="AY184" s="3235">
        <f t="shared" si="123"/>
        <v>0</v>
      </c>
      <c r="AZ184" s="3166">
        <f t="shared" si="124"/>
        <v>0</v>
      </c>
      <c r="BA184" s="3166">
        <f t="shared" si="125"/>
        <v>0</v>
      </c>
      <c r="BB184" s="3166">
        <f t="shared" si="126"/>
        <v>0</v>
      </c>
      <c r="BC184" s="3166">
        <f t="shared" si="127"/>
        <v>0</v>
      </c>
      <c r="BD184" s="3166">
        <f t="shared" si="128"/>
        <v>0</v>
      </c>
      <c r="BE184" s="3166">
        <f t="shared" si="129"/>
        <v>0</v>
      </c>
      <c r="BF184" s="3166">
        <f t="shared" si="130"/>
        <v>0</v>
      </c>
      <c r="BG184" s="3166">
        <f t="shared" si="131"/>
        <v>0</v>
      </c>
      <c r="BH184" s="3166">
        <f t="shared" si="132"/>
        <v>0</v>
      </c>
      <c r="BI184" s="3166">
        <f t="shared" si="133"/>
        <v>0</v>
      </c>
      <c r="BJ184" s="3166">
        <f t="shared" si="134"/>
        <v>0</v>
      </c>
      <c r="BK184" s="3166">
        <f t="shared" si="135"/>
        <v>0</v>
      </c>
      <c r="BL184" s="3166">
        <f t="shared" si="136"/>
        <v>0</v>
      </c>
      <c r="BM184" s="3166">
        <f t="shared" si="137"/>
        <v>0</v>
      </c>
      <c r="BN184" s="3166">
        <f t="shared" si="138"/>
        <v>0</v>
      </c>
      <c r="BO184" s="3166">
        <f t="shared" si="139"/>
        <v>0</v>
      </c>
      <c r="BP184" s="3166">
        <f t="shared" si="140"/>
        <v>0</v>
      </c>
      <c r="BQ184" s="3166">
        <f t="shared" si="141"/>
        <v>0</v>
      </c>
      <c r="BR184" s="3166">
        <f t="shared" si="142"/>
        <v>0</v>
      </c>
      <c r="BS184" s="3166">
        <f t="shared" si="143"/>
        <v>0</v>
      </c>
      <c r="BT184" s="3240">
        <f t="shared" si="144"/>
        <v>0</v>
      </c>
    </row>
    <row r="185" spans="1:72">
      <c r="A185" s="3163"/>
      <c r="B185" s="3164"/>
      <c r="C185" s="3164"/>
      <c r="D185" s="3176"/>
      <c r="E185" s="3166">
        <f t="shared" si="145"/>
        <v>0</v>
      </c>
      <c r="F185" s="3167"/>
      <c r="G185" s="3168">
        <f t="shared" si="120"/>
        <v>0</v>
      </c>
      <c r="H185" s="3169">
        <f t="shared" si="121"/>
        <v>0</v>
      </c>
      <c r="I185" s="3187"/>
      <c r="J185" s="3187"/>
      <c r="K185" s="3187"/>
      <c r="L185" s="3187"/>
      <c r="M185" s="3187"/>
      <c r="N185" s="3187"/>
      <c r="O185" s="3187"/>
      <c r="P185" s="3187"/>
      <c r="Q185" s="3187"/>
      <c r="R185" s="3187"/>
      <c r="S185" s="3187"/>
      <c r="T185" s="3187"/>
      <c r="U185" s="3187"/>
      <c r="V185" s="3187"/>
      <c r="W185" s="3187"/>
      <c r="X185" s="3187"/>
      <c r="Y185" s="3187"/>
      <c r="Z185" s="3187"/>
      <c r="AA185" s="3187"/>
      <c r="AB185" s="3187"/>
      <c r="AC185" s="3166">
        <f t="shared" si="122"/>
        <v>0</v>
      </c>
      <c r="AD185" s="3198"/>
      <c r="AE185" s="3198"/>
      <c r="AF185" s="3198"/>
      <c r="AG185" s="3198"/>
      <c r="AH185" s="3198"/>
      <c r="AI185" s="3198"/>
      <c r="AJ185" s="3198"/>
      <c r="AK185" s="3198"/>
      <c r="AL185" s="3198"/>
      <c r="AM185" s="3198"/>
      <c r="AN185" s="3198"/>
      <c r="AO185" s="3198"/>
      <c r="AP185" s="3198"/>
      <c r="AQ185" s="3198"/>
      <c r="AR185" s="3198"/>
      <c r="AS185" s="3198"/>
      <c r="AT185" s="3218"/>
      <c r="AU185" s="3219"/>
      <c r="AV185" s="488">
        <f t="shared" si="146"/>
        <v>0</v>
      </c>
      <c r="AW185" s="488">
        <f t="shared" si="147"/>
        <v>0</v>
      </c>
      <c r="AX185" s="488">
        <f t="shared" si="148"/>
        <v>0</v>
      </c>
      <c r="AY185" s="3235">
        <f t="shared" si="123"/>
        <v>0</v>
      </c>
      <c r="AZ185" s="3166">
        <f t="shared" si="124"/>
        <v>0</v>
      </c>
      <c r="BA185" s="3166">
        <f t="shared" si="125"/>
        <v>0</v>
      </c>
      <c r="BB185" s="3166">
        <f t="shared" si="126"/>
        <v>0</v>
      </c>
      <c r="BC185" s="3166">
        <f t="shared" si="127"/>
        <v>0</v>
      </c>
      <c r="BD185" s="3166">
        <f t="shared" si="128"/>
        <v>0</v>
      </c>
      <c r="BE185" s="3166">
        <f t="shared" si="129"/>
        <v>0</v>
      </c>
      <c r="BF185" s="3166">
        <f t="shared" si="130"/>
        <v>0</v>
      </c>
      <c r="BG185" s="3166">
        <f t="shared" si="131"/>
        <v>0</v>
      </c>
      <c r="BH185" s="3166">
        <f t="shared" si="132"/>
        <v>0</v>
      </c>
      <c r="BI185" s="3166">
        <f t="shared" si="133"/>
        <v>0</v>
      </c>
      <c r="BJ185" s="3166">
        <f t="shared" si="134"/>
        <v>0</v>
      </c>
      <c r="BK185" s="3166">
        <f t="shared" si="135"/>
        <v>0</v>
      </c>
      <c r="BL185" s="3166">
        <f t="shared" si="136"/>
        <v>0</v>
      </c>
      <c r="BM185" s="3166">
        <f t="shared" si="137"/>
        <v>0</v>
      </c>
      <c r="BN185" s="3166">
        <f t="shared" si="138"/>
        <v>0</v>
      </c>
      <c r="BO185" s="3166">
        <f t="shared" si="139"/>
        <v>0</v>
      </c>
      <c r="BP185" s="3166">
        <f t="shared" si="140"/>
        <v>0</v>
      </c>
      <c r="BQ185" s="3166">
        <f t="shared" si="141"/>
        <v>0</v>
      </c>
      <c r="BR185" s="3166">
        <f t="shared" si="142"/>
        <v>0</v>
      </c>
      <c r="BS185" s="3166">
        <f t="shared" si="143"/>
        <v>0</v>
      </c>
      <c r="BT185" s="3240">
        <f t="shared" si="144"/>
        <v>0</v>
      </c>
    </row>
    <row r="186" spans="1:72">
      <c r="A186" s="3163"/>
      <c r="B186" s="3164"/>
      <c r="C186" s="3164"/>
      <c r="D186" s="3176"/>
      <c r="E186" s="3166">
        <f t="shared" si="145"/>
        <v>0</v>
      </c>
      <c r="F186" s="3167"/>
      <c r="G186" s="3168">
        <f t="shared" si="120"/>
        <v>0</v>
      </c>
      <c r="H186" s="3169">
        <f t="shared" si="121"/>
        <v>0</v>
      </c>
      <c r="I186" s="3187"/>
      <c r="J186" s="3187"/>
      <c r="K186" s="3187"/>
      <c r="L186" s="3187"/>
      <c r="M186" s="3187"/>
      <c r="N186" s="3187"/>
      <c r="O186" s="3187"/>
      <c r="P186" s="3187"/>
      <c r="Q186" s="3187"/>
      <c r="R186" s="3187"/>
      <c r="S186" s="3187"/>
      <c r="T186" s="3187"/>
      <c r="U186" s="3187"/>
      <c r="V186" s="3187"/>
      <c r="W186" s="3187"/>
      <c r="X186" s="3187"/>
      <c r="Y186" s="3187"/>
      <c r="Z186" s="3187"/>
      <c r="AA186" s="3187"/>
      <c r="AB186" s="3187"/>
      <c r="AC186" s="3166">
        <f t="shared" si="122"/>
        <v>0</v>
      </c>
      <c r="AD186" s="3198"/>
      <c r="AE186" s="3198"/>
      <c r="AF186" s="3198"/>
      <c r="AG186" s="3198"/>
      <c r="AH186" s="3198"/>
      <c r="AI186" s="3198"/>
      <c r="AJ186" s="3198"/>
      <c r="AK186" s="3198"/>
      <c r="AL186" s="3198"/>
      <c r="AM186" s="3198"/>
      <c r="AN186" s="3198"/>
      <c r="AO186" s="3198"/>
      <c r="AP186" s="3198"/>
      <c r="AQ186" s="3198"/>
      <c r="AR186" s="3198"/>
      <c r="AS186" s="3198"/>
      <c r="AT186" s="3218"/>
      <c r="AU186" s="3219"/>
      <c r="AV186" s="488">
        <f t="shared" si="146"/>
        <v>0</v>
      </c>
      <c r="AW186" s="488">
        <f t="shared" si="147"/>
        <v>0</v>
      </c>
      <c r="AX186" s="488">
        <f t="shared" si="148"/>
        <v>0</v>
      </c>
      <c r="AY186" s="3235">
        <f t="shared" si="123"/>
        <v>0</v>
      </c>
      <c r="AZ186" s="3166">
        <f t="shared" si="124"/>
        <v>0</v>
      </c>
      <c r="BA186" s="3166">
        <f t="shared" si="125"/>
        <v>0</v>
      </c>
      <c r="BB186" s="3166">
        <f t="shared" si="126"/>
        <v>0</v>
      </c>
      <c r="BC186" s="3166">
        <f t="shared" si="127"/>
        <v>0</v>
      </c>
      <c r="BD186" s="3166">
        <f t="shared" si="128"/>
        <v>0</v>
      </c>
      <c r="BE186" s="3166">
        <f t="shared" si="129"/>
        <v>0</v>
      </c>
      <c r="BF186" s="3166">
        <f t="shared" si="130"/>
        <v>0</v>
      </c>
      <c r="BG186" s="3166">
        <f t="shared" si="131"/>
        <v>0</v>
      </c>
      <c r="BH186" s="3166">
        <f t="shared" si="132"/>
        <v>0</v>
      </c>
      <c r="BI186" s="3166">
        <f t="shared" si="133"/>
        <v>0</v>
      </c>
      <c r="BJ186" s="3166">
        <f t="shared" si="134"/>
        <v>0</v>
      </c>
      <c r="BK186" s="3166">
        <f t="shared" si="135"/>
        <v>0</v>
      </c>
      <c r="BL186" s="3166">
        <f t="shared" si="136"/>
        <v>0</v>
      </c>
      <c r="BM186" s="3166">
        <f t="shared" si="137"/>
        <v>0</v>
      </c>
      <c r="BN186" s="3166">
        <f t="shared" si="138"/>
        <v>0</v>
      </c>
      <c r="BO186" s="3166">
        <f t="shared" si="139"/>
        <v>0</v>
      </c>
      <c r="BP186" s="3166">
        <f t="shared" si="140"/>
        <v>0</v>
      </c>
      <c r="BQ186" s="3166">
        <f t="shared" si="141"/>
        <v>0</v>
      </c>
      <c r="BR186" s="3166">
        <f t="shared" si="142"/>
        <v>0</v>
      </c>
      <c r="BS186" s="3166">
        <f t="shared" si="143"/>
        <v>0</v>
      </c>
      <c r="BT186" s="3240">
        <f t="shared" si="144"/>
        <v>0</v>
      </c>
    </row>
    <row r="187" spans="1:72">
      <c r="A187" s="3163"/>
      <c r="B187" s="3164"/>
      <c r="C187" s="3164"/>
      <c r="D187" s="3176"/>
      <c r="E187" s="3166">
        <f t="shared" si="145"/>
        <v>0</v>
      </c>
      <c r="F187" s="3167"/>
      <c r="G187" s="3168">
        <f t="shared" si="120"/>
        <v>0</v>
      </c>
      <c r="H187" s="3169">
        <f t="shared" si="121"/>
        <v>0</v>
      </c>
      <c r="I187" s="3187"/>
      <c r="J187" s="3187"/>
      <c r="K187" s="3187"/>
      <c r="L187" s="3187"/>
      <c r="M187" s="3187"/>
      <c r="N187" s="3187"/>
      <c r="O187" s="3187"/>
      <c r="P187" s="3187"/>
      <c r="Q187" s="3187"/>
      <c r="R187" s="3187"/>
      <c r="S187" s="3187"/>
      <c r="T187" s="3187"/>
      <c r="U187" s="3187"/>
      <c r="V187" s="3187"/>
      <c r="W187" s="3187"/>
      <c r="X187" s="3187"/>
      <c r="Y187" s="3187"/>
      <c r="Z187" s="3187"/>
      <c r="AA187" s="3187"/>
      <c r="AB187" s="3187"/>
      <c r="AC187" s="3166">
        <f t="shared" si="122"/>
        <v>0</v>
      </c>
      <c r="AD187" s="3198"/>
      <c r="AE187" s="3198"/>
      <c r="AF187" s="3198"/>
      <c r="AG187" s="3198"/>
      <c r="AH187" s="3198"/>
      <c r="AI187" s="3198"/>
      <c r="AJ187" s="3198"/>
      <c r="AK187" s="3198"/>
      <c r="AL187" s="3198"/>
      <c r="AM187" s="3198"/>
      <c r="AN187" s="3198"/>
      <c r="AO187" s="3198"/>
      <c r="AP187" s="3198"/>
      <c r="AQ187" s="3198"/>
      <c r="AR187" s="3198"/>
      <c r="AS187" s="3198"/>
      <c r="AT187" s="3218"/>
      <c r="AU187" s="3219"/>
      <c r="AV187" s="488">
        <f t="shared" si="146"/>
        <v>0</v>
      </c>
      <c r="AW187" s="488">
        <f t="shared" si="147"/>
        <v>0</v>
      </c>
      <c r="AX187" s="488">
        <f t="shared" si="148"/>
        <v>0</v>
      </c>
      <c r="AY187" s="3235">
        <f t="shared" si="123"/>
        <v>0</v>
      </c>
      <c r="AZ187" s="3166">
        <f t="shared" si="124"/>
        <v>0</v>
      </c>
      <c r="BA187" s="3166">
        <f t="shared" si="125"/>
        <v>0</v>
      </c>
      <c r="BB187" s="3166">
        <f t="shared" si="126"/>
        <v>0</v>
      </c>
      <c r="BC187" s="3166">
        <f t="shared" si="127"/>
        <v>0</v>
      </c>
      <c r="BD187" s="3166">
        <f t="shared" si="128"/>
        <v>0</v>
      </c>
      <c r="BE187" s="3166">
        <f t="shared" si="129"/>
        <v>0</v>
      </c>
      <c r="BF187" s="3166">
        <f t="shared" si="130"/>
        <v>0</v>
      </c>
      <c r="BG187" s="3166">
        <f t="shared" si="131"/>
        <v>0</v>
      </c>
      <c r="BH187" s="3166">
        <f t="shared" si="132"/>
        <v>0</v>
      </c>
      <c r="BI187" s="3166">
        <f t="shared" si="133"/>
        <v>0</v>
      </c>
      <c r="BJ187" s="3166">
        <f t="shared" si="134"/>
        <v>0</v>
      </c>
      <c r="BK187" s="3166">
        <f t="shared" si="135"/>
        <v>0</v>
      </c>
      <c r="BL187" s="3166">
        <f t="shared" si="136"/>
        <v>0</v>
      </c>
      <c r="BM187" s="3166">
        <f t="shared" si="137"/>
        <v>0</v>
      </c>
      <c r="BN187" s="3166">
        <f t="shared" si="138"/>
        <v>0</v>
      </c>
      <c r="BO187" s="3166">
        <f t="shared" si="139"/>
        <v>0</v>
      </c>
      <c r="BP187" s="3166">
        <f t="shared" si="140"/>
        <v>0</v>
      </c>
      <c r="BQ187" s="3166">
        <f t="shared" si="141"/>
        <v>0</v>
      </c>
      <c r="BR187" s="3166">
        <f t="shared" si="142"/>
        <v>0</v>
      </c>
      <c r="BS187" s="3166">
        <f t="shared" si="143"/>
        <v>0</v>
      </c>
      <c r="BT187" s="3240">
        <f t="shared" si="144"/>
        <v>0</v>
      </c>
    </row>
    <row r="188" spans="1:72">
      <c r="A188" s="3163"/>
      <c r="B188" s="3164"/>
      <c r="C188" s="3164"/>
      <c r="D188" s="3176"/>
      <c r="E188" s="3166">
        <f t="shared" si="145"/>
        <v>0</v>
      </c>
      <c r="F188" s="3167"/>
      <c r="G188" s="3168">
        <f t="shared" si="120"/>
        <v>0</v>
      </c>
      <c r="H188" s="3169">
        <f t="shared" si="121"/>
        <v>0</v>
      </c>
      <c r="I188" s="3187"/>
      <c r="J188" s="3187"/>
      <c r="K188" s="3187"/>
      <c r="L188" s="3187"/>
      <c r="M188" s="3187"/>
      <c r="N188" s="3187"/>
      <c r="O188" s="3187"/>
      <c r="P188" s="3187"/>
      <c r="Q188" s="3187"/>
      <c r="R188" s="3187"/>
      <c r="S188" s="3187"/>
      <c r="T188" s="3187"/>
      <c r="U188" s="3187"/>
      <c r="V188" s="3187"/>
      <c r="W188" s="3187"/>
      <c r="X188" s="3187"/>
      <c r="Y188" s="3187"/>
      <c r="Z188" s="3187"/>
      <c r="AA188" s="3187"/>
      <c r="AB188" s="3187"/>
      <c r="AC188" s="3166">
        <f t="shared" si="122"/>
        <v>0</v>
      </c>
      <c r="AD188" s="3198"/>
      <c r="AE188" s="3198"/>
      <c r="AF188" s="3198"/>
      <c r="AG188" s="3198"/>
      <c r="AH188" s="3198"/>
      <c r="AI188" s="3198"/>
      <c r="AJ188" s="3198"/>
      <c r="AK188" s="3198"/>
      <c r="AL188" s="3198"/>
      <c r="AM188" s="3198"/>
      <c r="AN188" s="3198"/>
      <c r="AO188" s="3198"/>
      <c r="AP188" s="3198"/>
      <c r="AQ188" s="3198"/>
      <c r="AR188" s="3198"/>
      <c r="AS188" s="3198"/>
      <c r="AT188" s="3218"/>
      <c r="AU188" s="3219"/>
      <c r="AV188" s="488">
        <f t="shared" si="146"/>
        <v>0</v>
      </c>
      <c r="AW188" s="488">
        <f t="shared" si="147"/>
        <v>0</v>
      </c>
      <c r="AX188" s="488">
        <f t="shared" si="148"/>
        <v>0</v>
      </c>
      <c r="AY188" s="3235">
        <f t="shared" si="123"/>
        <v>0</v>
      </c>
      <c r="AZ188" s="3166">
        <f t="shared" si="124"/>
        <v>0</v>
      </c>
      <c r="BA188" s="3166">
        <f t="shared" si="125"/>
        <v>0</v>
      </c>
      <c r="BB188" s="3166">
        <f t="shared" si="126"/>
        <v>0</v>
      </c>
      <c r="BC188" s="3166">
        <f t="shared" si="127"/>
        <v>0</v>
      </c>
      <c r="BD188" s="3166">
        <f t="shared" si="128"/>
        <v>0</v>
      </c>
      <c r="BE188" s="3166">
        <f t="shared" si="129"/>
        <v>0</v>
      </c>
      <c r="BF188" s="3166">
        <f t="shared" si="130"/>
        <v>0</v>
      </c>
      <c r="BG188" s="3166">
        <f t="shared" si="131"/>
        <v>0</v>
      </c>
      <c r="BH188" s="3166">
        <f t="shared" si="132"/>
        <v>0</v>
      </c>
      <c r="BI188" s="3166">
        <f t="shared" si="133"/>
        <v>0</v>
      </c>
      <c r="BJ188" s="3166">
        <f t="shared" si="134"/>
        <v>0</v>
      </c>
      <c r="BK188" s="3166">
        <f t="shared" si="135"/>
        <v>0</v>
      </c>
      <c r="BL188" s="3166">
        <f t="shared" si="136"/>
        <v>0</v>
      </c>
      <c r="BM188" s="3166">
        <f t="shared" si="137"/>
        <v>0</v>
      </c>
      <c r="BN188" s="3166">
        <f t="shared" si="138"/>
        <v>0</v>
      </c>
      <c r="BO188" s="3166">
        <f t="shared" si="139"/>
        <v>0</v>
      </c>
      <c r="BP188" s="3166">
        <f t="shared" si="140"/>
        <v>0</v>
      </c>
      <c r="BQ188" s="3166">
        <f t="shared" si="141"/>
        <v>0</v>
      </c>
      <c r="BR188" s="3166">
        <f t="shared" si="142"/>
        <v>0</v>
      </c>
      <c r="BS188" s="3166">
        <f t="shared" si="143"/>
        <v>0</v>
      </c>
      <c r="BT188" s="3240">
        <f t="shared" si="144"/>
        <v>0</v>
      </c>
    </row>
    <row r="189" spans="1:72">
      <c r="A189" s="3163"/>
      <c r="B189" s="3164"/>
      <c r="C189" s="3164"/>
      <c r="D189" s="3176"/>
      <c r="E189" s="3166">
        <f t="shared" si="145"/>
        <v>0</v>
      </c>
      <c r="F189" s="3167"/>
      <c r="G189" s="3168">
        <f t="shared" si="120"/>
        <v>0</v>
      </c>
      <c r="H189" s="3169">
        <f t="shared" si="121"/>
        <v>0</v>
      </c>
      <c r="I189" s="3187"/>
      <c r="J189" s="3187"/>
      <c r="K189" s="3187"/>
      <c r="L189" s="3187"/>
      <c r="M189" s="3187"/>
      <c r="N189" s="3187"/>
      <c r="O189" s="3187"/>
      <c r="P189" s="3187"/>
      <c r="Q189" s="3187"/>
      <c r="R189" s="3187"/>
      <c r="S189" s="3187"/>
      <c r="T189" s="3187"/>
      <c r="U189" s="3187"/>
      <c r="V189" s="3187"/>
      <c r="W189" s="3187"/>
      <c r="X189" s="3187"/>
      <c r="Y189" s="3187"/>
      <c r="Z189" s="3187"/>
      <c r="AA189" s="3187"/>
      <c r="AB189" s="3187"/>
      <c r="AC189" s="3166">
        <f t="shared" si="122"/>
        <v>0</v>
      </c>
      <c r="AD189" s="3198"/>
      <c r="AE189" s="3198"/>
      <c r="AF189" s="3198"/>
      <c r="AG189" s="3198"/>
      <c r="AH189" s="3198"/>
      <c r="AI189" s="3198"/>
      <c r="AJ189" s="3198"/>
      <c r="AK189" s="3198"/>
      <c r="AL189" s="3198"/>
      <c r="AM189" s="3198"/>
      <c r="AN189" s="3198"/>
      <c r="AO189" s="3198"/>
      <c r="AP189" s="3198"/>
      <c r="AQ189" s="3198"/>
      <c r="AR189" s="3198"/>
      <c r="AS189" s="3198"/>
      <c r="AT189" s="3218"/>
      <c r="AU189" s="3219"/>
      <c r="AV189" s="488">
        <f t="shared" si="146"/>
        <v>0</v>
      </c>
      <c r="AW189" s="488">
        <f t="shared" si="147"/>
        <v>0</v>
      </c>
      <c r="AX189" s="488">
        <f t="shared" si="148"/>
        <v>0</v>
      </c>
      <c r="AY189" s="3235">
        <f t="shared" si="123"/>
        <v>0</v>
      </c>
      <c r="AZ189" s="3166">
        <f t="shared" si="124"/>
        <v>0</v>
      </c>
      <c r="BA189" s="3166">
        <f t="shared" si="125"/>
        <v>0</v>
      </c>
      <c r="BB189" s="3166">
        <f t="shared" si="126"/>
        <v>0</v>
      </c>
      <c r="BC189" s="3166">
        <f t="shared" si="127"/>
        <v>0</v>
      </c>
      <c r="BD189" s="3166">
        <f t="shared" si="128"/>
        <v>0</v>
      </c>
      <c r="BE189" s="3166">
        <f t="shared" si="129"/>
        <v>0</v>
      </c>
      <c r="BF189" s="3166">
        <f t="shared" si="130"/>
        <v>0</v>
      </c>
      <c r="BG189" s="3166">
        <f t="shared" si="131"/>
        <v>0</v>
      </c>
      <c r="BH189" s="3166">
        <f t="shared" si="132"/>
        <v>0</v>
      </c>
      <c r="BI189" s="3166">
        <f t="shared" si="133"/>
        <v>0</v>
      </c>
      <c r="BJ189" s="3166">
        <f t="shared" si="134"/>
        <v>0</v>
      </c>
      <c r="BK189" s="3166">
        <f t="shared" si="135"/>
        <v>0</v>
      </c>
      <c r="BL189" s="3166">
        <f t="shared" si="136"/>
        <v>0</v>
      </c>
      <c r="BM189" s="3166">
        <f t="shared" si="137"/>
        <v>0</v>
      </c>
      <c r="BN189" s="3166">
        <f t="shared" si="138"/>
        <v>0</v>
      </c>
      <c r="BO189" s="3166">
        <f t="shared" si="139"/>
        <v>0</v>
      </c>
      <c r="BP189" s="3166">
        <f t="shared" si="140"/>
        <v>0</v>
      </c>
      <c r="BQ189" s="3166">
        <f t="shared" si="141"/>
        <v>0</v>
      </c>
      <c r="BR189" s="3166">
        <f t="shared" si="142"/>
        <v>0</v>
      </c>
      <c r="BS189" s="3166">
        <f t="shared" si="143"/>
        <v>0</v>
      </c>
      <c r="BT189" s="3240">
        <f t="shared" si="144"/>
        <v>0</v>
      </c>
    </row>
    <row r="190" spans="1:72">
      <c r="A190" s="3163"/>
      <c r="B190" s="3164"/>
      <c r="C190" s="3164"/>
      <c r="D190" s="3176"/>
      <c r="E190" s="3166">
        <f t="shared" si="145"/>
        <v>0</v>
      </c>
      <c r="F190" s="3167"/>
      <c r="G190" s="3168">
        <f t="shared" si="120"/>
        <v>0</v>
      </c>
      <c r="H190" s="3169">
        <f t="shared" si="121"/>
        <v>0</v>
      </c>
      <c r="I190" s="3187"/>
      <c r="J190" s="3187"/>
      <c r="K190" s="3187"/>
      <c r="L190" s="3187"/>
      <c r="M190" s="3187"/>
      <c r="N190" s="3187"/>
      <c r="O190" s="3187"/>
      <c r="P190" s="3187"/>
      <c r="Q190" s="3187"/>
      <c r="R190" s="3187"/>
      <c r="S190" s="3187"/>
      <c r="T190" s="3187"/>
      <c r="U190" s="3187"/>
      <c r="V190" s="3187"/>
      <c r="W190" s="3187"/>
      <c r="X190" s="3187"/>
      <c r="Y190" s="3187"/>
      <c r="Z190" s="3187"/>
      <c r="AA190" s="3187"/>
      <c r="AB190" s="3187"/>
      <c r="AC190" s="3166">
        <f t="shared" si="122"/>
        <v>0</v>
      </c>
      <c r="AD190" s="3198"/>
      <c r="AE190" s="3198"/>
      <c r="AF190" s="3198"/>
      <c r="AG190" s="3198"/>
      <c r="AH190" s="3198"/>
      <c r="AI190" s="3198"/>
      <c r="AJ190" s="3198"/>
      <c r="AK190" s="3198"/>
      <c r="AL190" s="3198"/>
      <c r="AM190" s="3198"/>
      <c r="AN190" s="3198"/>
      <c r="AO190" s="3198"/>
      <c r="AP190" s="3198"/>
      <c r="AQ190" s="3198"/>
      <c r="AR190" s="3198"/>
      <c r="AS190" s="3198"/>
      <c r="AT190" s="3218"/>
      <c r="AU190" s="3219"/>
      <c r="AV190" s="488">
        <f t="shared" si="146"/>
        <v>0</v>
      </c>
      <c r="AW190" s="488">
        <f t="shared" si="147"/>
        <v>0</v>
      </c>
      <c r="AX190" s="488">
        <f t="shared" si="148"/>
        <v>0</v>
      </c>
      <c r="AY190" s="3235">
        <f t="shared" si="123"/>
        <v>0</v>
      </c>
      <c r="AZ190" s="3166">
        <f t="shared" si="124"/>
        <v>0</v>
      </c>
      <c r="BA190" s="3166">
        <f t="shared" si="125"/>
        <v>0</v>
      </c>
      <c r="BB190" s="3166">
        <f t="shared" si="126"/>
        <v>0</v>
      </c>
      <c r="BC190" s="3166">
        <f t="shared" si="127"/>
        <v>0</v>
      </c>
      <c r="BD190" s="3166">
        <f t="shared" si="128"/>
        <v>0</v>
      </c>
      <c r="BE190" s="3166">
        <f t="shared" si="129"/>
        <v>0</v>
      </c>
      <c r="BF190" s="3166">
        <f t="shared" si="130"/>
        <v>0</v>
      </c>
      <c r="BG190" s="3166">
        <f t="shared" si="131"/>
        <v>0</v>
      </c>
      <c r="BH190" s="3166">
        <f t="shared" si="132"/>
        <v>0</v>
      </c>
      <c r="BI190" s="3166">
        <f t="shared" si="133"/>
        <v>0</v>
      </c>
      <c r="BJ190" s="3166">
        <f t="shared" si="134"/>
        <v>0</v>
      </c>
      <c r="BK190" s="3166">
        <f t="shared" si="135"/>
        <v>0</v>
      </c>
      <c r="BL190" s="3166">
        <f t="shared" si="136"/>
        <v>0</v>
      </c>
      <c r="BM190" s="3166">
        <f t="shared" si="137"/>
        <v>0</v>
      </c>
      <c r="BN190" s="3166">
        <f t="shared" si="138"/>
        <v>0</v>
      </c>
      <c r="BO190" s="3166">
        <f t="shared" si="139"/>
        <v>0</v>
      </c>
      <c r="BP190" s="3166">
        <f t="shared" si="140"/>
        <v>0</v>
      </c>
      <c r="BQ190" s="3166">
        <f t="shared" si="141"/>
        <v>0</v>
      </c>
      <c r="BR190" s="3166">
        <f t="shared" si="142"/>
        <v>0</v>
      </c>
      <c r="BS190" s="3166">
        <f t="shared" si="143"/>
        <v>0</v>
      </c>
      <c r="BT190" s="3240">
        <f t="shared" si="144"/>
        <v>0</v>
      </c>
    </row>
    <row r="191" spans="1:72">
      <c r="A191" s="3163"/>
      <c r="B191" s="3164"/>
      <c r="C191" s="3164"/>
      <c r="D191" s="3176"/>
      <c r="E191" s="3166">
        <f t="shared" si="145"/>
        <v>0</v>
      </c>
      <c r="F191" s="3167"/>
      <c r="G191" s="3168">
        <f t="shared" si="120"/>
        <v>0</v>
      </c>
      <c r="H191" s="3169">
        <f t="shared" si="121"/>
        <v>0</v>
      </c>
      <c r="I191" s="3187"/>
      <c r="J191" s="3187"/>
      <c r="K191" s="3187"/>
      <c r="L191" s="3187"/>
      <c r="M191" s="3187"/>
      <c r="N191" s="3187"/>
      <c r="O191" s="3187"/>
      <c r="P191" s="3187"/>
      <c r="Q191" s="3187"/>
      <c r="R191" s="3187"/>
      <c r="S191" s="3187"/>
      <c r="T191" s="3187"/>
      <c r="U191" s="3187"/>
      <c r="V191" s="3187"/>
      <c r="W191" s="3187"/>
      <c r="X191" s="3187"/>
      <c r="Y191" s="3187"/>
      <c r="Z191" s="3187"/>
      <c r="AA191" s="3187"/>
      <c r="AB191" s="3187"/>
      <c r="AC191" s="3166">
        <f t="shared" si="122"/>
        <v>0</v>
      </c>
      <c r="AD191" s="3198"/>
      <c r="AE191" s="3198"/>
      <c r="AF191" s="3198"/>
      <c r="AG191" s="3198"/>
      <c r="AH191" s="3198"/>
      <c r="AI191" s="3198"/>
      <c r="AJ191" s="3198"/>
      <c r="AK191" s="3198"/>
      <c r="AL191" s="3198"/>
      <c r="AM191" s="3198"/>
      <c r="AN191" s="3198"/>
      <c r="AO191" s="3198"/>
      <c r="AP191" s="3198"/>
      <c r="AQ191" s="3198"/>
      <c r="AR191" s="3198"/>
      <c r="AS191" s="3198"/>
      <c r="AT191" s="3218"/>
      <c r="AU191" s="3219"/>
      <c r="AV191" s="488">
        <f t="shared" si="146"/>
        <v>0</v>
      </c>
      <c r="AW191" s="488">
        <f t="shared" si="147"/>
        <v>0</v>
      </c>
      <c r="AX191" s="488">
        <f t="shared" si="148"/>
        <v>0</v>
      </c>
      <c r="AY191" s="3235">
        <f t="shared" si="123"/>
        <v>0</v>
      </c>
      <c r="AZ191" s="3166">
        <f t="shared" si="124"/>
        <v>0</v>
      </c>
      <c r="BA191" s="3166">
        <f t="shared" si="125"/>
        <v>0</v>
      </c>
      <c r="BB191" s="3166">
        <f t="shared" si="126"/>
        <v>0</v>
      </c>
      <c r="BC191" s="3166">
        <f t="shared" si="127"/>
        <v>0</v>
      </c>
      <c r="BD191" s="3166">
        <f t="shared" si="128"/>
        <v>0</v>
      </c>
      <c r="BE191" s="3166">
        <f t="shared" si="129"/>
        <v>0</v>
      </c>
      <c r="BF191" s="3166">
        <f t="shared" si="130"/>
        <v>0</v>
      </c>
      <c r="BG191" s="3166">
        <f t="shared" si="131"/>
        <v>0</v>
      </c>
      <c r="BH191" s="3166">
        <f t="shared" si="132"/>
        <v>0</v>
      </c>
      <c r="BI191" s="3166">
        <f t="shared" si="133"/>
        <v>0</v>
      </c>
      <c r="BJ191" s="3166">
        <f t="shared" si="134"/>
        <v>0</v>
      </c>
      <c r="BK191" s="3166">
        <f t="shared" si="135"/>
        <v>0</v>
      </c>
      <c r="BL191" s="3166">
        <f t="shared" si="136"/>
        <v>0</v>
      </c>
      <c r="BM191" s="3166">
        <f t="shared" si="137"/>
        <v>0</v>
      </c>
      <c r="BN191" s="3166">
        <f t="shared" si="138"/>
        <v>0</v>
      </c>
      <c r="BO191" s="3166">
        <f t="shared" si="139"/>
        <v>0</v>
      </c>
      <c r="BP191" s="3166">
        <f t="shared" si="140"/>
        <v>0</v>
      </c>
      <c r="BQ191" s="3166">
        <f t="shared" si="141"/>
        <v>0</v>
      </c>
      <c r="BR191" s="3166">
        <f t="shared" si="142"/>
        <v>0</v>
      </c>
      <c r="BS191" s="3166">
        <f t="shared" si="143"/>
        <v>0</v>
      </c>
      <c r="BT191" s="3240">
        <f t="shared" si="144"/>
        <v>0</v>
      </c>
    </row>
    <row r="192" spans="1:72">
      <c r="A192" s="3163"/>
      <c r="B192" s="3164"/>
      <c r="C192" s="3164"/>
      <c r="D192" s="3176"/>
      <c r="E192" s="3166">
        <f t="shared" si="145"/>
        <v>0</v>
      </c>
      <c r="F192" s="3167"/>
      <c r="G192" s="3168">
        <f t="shared" si="120"/>
        <v>0</v>
      </c>
      <c r="H192" s="3169">
        <f t="shared" si="121"/>
        <v>0</v>
      </c>
      <c r="I192" s="3187"/>
      <c r="J192" s="3187"/>
      <c r="K192" s="3187"/>
      <c r="L192" s="3187"/>
      <c r="M192" s="3187"/>
      <c r="N192" s="3187"/>
      <c r="O192" s="3187"/>
      <c r="P192" s="3187"/>
      <c r="Q192" s="3187"/>
      <c r="R192" s="3187"/>
      <c r="S192" s="3187"/>
      <c r="T192" s="3187"/>
      <c r="U192" s="3187"/>
      <c r="V192" s="3187"/>
      <c r="W192" s="3187"/>
      <c r="X192" s="3187"/>
      <c r="Y192" s="3187"/>
      <c r="Z192" s="3187"/>
      <c r="AA192" s="3187"/>
      <c r="AB192" s="3187"/>
      <c r="AC192" s="3166">
        <f t="shared" si="122"/>
        <v>0</v>
      </c>
      <c r="AD192" s="3198"/>
      <c r="AE192" s="3198"/>
      <c r="AF192" s="3198"/>
      <c r="AG192" s="3198"/>
      <c r="AH192" s="3198"/>
      <c r="AI192" s="3198"/>
      <c r="AJ192" s="3198"/>
      <c r="AK192" s="3198"/>
      <c r="AL192" s="3198"/>
      <c r="AM192" s="3198"/>
      <c r="AN192" s="3198"/>
      <c r="AO192" s="3198"/>
      <c r="AP192" s="3198"/>
      <c r="AQ192" s="3198"/>
      <c r="AR192" s="3198"/>
      <c r="AS192" s="3198"/>
      <c r="AT192" s="3218"/>
      <c r="AU192" s="3219"/>
      <c r="AV192" s="488">
        <f t="shared" si="146"/>
        <v>0</v>
      </c>
      <c r="AW192" s="488">
        <f t="shared" si="147"/>
        <v>0</v>
      </c>
      <c r="AX192" s="488">
        <f t="shared" si="148"/>
        <v>0</v>
      </c>
      <c r="AY192" s="3235">
        <f t="shared" si="123"/>
        <v>0</v>
      </c>
      <c r="AZ192" s="3166">
        <f t="shared" si="124"/>
        <v>0</v>
      </c>
      <c r="BA192" s="3166">
        <f t="shared" si="125"/>
        <v>0</v>
      </c>
      <c r="BB192" s="3166">
        <f t="shared" si="126"/>
        <v>0</v>
      </c>
      <c r="BC192" s="3166">
        <f t="shared" si="127"/>
        <v>0</v>
      </c>
      <c r="BD192" s="3166">
        <f t="shared" si="128"/>
        <v>0</v>
      </c>
      <c r="BE192" s="3166">
        <f t="shared" si="129"/>
        <v>0</v>
      </c>
      <c r="BF192" s="3166">
        <f t="shared" si="130"/>
        <v>0</v>
      </c>
      <c r="BG192" s="3166">
        <f t="shared" si="131"/>
        <v>0</v>
      </c>
      <c r="BH192" s="3166">
        <f t="shared" si="132"/>
        <v>0</v>
      </c>
      <c r="BI192" s="3166">
        <f t="shared" si="133"/>
        <v>0</v>
      </c>
      <c r="BJ192" s="3166">
        <f t="shared" si="134"/>
        <v>0</v>
      </c>
      <c r="BK192" s="3166">
        <f t="shared" si="135"/>
        <v>0</v>
      </c>
      <c r="BL192" s="3166">
        <f t="shared" si="136"/>
        <v>0</v>
      </c>
      <c r="BM192" s="3166">
        <f t="shared" si="137"/>
        <v>0</v>
      </c>
      <c r="BN192" s="3166">
        <f t="shared" si="138"/>
        <v>0</v>
      </c>
      <c r="BO192" s="3166">
        <f t="shared" si="139"/>
        <v>0</v>
      </c>
      <c r="BP192" s="3166">
        <f t="shared" si="140"/>
        <v>0</v>
      </c>
      <c r="BQ192" s="3166">
        <f t="shared" si="141"/>
        <v>0</v>
      </c>
      <c r="BR192" s="3166">
        <f t="shared" si="142"/>
        <v>0</v>
      </c>
      <c r="BS192" s="3166">
        <f t="shared" si="143"/>
        <v>0</v>
      </c>
      <c r="BT192" s="3240">
        <f t="shared" si="144"/>
        <v>0</v>
      </c>
    </row>
    <row r="193" spans="1:72">
      <c r="A193" s="3163"/>
      <c r="B193" s="3164"/>
      <c r="C193" s="3164"/>
      <c r="D193" s="3176"/>
      <c r="E193" s="3166">
        <f t="shared" si="145"/>
        <v>0</v>
      </c>
      <c r="F193" s="3167"/>
      <c r="G193" s="3168">
        <f t="shared" si="120"/>
        <v>0</v>
      </c>
      <c r="H193" s="3169">
        <f t="shared" si="121"/>
        <v>0</v>
      </c>
      <c r="I193" s="3187"/>
      <c r="J193" s="3187"/>
      <c r="K193" s="3187"/>
      <c r="L193" s="3187"/>
      <c r="M193" s="3187"/>
      <c r="N193" s="3187"/>
      <c r="O193" s="3187"/>
      <c r="P193" s="3187"/>
      <c r="Q193" s="3187"/>
      <c r="R193" s="3187"/>
      <c r="S193" s="3187"/>
      <c r="T193" s="3187"/>
      <c r="U193" s="3187"/>
      <c r="V193" s="3187"/>
      <c r="W193" s="3187"/>
      <c r="X193" s="3187"/>
      <c r="Y193" s="3187"/>
      <c r="Z193" s="3187"/>
      <c r="AA193" s="3187"/>
      <c r="AB193" s="3187"/>
      <c r="AC193" s="3166">
        <f t="shared" si="122"/>
        <v>0</v>
      </c>
      <c r="AD193" s="3198"/>
      <c r="AE193" s="3198"/>
      <c r="AF193" s="3198"/>
      <c r="AG193" s="3198"/>
      <c r="AH193" s="3198"/>
      <c r="AI193" s="3198"/>
      <c r="AJ193" s="3198"/>
      <c r="AK193" s="3198"/>
      <c r="AL193" s="3198"/>
      <c r="AM193" s="3198"/>
      <c r="AN193" s="3198"/>
      <c r="AO193" s="3198"/>
      <c r="AP193" s="3198"/>
      <c r="AQ193" s="3198"/>
      <c r="AR193" s="3198"/>
      <c r="AS193" s="3198"/>
      <c r="AT193" s="3218"/>
      <c r="AU193" s="3219"/>
      <c r="AV193" s="488">
        <f t="shared" si="146"/>
        <v>0</v>
      </c>
      <c r="AW193" s="488">
        <f t="shared" si="147"/>
        <v>0</v>
      </c>
      <c r="AX193" s="488">
        <f t="shared" si="148"/>
        <v>0</v>
      </c>
      <c r="AY193" s="3235">
        <f t="shared" si="123"/>
        <v>0</v>
      </c>
      <c r="AZ193" s="3166">
        <f t="shared" si="124"/>
        <v>0</v>
      </c>
      <c r="BA193" s="3166">
        <f t="shared" si="125"/>
        <v>0</v>
      </c>
      <c r="BB193" s="3166">
        <f t="shared" si="126"/>
        <v>0</v>
      </c>
      <c r="BC193" s="3166">
        <f t="shared" si="127"/>
        <v>0</v>
      </c>
      <c r="BD193" s="3166">
        <f t="shared" si="128"/>
        <v>0</v>
      </c>
      <c r="BE193" s="3166">
        <f t="shared" si="129"/>
        <v>0</v>
      </c>
      <c r="BF193" s="3166">
        <f t="shared" si="130"/>
        <v>0</v>
      </c>
      <c r="BG193" s="3166">
        <f t="shared" si="131"/>
        <v>0</v>
      </c>
      <c r="BH193" s="3166">
        <f t="shared" si="132"/>
        <v>0</v>
      </c>
      <c r="BI193" s="3166">
        <f t="shared" si="133"/>
        <v>0</v>
      </c>
      <c r="BJ193" s="3166">
        <f t="shared" si="134"/>
        <v>0</v>
      </c>
      <c r="BK193" s="3166">
        <f t="shared" si="135"/>
        <v>0</v>
      </c>
      <c r="BL193" s="3166">
        <f t="shared" si="136"/>
        <v>0</v>
      </c>
      <c r="BM193" s="3166">
        <f t="shared" si="137"/>
        <v>0</v>
      </c>
      <c r="BN193" s="3166">
        <f t="shared" si="138"/>
        <v>0</v>
      </c>
      <c r="BO193" s="3166">
        <f t="shared" si="139"/>
        <v>0</v>
      </c>
      <c r="BP193" s="3166">
        <f t="shared" si="140"/>
        <v>0</v>
      </c>
      <c r="BQ193" s="3166">
        <f t="shared" si="141"/>
        <v>0</v>
      </c>
      <c r="BR193" s="3166">
        <f t="shared" si="142"/>
        <v>0</v>
      </c>
      <c r="BS193" s="3166">
        <f t="shared" si="143"/>
        <v>0</v>
      </c>
      <c r="BT193" s="3240">
        <f t="shared" si="144"/>
        <v>0</v>
      </c>
    </row>
    <row r="194" spans="1:72">
      <c r="A194" s="3163"/>
      <c r="B194" s="3164"/>
      <c r="C194" s="3164"/>
      <c r="D194" s="3176"/>
      <c r="E194" s="3166">
        <f t="shared" si="145"/>
        <v>0</v>
      </c>
      <c r="F194" s="3167"/>
      <c r="G194" s="3168">
        <f t="shared" si="120"/>
        <v>0</v>
      </c>
      <c r="H194" s="3169">
        <f t="shared" si="121"/>
        <v>0</v>
      </c>
      <c r="I194" s="3187"/>
      <c r="J194" s="3187"/>
      <c r="K194" s="3187"/>
      <c r="L194" s="3187"/>
      <c r="M194" s="3187"/>
      <c r="N194" s="3187"/>
      <c r="O194" s="3187"/>
      <c r="P194" s="3187"/>
      <c r="Q194" s="3187"/>
      <c r="R194" s="3187"/>
      <c r="S194" s="3187"/>
      <c r="T194" s="3187"/>
      <c r="U194" s="3187"/>
      <c r="V194" s="3187"/>
      <c r="W194" s="3187"/>
      <c r="X194" s="3187"/>
      <c r="Y194" s="3187"/>
      <c r="Z194" s="3187"/>
      <c r="AA194" s="3187"/>
      <c r="AB194" s="3187"/>
      <c r="AC194" s="3166">
        <f t="shared" si="122"/>
        <v>0</v>
      </c>
      <c r="AD194" s="3198"/>
      <c r="AE194" s="3198"/>
      <c r="AF194" s="3198"/>
      <c r="AG194" s="3198"/>
      <c r="AH194" s="3198"/>
      <c r="AI194" s="3198"/>
      <c r="AJ194" s="3198"/>
      <c r="AK194" s="3198"/>
      <c r="AL194" s="3198"/>
      <c r="AM194" s="3198"/>
      <c r="AN194" s="3198"/>
      <c r="AO194" s="3198"/>
      <c r="AP194" s="3198"/>
      <c r="AQ194" s="3198"/>
      <c r="AR194" s="3198"/>
      <c r="AS194" s="3198"/>
      <c r="AT194" s="3218"/>
      <c r="AU194" s="3219"/>
      <c r="AV194" s="488">
        <f t="shared" si="146"/>
        <v>0</v>
      </c>
      <c r="AW194" s="488">
        <f t="shared" si="147"/>
        <v>0</v>
      </c>
      <c r="AX194" s="488">
        <f t="shared" si="148"/>
        <v>0</v>
      </c>
      <c r="AY194" s="3235">
        <f t="shared" si="123"/>
        <v>0</v>
      </c>
      <c r="AZ194" s="3166">
        <f t="shared" si="124"/>
        <v>0</v>
      </c>
      <c r="BA194" s="3166">
        <f t="shared" si="125"/>
        <v>0</v>
      </c>
      <c r="BB194" s="3166">
        <f t="shared" si="126"/>
        <v>0</v>
      </c>
      <c r="BC194" s="3166">
        <f t="shared" si="127"/>
        <v>0</v>
      </c>
      <c r="BD194" s="3166">
        <f t="shared" si="128"/>
        <v>0</v>
      </c>
      <c r="BE194" s="3166">
        <f t="shared" si="129"/>
        <v>0</v>
      </c>
      <c r="BF194" s="3166">
        <f t="shared" si="130"/>
        <v>0</v>
      </c>
      <c r="BG194" s="3166">
        <f t="shared" si="131"/>
        <v>0</v>
      </c>
      <c r="BH194" s="3166">
        <f t="shared" si="132"/>
        <v>0</v>
      </c>
      <c r="BI194" s="3166">
        <f t="shared" si="133"/>
        <v>0</v>
      </c>
      <c r="BJ194" s="3166">
        <f t="shared" si="134"/>
        <v>0</v>
      </c>
      <c r="BK194" s="3166">
        <f t="shared" si="135"/>
        <v>0</v>
      </c>
      <c r="BL194" s="3166">
        <f t="shared" si="136"/>
        <v>0</v>
      </c>
      <c r="BM194" s="3166">
        <f t="shared" si="137"/>
        <v>0</v>
      </c>
      <c r="BN194" s="3166">
        <f t="shared" si="138"/>
        <v>0</v>
      </c>
      <c r="BO194" s="3166">
        <f t="shared" si="139"/>
        <v>0</v>
      </c>
      <c r="BP194" s="3166">
        <f t="shared" si="140"/>
        <v>0</v>
      </c>
      <c r="BQ194" s="3166">
        <f t="shared" si="141"/>
        <v>0</v>
      </c>
      <c r="BR194" s="3166">
        <f t="shared" si="142"/>
        <v>0</v>
      </c>
      <c r="BS194" s="3166">
        <f t="shared" si="143"/>
        <v>0</v>
      </c>
      <c r="BT194" s="3240">
        <f t="shared" si="144"/>
        <v>0</v>
      </c>
    </row>
    <row r="195" spans="1:72">
      <c r="A195" s="3163"/>
      <c r="B195" s="3164"/>
      <c r="C195" s="3164"/>
      <c r="D195" s="3176"/>
      <c r="E195" s="3166">
        <f t="shared" si="145"/>
        <v>0</v>
      </c>
      <c r="F195" s="3167"/>
      <c r="G195" s="3168">
        <f t="shared" si="120"/>
        <v>0</v>
      </c>
      <c r="H195" s="3169">
        <f t="shared" si="121"/>
        <v>0</v>
      </c>
      <c r="I195" s="3187"/>
      <c r="J195" s="3187"/>
      <c r="K195" s="3187"/>
      <c r="L195" s="3187"/>
      <c r="M195" s="3187"/>
      <c r="N195" s="3187"/>
      <c r="O195" s="3187"/>
      <c r="P195" s="3187"/>
      <c r="Q195" s="3187"/>
      <c r="R195" s="3187"/>
      <c r="S195" s="3187"/>
      <c r="T195" s="3187"/>
      <c r="U195" s="3187"/>
      <c r="V195" s="3187"/>
      <c r="W195" s="3187"/>
      <c r="X195" s="3187"/>
      <c r="Y195" s="3187"/>
      <c r="Z195" s="3187"/>
      <c r="AA195" s="3187"/>
      <c r="AB195" s="3187"/>
      <c r="AC195" s="3166">
        <f t="shared" si="122"/>
        <v>0</v>
      </c>
      <c r="AD195" s="3198"/>
      <c r="AE195" s="3198"/>
      <c r="AF195" s="3198"/>
      <c r="AG195" s="3198"/>
      <c r="AH195" s="3198"/>
      <c r="AI195" s="3198"/>
      <c r="AJ195" s="3198"/>
      <c r="AK195" s="3198"/>
      <c r="AL195" s="3198"/>
      <c r="AM195" s="3198"/>
      <c r="AN195" s="3198"/>
      <c r="AO195" s="3198"/>
      <c r="AP195" s="3198"/>
      <c r="AQ195" s="3198"/>
      <c r="AR195" s="3198"/>
      <c r="AS195" s="3198"/>
      <c r="AT195" s="3218"/>
      <c r="AU195" s="3219"/>
      <c r="AV195" s="488">
        <f t="shared" si="146"/>
        <v>0</v>
      </c>
      <c r="AW195" s="488">
        <f t="shared" si="147"/>
        <v>0</v>
      </c>
      <c r="AX195" s="488">
        <f t="shared" si="148"/>
        <v>0</v>
      </c>
      <c r="AY195" s="3235">
        <f t="shared" si="123"/>
        <v>0</v>
      </c>
      <c r="AZ195" s="3166">
        <f t="shared" si="124"/>
        <v>0</v>
      </c>
      <c r="BA195" s="3166">
        <f t="shared" si="125"/>
        <v>0</v>
      </c>
      <c r="BB195" s="3166">
        <f t="shared" si="126"/>
        <v>0</v>
      </c>
      <c r="BC195" s="3166">
        <f t="shared" si="127"/>
        <v>0</v>
      </c>
      <c r="BD195" s="3166">
        <f t="shared" si="128"/>
        <v>0</v>
      </c>
      <c r="BE195" s="3166">
        <f t="shared" si="129"/>
        <v>0</v>
      </c>
      <c r="BF195" s="3166">
        <f t="shared" si="130"/>
        <v>0</v>
      </c>
      <c r="BG195" s="3166">
        <f t="shared" si="131"/>
        <v>0</v>
      </c>
      <c r="BH195" s="3166">
        <f t="shared" si="132"/>
        <v>0</v>
      </c>
      <c r="BI195" s="3166">
        <f t="shared" si="133"/>
        <v>0</v>
      </c>
      <c r="BJ195" s="3166">
        <f t="shared" si="134"/>
        <v>0</v>
      </c>
      <c r="BK195" s="3166">
        <f t="shared" si="135"/>
        <v>0</v>
      </c>
      <c r="BL195" s="3166">
        <f t="shared" si="136"/>
        <v>0</v>
      </c>
      <c r="BM195" s="3166">
        <f t="shared" si="137"/>
        <v>0</v>
      </c>
      <c r="BN195" s="3166">
        <f t="shared" si="138"/>
        <v>0</v>
      </c>
      <c r="BO195" s="3166">
        <f t="shared" si="139"/>
        <v>0</v>
      </c>
      <c r="BP195" s="3166">
        <f t="shared" si="140"/>
        <v>0</v>
      </c>
      <c r="BQ195" s="3166">
        <f t="shared" si="141"/>
        <v>0</v>
      </c>
      <c r="BR195" s="3166">
        <f t="shared" si="142"/>
        <v>0</v>
      </c>
      <c r="BS195" s="3166">
        <f t="shared" si="143"/>
        <v>0</v>
      </c>
      <c r="BT195" s="3240">
        <f t="shared" si="144"/>
        <v>0</v>
      </c>
    </row>
    <row r="196" spans="1:72">
      <c r="A196" s="3163"/>
      <c r="B196" s="3164"/>
      <c r="C196" s="3164"/>
      <c r="D196" s="3176"/>
      <c r="E196" s="3166">
        <f t="shared" si="145"/>
        <v>0</v>
      </c>
      <c r="F196" s="3167"/>
      <c r="G196" s="3168">
        <f t="shared" si="120"/>
        <v>0</v>
      </c>
      <c r="H196" s="3169">
        <f t="shared" si="121"/>
        <v>0</v>
      </c>
      <c r="I196" s="3187"/>
      <c r="J196" s="3187"/>
      <c r="K196" s="3187"/>
      <c r="L196" s="3187"/>
      <c r="M196" s="3187"/>
      <c r="N196" s="3187"/>
      <c r="O196" s="3187"/>
      <c r="P196" s="3187"/>
      <c r="Q196" s="3187"/>
      <c r="R196" s="3187"/>
      <c r="S196" s="3187"/>
      <c r="T196" s="3187"/>
      <c r="U196" s="3187"/>
      <c r="V196" s="3187"/>
      <c r="W196" s="3187"/>
      <c r="X196" s="3187"/>
      <c r="Y196" s="3187"/>
      <c r="Z196" s="3187"/>
      <c r="AA196" s="3187"/>
      <c r="AB196" s="3187"/>
      <c r="AC196" s="3166">
        <f t="shared" si="122"/>
        <v>0</v>
      </c>
      <c r="AD196" s="3198"/>
      <c r="AE196" s="3198"/>
      <c r="AF196" s="3198"/>
      <c r="AG196" s="3198"/>
      <c r="AH196" s="3198"/>
      <c r="AI196" s="3198"/>
      <c r="AJ196" s="3198"/>
      <c r="AK196" s="3198"/>
      <c r="AL196" s="3198"/>
      <c r="AM196" s="3198"/>
      <c r="AN196" s="3198"/>
      <c r="AO196" s="3198"/>
      <c r="AP196" s="3198"/>
      <c r="AQ196" s="3198"/>
      <c r="AR196" s="3198"/>
      <c r="AS196" s="3198"/>
      <c r="AT196" s="3218"/>
      <c r="AU196" s="3219"/>
      <c r="AV196" s="488">
        <f t="shared" si="146"/>
        <v>0</v>
      </c>
      <c r="AW196" s="488">
        <f t="shared" si="147"/>
        <v>0</v>
      </c>
      <c r="AX196" s="488">
        <f t="shared" si="148"/>
        <v>0</v>
      </c>
      <c r="AY196" s="3235">
        <f t="shared" si="123"/>
        <v>0</v>
      </c>
      <c r="AZ196" s="3166">
        <f t="shared" si="124"/>
        <v>0</v>
      </c>
      <c r="BA196" s="3166">
        <f t="shared" si="125"/>
        <v>0</v>
      </c>
      <c r="BB196" s="3166">
        <f t="shared" si="126"/>
        <v>0</v>
      </c>
      <c r="BC196" s="3166">
        <f t="shared" si="127"/>
        <v>0</v>
      </c>
      <c r="BD196" s="3166">
        <f t="shared" si="128"/>
        <v>0</v>
      </c>
      <c r="BE196" s="3166">
        <f t="shared" si="129"/>
        <v>0</v>
      </c>
      <c r="BF196" s="3166">
        <f t="shared" si="130"/>
        <v>0</v>
      </c>
      <c r="BG196" s="3166">
        <f t="shared" si="131"/>
        <v>0</v>
      </c>
      <c r="BH196" s="3166">
        <f t="shared" si="132"/>
        <v>0</v>
      </c>
      <c r="BI196" s="3166">
        <f t="shared" si="133"/>
        <v>0</v>
      </c>
      <c r="BJ196" s="3166">
        <f t="shared" si="134"/>
        <v>0</v>
      </c>
      <c r="BK196" s="3166">
        <f t="shared" si="135"/>
        <v>0</v>
      </c>
      <c r="BL196" s="3166">
        <f t="shared" si="136"/>
        <v>0</v>
      </c>
      <c r="BM196" s="3166">
        <f t="shared" si="137"/>
        <v>0</v>
      </c>
      <c r="BN196" s="3166">
        <f t="shared" si="138"/>
        <v>0</v>
      </c>
      <c r="BO196" s="3166">
        <f t="shared" si="139"/>
        <v>0</v>
      </c>
      <c r="BP196" s="3166">
        <f t="shared" si="140"/>
        <v>0</v>
      </c>
      <c r="BQ196" s="3166">
        <f t="shared" si="141"/>
        <v>0</v>
      </c>
      <c r="BR196" s="3166">
        <f t="shared" si="142"/>
        <v>0</v>
      </c>
      <c r="BS196" s="3166">
        <f t="shared" si="143"/>
        <v>0</v>
      </c>
      <c r="BT196" s="3240">
        <f t="shared" si="144"/>
        <v>0</v>
      </c>
    </row>
    <row r="197" spans="1:72">
      <c r="A197" s="3163"/>
      <c r="B197" s="3164"/>
      <c r="C197" s="3164"/>
      <c r="D197" s="3176"/>
      <c r="E197" s="3166">
        <f t="shared" si="145"/>
        <v>0</v>
      </c>
      <c r="F197" s="3167"/>
      <c r="G197" s="3168">
        <f t="shared" si="120"/>
        <v>0</v>
      </c>
      <c r="H197" s="3169">
        <f t="shared" si="121"/>
        <v>0</v>
      </c>
      <c r="I197" s="3187"/>
      <c r="J197" s="3187"/>
      <c r="K197" s="3187"/>
      <c r="L197" s="3187"/>
      <c r="M197" s="3187"/>
      <c r="N197" s="3187"/>
      <c r="O197" s="3187"/>
      <c r="P197" s="3187"/>
      <c r="Q197" s="3187"/>
      <c r="R197" s="3187"/>
      <c r="S197" s="3187"/>
      <c r="T197" s="3187"/>
      <c r="U197" s="3187"/>
      <c r="V197" s="3187"/>
      <c r="W197" s="3187"/>
      <c r="X197" s="3187"/>
      <c r="Y197" s="3187"/>
      <c r="Z197" s="3187"/>
      <c r="AA197" s="3187"/>
      <c r="AB197" s="3187"/>
      <c r="AC197" s="3166">
        <f t="shared" si="122"/>
        <v>0</v>
      </c>
      <c r="AD197" s="3198"/>
      <c r="AE197" s="3198"/>
      <c r="AF197" s="3198"/>
      <c r="AG197" s="3198"/>
      <c r="AH197" s="3198"/>
      <c r="AI197" s="3198"/>
      <c r="AJ197" s="3198"/>
      <c r="AK197" s="3198"/>
      <c r="AL197" s="3198"/>
      <c r="AM197" s="3198"/>
      <c r="AN197" s="3198"/>
      <c r="AO197" s="3198"/>
      <c r="AP197" s="3198"/>
      <c r="AQ197" s="3198"/>
      <c r="AR197" s="3198"/>
      <c r="AS197" s="3198"/>
      <c r="AT197" s="3218"/>
      <c r="AU197" s="3219"/>
      <c r="AV197" s="488">
        <f t="shared" si="146"/>
        <v>0</v>
      </c>
      <c r="AW197" s="488">
        <f t="shared" si="147"/>
        <v>0</v>
      </c>
      <c r="AX197" s="488">
        <f t="shared" si="148"/>
        <v>0</v>
      </c>
      <c r="AY197" s="3235">
        <f t="shared" si="123"/>
        <v>0</v>
      </c>
      <c r="AZ197" s="3166">
        <f t="shared" si="124"/>
        <v>0</v>
      </c>
      <c r="BA197" s="3166">
        <f t="shared" si="125"/>
        <v>0</v>
      </c>
      <c r="BB197" s="3166">
        <f t="shared" si="126"/>
        <v>0</v>
      </c>
      <c r="BC197" s="3166">
        <f t="shared" si="127"/>
        <v>0</v>
      </c>
      <c r="BD197" s="3166">
        <f t="shared" si="128"/>
        <v>0</v>
      </c>
      <c r="BE197" s="3166">
        <f t="shared" si="129"/>
        <v>0</v>
      </c>
      <c r="BF197" s="3166">
        <f t="shared" si="130"/>
        <v>0</v>
      </c>
      <c r="BG197" s="3166">
        <f t="shared" si="131"/>
        <v>0</v>
      </c>
      <c r="BH197" s="3166">
        <f t="shared" si="132"/>
        <v>0</v>
      </c>
      <c r="BI197" s="3166">
        <f t="shared" si="133"/>
        <v>0</v>
      </c>
      <c r="BJ197" s="3166">
        <f t="shared" si="134"/>
        <v>0</v>
      </c>
      <c r="BK197" s="3166">
        <f t="shared" si="135"/>
        <v>0</v>
      </c>
      <c r="BL197" s="3166">
        <f t="shared" si="136"/>
        <v>0</v>
      </c>
      <c r="BM197" s="3166">
        <f t="shared" si="137"/>
        <v>0</v>
      </c>
      <c r="BN197" s="3166">
        <f t="shared" si="138"/>
        <v>0</v>
      </c>
      <c r="BO197" s="3166">
        <f t="shared" si="139"/>
        <v>0</v>
      </c>
      <c r="BP197" s="3166">
        <f t="shared" si="140"/>
        <v>0</v>
      </c>
      <c r="BQ197" s="3166">
        <f t="shared" si="141"/>
        <v>0</v>
      </c>
      <c r="BR197" s="3166">
        <f t="shared" si="142"/>
        <v>0</v>
      </c>
      <c r="BS197" s="3166">
        <f t="shared" si="143"/>
        <v>0</v>
      </c>
      <c r="BT197" s="3240">
        <f t="shared" si="144"/>
        <v>0</v>
      </c>
    </row>
    <row r="198" spans="1:72">
      <c r="A198" s="3163"/>
      <c r="B198" s="3164"/>
      <c r="C198" s="3164"/>
      <c r="D198" s="3176"/>
      <c r="E198" s="3166">
        <f t="shared" si="145"/>
        <v>0</v>
      </c>
      <c r="F198" s="3167"/>
      <c r="G198" s="3168">
        <f t="shared" si="120"/>
        <v>0</v>
      </c>
      <c r="H198" s="3169">
        <f t="shared" si="121"/>
        <v>0</v>
      </c>
      <c r="I198" s="3187"/>
      <c r="J198" s="3187"/>
      <c r="K198" s="3187"/>
      <c r="L198" s="3187"/>
      <c r="M198" s="3187"/>
      <c r="N198" s="3187"/>
      <c r="O198" s="3187"/>
      <c r="P198" s="3187"/>
      <c r="Q198" s="3187"/>
      <c r="R198" s="3187"/>
      <c r="S198" s="3187"/>
      <c r="T198" s="3187"/>
      <c r="U198" s="3187"/>
      <c r="V198" s="3187"/>
      <c r="W198" s="3187"/>
      <c r="X198" s="3187"/>
      <c r="Y198" s="3187"/>
      <c r="Z198" s="3187"/>
      <c r="AA198" s="3187"/>
      <c r="AB198" s="3187"/>
      <c r="AC198" s="3166">
        <f t="shared" si="122"/>
        <v>0</v>
      </c>
      <c r="AD198" s="3198"/>
      <c r="AE198" s="3198"/>
      <c r="AF198" s="3198"/>
      <c r="AG198" s="3198"/>
      <c r="AH198" s="3198"/>
      <c r="AI198" s="3198"/>
      <c r="AJ198" s="3198"/>
      <c r="AK198" s="3198"/>
      <c r="AL198" s="3198"/>
      <c r="AM198" s="3198"/>
      <c r="AN198" s="3198"/>
      <c r="AO198" s="3198"/>
      <c r="AP198" s="3198"/>
      <c r="AQ198" s="3198"/>
      <c r="AR198" s="3198"/>
      <c r="AS198" s="3198"/>
      <c r="AT198" s="3218"/>
      <c r="AU198" s="3219"/>
      <c r="AV198" s="488">
        <f t="shared" si="146"/>
        <v>0</v>
      </c>
      <c r="AW198" s="488">
        <f t="shared" si="147"/>
        <v>0</v>
      </c>
      <c r="AX198" s="488">
        <f t="shared" si="148"/>
        <v>0</v>
      </c>
      <c r="AY198" s="3235">
        <f t="shared" si="123"/>
        <v>0</v>
      </c>
      <c r="AZ198" s="3166">
        <f t="shared" si="124"/>
        <v>0</v>
      </c>
      <c r="BA198" s="3166">
        <f t="shared" si="125"/>
        <v>0</v>
      </c>
      <c r="BB198" s="3166">
        <f t="shared" si="126"/>
        <v>0</v>
      </c>
      <c r="BC198" s="3166">
        <f t="shared" si="127"/>
        <v>0</v>
      </c>
      <c r="BD198" s="3166">
        <f t="shared" si="128"/>
        <v>0</v>
      </c>
      <c r="BE198" s="3166">
        <f t="shared" si="129"/>
        <v>0</v>
      </c>
      <c r="BF198" s="3166">
        <f t="shared" si="130"/>
        <v>0</v>
      </c>
      <c r="BG198" s="3166">
        <f t="shared" si="131"/>
        <v>0</v>
      </c>
      <c r="BH198" s="3166">
        <f t="shared" si="132"/>
        <v>0</v>
      </c>
      <c r="BI198" s="3166">
        <f t="shared" si="133"/>
        <v>0</v>
      </c>
      <c r="BJ198" s="3166">
        <f t="shared" si="134"/>
        <v>0</v>
      </c>
      <c r="BK198" s="3166">
        <f t="shared" si="135"/>
        <v>0</v>
      </c>
      <c r="BL198" s="3166">
        <f t="shared" si="136"/>
        <v>0</v>
      </c>
      <c r="BM198" s="3166">
        <f t="shared" si="137"/>
        <v>0</v>
      </c>
      <c r="BN198" s="3166">
        <f t="shared" si="138"/>
        <v>0</v>
      </c>
      <c r="BO198" s="3166">
        <f t="shared" si="139"/>
        <v>0</v>
      </c>
      <c r="BP198" s="3166">
        <f t="shared" si="140"/>
        <v>0</v>
      </c>
      <c r="BQ198" s="3166">
        <f t="shared" si="141"/>
        <v>0</v>
      </c>
      <c r="BR198" s="3166">
        <f t="shared" si="142"/>
        <v>0</v>
      </c>
      <c r="BS198" s="3166">
        <f t="shared" si="143"/>
        <v>0</v>
      </c>
      <c r="BT198" s="3240">
        <f t="shared" si="144"/>
        <v>0</v>
      </c>
    </row>
    <row r="199" spans="1:72">
      <c r="A199" s="3163"/>
      <c r="B199" s="3164"/>
      <c r="C199" s="3164"/>
      <c r="D199" s="3176"/>
      <c r="E199" s="3166">
        <f t="shared" si="145"/>
        <v>0</v>
      </c>
      <c r="F199" s="3167"/>
      <c r="G199" s="3168">
        <f t="shared" si="120"/>
        <v>0</v>
      </c>
      <c r="H199" s="3169">
        <f t="shared" si="121"/>
        <v>0</v>
      </c>
      <c r="I199" s="3187"/>
      <c r="J199" s="3187"/>
      <c r="K199" s="3187"/>
      <c r="L199" s="3187"/>
      <c r="M199" s="3187"/>
      <c r="N199" s="3187"/>
      <c r="O199" s="3187"/>
      <c r="P199" s="3187"/>
      <c r="Q199" s="3187"/>
      <c r="R199" s="3187"/>
      <c r="S199" s="3187"/>
      <c r="T199" s="3187"/>
      <c r="U199" s="3187"/>
      <c r="V199" s="3187"/>
      <c r="W199" s="3187"/>
      <c r="X199" s="3187"/>
      <c r="Y199" s="3187"/>
      <c r="Z199" s="3187"/>
      <c r="AA199" s="3187"/>
      <c r="AB199" s="3187"/>
      <c r="AC199" s="3166">
        <f t="shared" si="122"/>
        <v>0</v>
      </c>
      <c r="AD199" s="3198"/>
      <c r="AE199" s="3198"/>
      <c r="AF199" s="3198"/>
      <c r="AG199" s="3198"/>
      <c r="AH199" s="3198"/>
      <c r="AI199" s="3198"/>
      <c r="AJ199" s="3198"/>
      <c r="AK199" s="3198"/>
      <c r="AL199" s="3198"/>
      <c r="AM199" s="3198"/>
      <c r="AN199" s="3198"/>
      <c r="AO199" s="3198"/>
      <c r="AP199" s="3198"/>
      <c r="AQ199" s="3198"/>
      <c r="AR199" s="3198"/>
      <c r="AS199" s="3198"/>
      <c r="AT199" s="3218"/>
      <c r="AU199" s="3219"/>
      <c r="AV199" s="488">
        <f t="shared" si="146"/>
        <v>0</v>
      </c>
      <c r="AW199" s="488">
        <f t="shared" si="147"/>
        <v>0</v>
      </c>
      <c r="AX199" s="488">
        <f t="shared" si="148"/>
        <v>0</v>
      </c>
      <c r="AY199" s="3235">
        <f t="shared" si="123"/>
        <v>0</v>
      </c>
      <c r="AZ199" s="3166">
        <f t="shared" si="124"/>
        <v>0</v>
      </c>
      <c r="BA199" s="3166">
        <f t="shared" si="125"/>
        <v>0</v>
      </c>
      <c r="BB199" s="3166">
        <f t="shared" si="126"/>
        <v>0</v>
      </c>
      <c r="BC199" s="3166">
        <f t="shared" si="127"/>
        <v>0</v>
      </c>
      <c r="BD199" s="3166">
        <f t="shared" si="128"/>
        <v>0</v>
      </c>
      <c r="BE199" s="3166">
        <f t="shared" si="129"/>
        <v>0</v>
      </c>
      <c r="BF199" s="3166">
        <f t="shared" si="130"/>
        <v>0</v>
      </c>
      <c r="BG199" s="3166">
        <f t="shared" si="131"/>
        <v>0</v>
      </c>
      <c r="BH199" s="3166">
        <f t="shared" si="132"/>
        <v>0</v>
      </c>
      <c r="BI199" s="3166">
        <f t="shared" si="133"/>
        <v>0</v>
      </c>
      <c r="BJ199" s="3166">
        <f t="shared" si="134"/>
        <v>0</v>
      </c>
      <c r="BK199" s="3166">
        <f t="shared" si="135"/>
        <v>0</v>
      </c>
      <c r="BL199" s="3166">
        <f t="shared" si="136"/>
        <v>0</v>
      </c>
      <c r="BM199" s="3166">
        <f t="shared" si="137"/>
        <v>0</v>
      </c>
      <c r="BN199" s="3166">
        <f t="shared" si="138"/>
        <v>0</v>
      </c>
      <c r="BO199" s="3166">
        <f t="shared" si="139"/>
        <v>0</v>
      </c>
      <c r="BP199" s="3166">
        <f t="shared" si="140"/>
        <v>0</v>
      </c>
      <c r="BQ199" s="3166">
        <f t="shared" si="141"/>
        <v>0</v>
      </c>
      <c r="BR199" s="3166">
        <f t="shared" si="142"/>
        <v>0</v>
      </c>
      <c r="BS199" s="3166">
        <f t="shared" si="143"/>
        <v>0</v>
      </c>
      <c r="BT199" s="3240">
        <f t="shared" si="144"/>
        <v>0</v>
      </c>
    </row>
    <row r="200" spans="1:72">
      <c r="A200" s="3163"/>
      <c r="B200" s="3164"/>
      <c r="C200" s="3164"/>
      <c r="D200" s="3176"/>
      <c r="E200" s="3166">
        <f t="shared" si="145"/>
        <v>0</v>
      </c>
      <c r="F200" s="3167"/>
      <c r="G200" s="3168">
        <f t="shared" si="120"/>
        <v>0</v>
      </c>
      <c r="H200" s="3169">
        <f t="shared" si="121"/>
        <v>0</v>
      </c>
      <c r="I200" s="3187"/>
      <c r="J200" s="3187"/>
      <c r="K200" s="3187"/>
      <c r="L200" s="3187"/>
      <c r="M200" s="3187"/>
      <c r="N200" s="3187"/>
      <c r="O200" s="3187"/>
      <c r="P200" s="3187"/>
      <c r="Q200" s="3187"/>
      <c r="R200" s="3187"/>
      <c r="S200" s="3187"/>
      <c r="T200" s="3187"/>
      <c r="U200" s="3187"/>
      <c r="V200" s="3187"/>
      <c r="W200" s="3187"/>
      <c r="X200" s="3187"/>
      <c r="Y200" s="3187"/>
      <c r="Z200" s="3187"/>
      <c r="AA200" s="3187"/>
      <c r="AB200" s="3187"/>
      <c r="AC200" s="3166">
        <f t="shared" si="122"/>
        <v>0</v>
      </c>
      <c r="AD200" s="3198"/>
      <c r="AE200" s="3198"/>
      <c r="AF200" s="3198"/>
      <c r="AG200" s="3198"/>
      <c r="AH200" s="3198"/>
      <c r="AI200" s="3198"/>
      <c r="AJ200" s="3198"/>
      <c r="AK200" s="3198"/>
      <c r="AL200" s="3198"/>
      <c r="AM200" s="3198"/>
      <c r="AN200" s="3198"/>
      <c r="AO200" s="3198"/>
      <c r="AP200" s="3198"/>
      <c r="AQ200" s="3198"/>
      <c r="AR200" s="3198"/>
      <c r="AS200" s="3198"/>
      <c r="AT200" s="3218"/>
      <c r="AU200" s="3219"/>
      <c r="AV200" s="488">
        <f t="shared" si="146"/>
        <v>0</v>
      </c>
      <c r="AW200" s="488">
        <f t="shared" si="147"/>
        <v>0</v>
      </c>
      <c r="AX200" s="488">
        <f t="shared" si="148"/>
        <v>0</v>
      </c>
      <c r="AY200" s="3235">
        <f t="shared" si="123"/>
        <v>0</v>
      </c>
      <c r="AZ200" s="3166">
        <f t="shared" si="124"/>
        <v>0</v>
      </c>
      <c r="BA200" s="3166">
        <f t="shared" si="125"/>
        <v>0</v>
      </c>
      <c r="BB200" s="3166">
        <f t="shared" si="126"/>
        <v>0</v>
      </c>
      <c r="BC200" s="3166">
        <f t="shared" si="127"/>
        <v>0</v>
      </c>
      <c r="BD200" s="3166">
        <f t="shared" si="128"/>
        <v>0</v>
      </c>
      <c r="BE200" s="3166">
        <f t="shared" si="129"/>
        <v>0</v>
      </c>
      <c r="BF200" s="3166">
        <f t="shared" si="130"/>
        <v>0</v>
      </c>
      <c r="BG200" s="3166">
        <f t="shared" si="131"/>
        <v>0</v>
      </c>
      <c r="BH200" s="3166">
        <f t="shared" si="132"/>
        <v>0</v>
      </c>
      <c r="BI200" s="3166">
        <f t="shared" si="133"/>
        <v>0</v>
      </c>
      <c r="BJ200" s="3166">
        <f t="shared" si="134"/>
        <v>0</v>
      </c>
      <c r="BK200" s="3166">
        <f t="shared" si="135"/>
        <v>0</v>
      </c>
      <c r="BL200" s="3166">
        <f t="shared" si="136"/>
        <v>0</v>
      </c>
      <c r="BM200" s="3166">
        <f t="shared" si="137"/>
        <v>0</v>
      </c>
      <c r="BN200" s="3166">
        <f t="shared" si="138"/>
        <v>0</v>
      </c>
      <c r="BO200" s="3166">
        <f t="shared" si="139"/>
        <v>0</v>
      </c>
      <c r="BP200" s="3166">
        <f t="shared" si="140"/>
        <v>0</v>
      </c>
      <c r="BQ200" s="3166">
        <f t="shared" si="141"/>
        <v>0</v>
      </c>
      <c r="BR200" s="3166">
        <f t="shared" si="142"/>
        <v>0</v>
      </c>
      <c r="BS200" s="3166">
        <f t="shared" si="143"/>
        <v>0</v>
      </c>
      <c r="BT200" s="3240">
        <f t="shared" si="144"/>
        <v>0</v>
      </c>
    </row>
    <row r="201" spans="1:72">
      <c r="A201" s="3163"/>
      <c r="B201" s="3164"/>
      <c r="C201" s="3164"/>
      <c r="D201" s="3176"/>
      <c r="E201" s="3166">
        <f t="shared" si="145"/>
        <v>0</v>
      </c>
      <c r="F201" s="3167"/>
      <c r="G201" s="3168">
        <f t="shared" si="120"/>
        <v>0</v>
      </c>
      <c r="H201" s="3169">
        <f t="shared" si="121"/>
        <v>0</v>
      </c>
      <c r="I201" s="3187"/>
      <c r="J201" s="3187"/>
      <c r="K201" s="3187"/>
      <c r="L201" s="3187"/>
      <c r="M201" s="3187"/>
      <c r="N201" s="3187"/>
      <c r="O201" s="3187"/>
      <c r="P201" s="3187"/>
      <c r="Q201" s="3187"/>
      <c r="R201" s="3187"/>
      <c r="S201" s="3187"/>
      <c r="T201" s="3187"/>
      <c r="U201" s="3187"/>
      <c r="V201" s="3187"/>
      <c r="W201" s="3187"/>
      <c r="X201" s="3187"/>
      <c r="Y201" s="3187"/>
      <c r="Z201" s="3187"/>
      <c r="AA201" s="3187"/>
      <c r="AB201" s="3187"/>
      <c r="AC201" s="3166">
        <f t="shared" si="122"/>
        <v>0</v>
      </c>
      <c r="AD201" s="3198"/>
      <c r="AE201" s="3198"/>
      <c r="AF201" s="3198"/>
      <c r="AG201" s="3198"/>
      <c r="AH201" s="3198"/>
      <c r="AI201" s="3198"/>
      <c r="AJ201" s="3198"/>
      <c r="AK201" s="3198"/>
      <c r="AL201" s="3198"/>
      <c r="AM201" s="3198"/>
      <c r="AN201" s="3198"/>
      <c r="AO201" s="3198"/>
      <c r="AP201" s="3198"/>
      <c r="AQ201" s="3198"/>
      <c r="AR201" s="3198"/>
      <c r="AS201" s="3198"/>
      <c r="AT201" s="3218"/>
      <c r="AU201" s="3219"/>
      <c r="AV201" s="488">
        <f t="shared" si="146"/>
        <v>0</v>
      </c>
      <c r="AW201" s="488">
        <f t="shared" si="147"/>
        <v>0</v>
      </c>
      <c r="AX201" s="488">
        <f t="shared" si="148"/>
        <v>0</v>
      </c>
      <c r="AY201" s="3235">
        <f t="shared" si="123"/>
        <v>0</v>
      </c>
      <c r="AZ201" s="3166">
        <f t="shared" si="124"/>
        <v>0</v>
      </c>
      <c r="BA201" s="3166">
        <f t="shared" si="125"/>
        <v>0</v>
      </c>
      <c r="BB201" s="3166">
        <f t="shared" si="126"/>
        <v>0</v>
      </c>
      <c r="BC201" s="3166">
        <f t="shared" si="127"/>
        <v>0</v>
      </c>
      <c r="BD201" s="3166">
        <f t="shared" si="128"/>
        <v>0</v>
      </c>
      <c r="BE201" s="3166">
        <f t="shared" si="129"/>
        <v>0</v>
      </c>
      <c r="BF201" s="3166">
        <f t="shared" si="130"/>
        <v>0</v>
      </c>
      <c r="BG201" s="3166">
        <f t="shared" si="131"/>
        <v>0</v>
      </c>
      <c r="BH201" s="3166">
        <f t="shared" si="132"/>
        <v>0</v>
      </c>
      <c r="BI201" s="3166">
        <f t="shared" si="133"/>
        <v>0</v>
      </c>
      <c r="BJ201" s="3166">
        <f t="shared" si="134"/>
        <v>0</v>
      </c>
      <c r="BK201" s="3166">
        <f t="shared" si="135"/>
        <v>0</v>
      </c>
      <c r="BL201" s="3166">
        <f t="shared" si="136"/>
        <v>0</v>
      </c>
      <c r="BM201" s="3166">
        <f t="shared" si="137"/>
        <v>0</v>
      </c>
      <c r="BN201" s="3166">
        <f t="shared" si="138"/>
        <v>0</v>
      </c>
      <c r="BO201" s="3166">
        <f t="shared" si="139"/>
        <v>0</v>
      </c>
      <c r="BP201" s="3166">
        <f t="shared" si="140"/>
        <v>0</v>
      </c>
      <c r="BQ201" s="3166">
        <f t="shared" si="141"/>
        <v>0</v>
      </c>
      <c r="BR201" s="3166">
        <f t="shared" si="142"/>
        <v>0</v>
      </c>
      <c r="BS201" s="3166">
        <f t="shared" si="143"/>
        <v>0</v>
      </c>
      <c r="BT201" s="3240">
        <f t="shared" si="144"/>
        <v>0</v>
      </c>
    </row>
    <row r="202" spans="1:72">
      <c r="A202" s="3163"/>
      <c r="B202" s="3163"/>
      <c r="C202" s="3163"/>
      <c r="D202" s="3176"/>
      <c r="E202" s="3166">
        <f t="shared" si="145"/>
        <v>0</v>
      </c>
      <c r="F202" s="3241"/>
      <c r="G202" s="3168">
        <f t="shared" si="120"/>
        <v>0</v>
      </c>
      <c r="H202" s="3169">
        <f t="shared" si="121"/>
        <v>0</v>
      </c>
      <c r="I202" s="3242"/>
      <c r="J202" s="3242"/>
      <c r="K202" s="3187"/>
      <c r="L202" s="3187"/>
      <c r="M202" s="3187"/>
      <c r="N202" s="3187"/>
      <c r="O202" s="3187"/>
      <c r="P202" s="3187"/>
      <c r="Q202" s="3187"/>
      <c r="R202" s="3187"/>
      <c r="S202" s="3187"/>
      <c r="T202" s="3187"/>
      <c r="U202" s="3187"/>
      <c r="V202" s="3187"/>
      <c r="W202" s="3187"/>
      <c r="X202" s="3187"/>
      <c r="Y202" s="3187"/>
      <c r="Z202" s="3187"/>
      <c r="AA202" s="3187"/>
      <c r="AB202" s="3187"/>
      <c r="AC202" s="3166">
        <f t="shared" si="122"/>
        <v>0</v>
      </c>
      <c r="AD202" s="3198"/>
      <c r="AE202" s="3198"/>
      <c r="AF202" s="3198"/>
      <c r="AG202" s="3198"/>
      <c r="AH202" s="3198"/>
      <c r="AI202" s="3198"/>
      <c r="AJ202" s="3198"/>
      <c r="AK202" s="3198"/>
      <c r="AL202" s="3198"/>
      <c r="AM202" s="3198"/>
      <c r="AN202" s="3198"/>
      <c r="AO202" s="3198"/>
      <c r="AP202" s="3198"/>
      <c r="AQ202" s="3198"/>
      <c r="AR202" s="3198"/>
      <c r="AS202" s="3198"/>
      <c r="AT202" s="3198"/>
      <c r="AU202" s="3243"/>
      <c r="AV202" s="488">
        <f t="shared" si="146"/>
        <v>0</v>
      </c>
      <c r="AW202" s="488">
        <f t="shared" si="147"/>
        <v>0</v>
      </c>
      <c r="AX202" s="488">
        <f t="shared" si="148"/>
        <v>0</v>
      </c>
      <c r="AY202" s="3235">
        <f t="shared" si="123"/>
        <v>0</v>
      </c>
      <c r="AZ202" s="3166">
        <f t="shared" si="124"/>
        <v>0</v>
      </c>
      <c r="BA202" s="3166">
        <f t="shared" si="125"/>
        <v>0</v>
      </c>
      <c r="BB202" s="3166">
        <f t="shared" si="126"/>
        <v>0</v>
      </c>
      <c r="BC202" s="3166">
        <f t="shared" si="127"/>
        <v>0</v>
      </c>
      <c r="BD202" s="3166">
        <f t="shared" si="128"/>
        <v>0</v>
      </c>
      <c r="BE202" s="3166">
        <f t="shared" si="129"/>
        <v>0</v>
      </c>
      <c r="BF202" s="3166">
        <f t="shared" si="130"/>
        <v>0</v>
      </c>
      <c r="BG202" s="3166">
        <f t="shared" si="131"/>
        <v>0</v>
      </c>
      <c r="BH202" s="3166">
        <f t="shared" si="132"/>
        <v>0</v>
      </c>
      <c r="BI202" s="3166">
        <f t="shared" si="133"/>
        <v>0</v>
      </c>
      <c r="BJ202" s="3166">
        <f t="shared" si="134"/>
        <v>0</v>
      </c>
      <c r="BK202" s="3166">
        <f t="shared" si="135"/>
        <v>0</v>
      </c>
      <c r="BL202" s="3166">
        <f t="shared" si="136"/>
        <v>0</v>
      </c>
      <c r="BM202" s="3166">
        <f t="shared" si="137"/>
        <v>0</v>
      </c>
      <c r="BN202" s="3166">
        <f t="shared" si="138"/>
        <v>0</v>
      </c>
      <c r="BO202" s="3166">
        <f t="shared" si="139"/>
        <v>0</v>
      </c>
      <c r="BP202" s="3166">
        <f t="shared" si="140"/>
        <v>0</v>
      </c>
      <c r="BQ202" s="3166">
        <f t="shared" si="141"/>
        <v>0</v>
      </c>
      <c r="BR202" s="3166">
        <f t="shared" si="142"/>
        <v>0</v>
      </c>
      <c r="BS202" s="3166">
        <f t="shared" si="143"/>
        <v>0</v>
      </c>
      <c r="BT202" s="3240">
        <f t="shared" si="144"/>
        <v>0</v>
      </c>
    </row>
    <row r="203" spans="1:72">
      <c r="A203" s="3163"/>
      <c r="B203" s="3163"/>
      <c r="C203" s="3163"/>
      <c r="D203" s="3176"/>
      <c r="E203" s="3166">
        <f t="shared" si="145"/>
        <v>0</v>
      </c>
      <c r="F203" s="3241"/>
      <c r="G203" s="3168">
        <f t="shared" si="120"/>
        <v>0</v>
      </c>
      <c r="H203" s="3169">
        <f t="shared" si="121"/>
        <v>0</v>
      </c>
      <c r="I203" s="3187"/>
      <c r="J203" s="3187"/>
      <c r="K203" s="3187"/>
      <c r="L203" s="3187"/>
      <c r="M203" s="3187"/>
      <c r="N203" s="3187"/>
      <c r="O203" s="3187"/>
      <c r="P203" s="3187"/>
      <c r="Q203" s="3187"/>
      <c r="R203" s="3187"/>
      <c r="S203" s="3187"/>
      <c r="T203" s="3187"/>
      <c r="U203" s="3187"/>
      <c r="V203" s="3187"/>
      <c r="W203" s="3187"/>
      <c r="X203" s="3187"/>
      <c r="Y203" s="3187"/>
      <c r="Z203" s="3187"/>
      <c r="AA203" s="3187"/>
      <c r="AB203" s="3187"/>
      <c r="AC203" s="3166">
        <f t="shared" si="122"/>
        <v>0</v>
      </c>
      <c r="AD203" s="3198"/>
      <c r="AE203" s="3198"/>
      <c r="AF203" s="3198"/>
      <c r="AG203" s="3198"/>
      <c r="AH203" s="3198"/>
      <c r="AI203" s="3198"/>
      <c r="AJ203" s="3198"/>
      <c r="AK203" s="3198"/>
      <c r="AL203" s="3198"/>
      <c r="AM203" s="3198"/>
      <c r="AN203" s="3198"/>
      <c r="AO203" s="3198"/>
      <c r="AP203" s="3198"/>
      <c r="AQ203" s="3198"/>
      <c r="AR203" s="3198"/>
      <c r="AS203" s="3198"/>
      <c r="AT203" s="3198"/>
      <c r="AU203" s="3243"/>
      <c r="AV203" s="488">
        <f t="shared" si="146"/>
        <v>0</v>
      </c>
      <c r="AW203" s="488">
        <f t="shared" si="147"/>
        <v>0</v>
      </c>
      <c r="AX203" s="488">
        <f t="shared" si="148"/>
        <v>0</v>
      </c>
      <c r="AY203" s="3235">
        <f t="shared" si="123"/>
        <v>0</v>
      </c>
      <c r="AZ203" s="3166">
        <f t="shared" si="124"/>
        <v>0</v>
      </c>
      <c r="BA203" s="3166">
        <f t="shared" si="125"/>
        <v>0</v>
      </c>
      <c r="BB203" s="3166">
        <f t="shared" si="126"/>
        <v>0</v>
      </c>
      <c r="BC203" s="3166">
        <f t="shared" si="127"/>
        <v>0</v>
      </c>
      <c r="BD203" s="3166">
        <f t="shared" si="128"/>
        <v>0</v>
      </c>
      <c r="BE203" s="3166">
        <f t="shared" si="129"/>
        <v>0</v>
      </c>
      <c r="BF203" s="3166">
        <f t="shared" si="130"/>
        <v>0</v>
      </c>
      <c r="BG203" s="3166">
        <f t="shared" si="131"/>
        <v>0</v>
      </c>
      <c r="BH203" s="3166">
        <f t="shared" si="132"/>
        <v>0</v>
      </c>
      <c r="BI203" s="3166">
        <f t="shared" si="133"/>
        <v>0</v>
      </c>
      <c r="BJ203" s="3166">
        <f t="shared" si="134"/>
        <v>0</v>
      </c>
      <c r="BK203" s="3166">
        <f t="shared" si="135"/>
        <v>0</v>
      </c>
      <c r="BL203" s="3166">
        <f t="shared" si="136"/>
        <v>0</v>
      </c>
      <c r="BM203" s="3166">
        <f t="shared" si="137"/>
        <v>0</v>
      </c>
      <c r="BN203" s="3166">
        <f t="shared" si="138"/>
        <v>0</v>
      </c>
      <c r="BO203" s="3166">
        <f t="shared" si="139"/>
        <v>0</v>
      </c>
      <c r="BP203" s="3166">
        <f t="shared" si="140"/>
        <v>0</v>
      </c>
      <c r="BQ203" s="3166">
        <f t="shared" si="141"/>
        <v>0</v>
      </c>
      <c r="BR203" s="3166">
        <f t="shared" si="142"/>
        <v>0</v>
      </c>
      <c r="BS203" s="3166">
        <f t="shared" si="143"/>
        <v>0</v>
      </c>
      <c r="BT203" s="3240">
        <f t="shared" si="144"/>
        <v>0</v>
      </c>
    </row>
    <row r="204" spans="1:72">
      <c r="A204" s="3163"/>
      <c r="B204" s="3163"/>
      <c r="C204" s="3163"/>
      <c r="D204" s="3176"/>
      <c r="E204" s="3166">
        <f t="shared" si="145"/>
        <v>0</v>
      </c>
      <c r="F204" s="3241"/>
      <c r="G204" s="3168">
        <f t="shared" si="120"/>
        <v>0</v>
      </c>
      <c r="H204" s="3169">
        <f t="shared" si="121"/>
        <v>0</v>
      </c>
      <c r="I204" s="3187"/>
      <c r="J204" s="3187"/>
      <c r="K204" s="3187"/>
      <c r="L204" s="3187"/>
      <c r="M204" s="3187"/>
      <c r="N204" s="3187"/>
      <c r="O204" s="3187"/>
      <c r="P204" s="3187"/>
      <c r="Q204" s="3187"/>
      <c r="R204" s="3187"/>
      <c r="S204" s="3187"/>
      <c r="T204" s="3187"/>
      <c r="U204" s="3187"/>
      <c r="V204" s="3187"/>
      <c r="W204" s="3187"/>
      <c r="X204" s="3187"/>
      <c r="Y204" s="3187"/>
      <c r="Z204" s="3187"/>
      <c r="AA204" s="3187"/>
      <c r="AB204" s="3187"/>
      <c r="AC204" s="3166">
        <f t="shared" si="122"/>
        <v>0</v>
      </c>
      <c r="AD204" s="3198"/>
      <c r="AE204" s="3198"/>
      <c r="AF204" s="3198"/>
      <c r="AG204" s="3198"/>
      <c r="AH204" s="3198"/>
      <c r="AI204" s="3198"/>
      <c r="AJ204" s="3198"/>
      <c r="AK204" s="3198"/>
      <c r="AL204" s="3198"/>
      <c r="AM204" s="3198"/>
      <c r="AN204" s="3198"/>
      <c r="AO204" s="3198"/>
      <c r="AP204" s="3198"/>
      <c r="AQ204" s="3198"/>
      <c r="AR204" s="3198"/>
      <c r="AS204" s="3198"/>
      <c r="AT204" s="3198"/>
      <c r="AU204" s="3243"/>
      <c r="AV204" s="488">
        <f t="shared" si="146"/>
        <v>0</v>
      </c>
      <c r="AW204" s="488">
        <f t="shared" si="147"/>
        <v>0</v>
      </c>
      <c r="AX204" s="488">
        <f t="shared" si="148"/>
        <v>0</v>
      </c>
      <c r="AY204" s="3235">
        <f t="shared" si="123"/>
        <v>0</v>
      </c>
      <c r="AZ204" s="3166">
        <f t="shared" si="124"/>
        <v>0</v>
      </c>
      <c r="BA204" s="3166">
        <f t="shared" si="125"/>
        <v>0</v>
      </c>
      <c r="BB204" s="3166">
        <f t="shared" si="126"/>
        <v>0</v>
      </c>
      <c r="BC204" s="3166">
        <f t="shared" si="127"/>
        <v>0</v>
      </c>
      <c r="BD204" s="3166">
        <f t="shared" si="128"/>
        <v>0</v>
      </c>
      <c r="BE204" s="3166">
        <f t="shared" si="129"/>
        <v>0</v>
      </c>
      <c r="BF204" s="3166">
        <f t="shared" si="130"/>
        <v>0</v>
      </c>
      <c r="BG204" s="3166">
        <f t="shared" si="131"/>
        <v>0</v>
      </c>
      <c r="BH204" s="3166">
        <f t="shared" si="132"/>
        <v>0</v>
      </c>
      <c r="BI204" s="3166">
        <f t="shared" si="133"/>
        <v>0</v>
      </c>
      <c r="BJ204" s="3166">
        <f t="shared" si="134"/>
        <v>0</v>
      </c>
      <c r="BK204" s="3166">
        <f t="shared" si="135"/>
        <v>0</v>
      </c>
      <c r="BL204" s="3166">
        <f t="shared" si="136"/>
        <v>0</v>
      </c>
      <c r="BM204" s="3166">
        <f t="shared" si="137"/>
        <v>0</v>
      </c>
      <c r="BN204" s="3166">
        <f t="shared" si="138"/>
        <v>0</v>
      </c>
      <c r="BO204" s="3166">
        <f t="shared" si="139"/>
        <v>0</v>
      </c>
      <c r="BP204" s="3166">
        <f t="shared" si="140"/>
        <v>0</v>
      </c>
      <c r="BQ204" s="3166">
        <f t="shared" si="141"/>
        <v>0</v>
      </c>
      <c r="BR204" s="3166">
        <f t="shared" si="142"/>
        <v>0</v>
      </c>
      <c r="BS204" s="3166">
        <f t="shared" si="143"/>
        <v>0</v>
      </c>
      <c r="BT204" s="3240">
        <f t="shared" si="144"/>
        <v>0</v>
      </c>
    </row>
    <row r="205" spans="1:72">
      <c r="A205" s="3163"/>
      <c r="B205" s="3173"/>
      <c r="C205" s="3171"/>
      <c r="D205" s="3172"/>
      <c r="E205" s="3166">
        <f t="shared" ref="E205:E296" si="149">IF($C$3="是",ROUND($A$3*G205/$B$3,2),ROUND($A$3*(G205-AT205)/$B$3,2))</f>
        <v>0</v>
      </c>
      <c r="F205" s="3167"/>
      <c r="G205" s="3168">
        <f t="shared" ref="G205:G293" si="150">H205+AC205+AT205</f>
        <v>0</v>
      </c>
      <c r="H205" s="3169">
        <f t="shared" ref="H205:H293" si="151">SUMIF(I$12:AB$12,"总值",I205:AB205)</f>
        <v>0</v>
      </c>
      <c r="I205" s="3175"/>
      <c r="J205" s="3187"/>
      <c r="K205" s="3175"/>
      <c r="L205" s="3187"/>
      <c r="M205" s="3187"/>
      <c r="N205" s="3187"/>
      <c r="O205" s="3187"/>
      <c r="P205" s="3187"/>
      <c r="Q205" s="3187"/>
      <c r="R205" s="3187"/>
      <c r="S205" s="3187"/>
      <c r="T205" s="3187"/>
      <c r="U205" s="3187"/>
      <c r="V205" s="3187"/>
      <c r="W205" s="3187"/>
      <c r="X205" s="3187"/>
      <c r="Y205" s="3187"/>
      <c r="Z205" s="3187"/>
      <c r="AA205" s="3187"/>
      <c r="AB205" s="3187"/>
      <c r="AC205" s="3166">
        <f t="shared" ref="AC205:AC293" si="152">SUMIF(AD$12:AS$12,"总值",AD205:AS205)</f>
        <v>0</v>
      </c>
      <c r="AD205" s="3198"/>
      <c r="AE205" s="3198"/>
      <c r="AF205" s="3199"/>
      <c r="AG205" s="3198"/>
      <c r="AH205" s="3198"/>
      <c r="AI205" s="3198"/>
      <c r="AJ205" s="3198"/>
      <c r="AK205" s="3198"/>
      <c r="AL205" s="3198"/>
      <c r="AM205" s="3198"/>
      <c r="AN205" s="3188"/>
      <c r="AO205" s="3198"/>
      <c r="AP205" s="3198"/>
      <c r="AQ205" s="3198"/>
      <c r="AR205" s="3198"/>
      <c r="AS205" s="3198"/>
      <c r="AT205" s="3218"/>
      <c r="AU205" s="3219"/>
      <c r="AV205" s="488">
        <f t="shared" ref="AV205:AV296" si="153">A205</f>
        <v>0</v>
      </c>
      <c r="AW205" s="488">
        <f t="shared" ref="AW205:AW296" si="154">B205</f>
        <v>0</v>
      </c>
      <c r="AX205" s="488">
        <f t="shared" ref="AX205:AX296" si="155">C205</f>
        <v>0</v>
      </c>
      <c r="AY205" s="3235">
        <f t="shared" ref="AY205:AY293" si="156">ROUND($AY$6*AZ205/$AZ$5,2)</f>
        <v>0</v>
      </c>
      <c r="AZ205" s="3166">
        <f t="shared" ref="AZ205:AZ293" si="157">BA205+BL205</f>
        <v>0</v>
      </c>
      <c r="BA205" s="3166">
        <f t="shared" ref="BA205:BA293" si="158">SUM(BB205:BK205)</f>
        <v>0</v>
      </c>
      <c r="BB205" s="3166">
        <f t="shared" ref="BB205:BB293" si="159">IF($D205="是",I205-J205,0)</f>
        <v>0</v>
      </c>
      <c r="BC205" s="3166">
        <f t="shared" ref="BC205:BC293" si="160">IF($D205="是",K205-L205,0)</f>
        <v>0</v>
      </c>
      <c r="BD205" s="3166">
        <f t="shared" ref="BD205:BD293" si="161">IF($D205="是",M205-N205,0)</f>
        <v>0</v>
      </c>
      <c r="BE205" s="3166">
        <f t="shared" ref="BE205:BE293" si="162">IF($D205="是",O205-P205,0)</f>
        <v>0</v>
      </c>
      <c r="BF205" s="3166">
        <f t="shared" ref="BF205:BF293" si="163">IF($D205="是",Q205-R205,0)</f>
        <v>0</v>
      </c>
      <c r="BG205" s="3166">
        <f t="shared" ref="BG205:BG293" si="164">IF($D205="是",S205-T205,0)</f>
        <v>0</v>
      </c>
      <c r="BH205" s="3166">
        <f t="shared" ref="BH205:BH293" si="165">IF($D205="是",U205-V205,0)</f>
        <v>0</v>
      </c>
      <c r="BI205" s="3166">
        <f t="shared" ref="BI205:BI293" si="166">IF($D205="是",W205-X205,0)</f>
        <v>0</v>
      </c>
      <c r="BJ205" s="3166">
        <f t="shared" ref="BJ205:BJ293" si="167">IF($D205="是",Y205-Z205,0)</f>
        <v>0</v>
      </c>
      <c r="BK205" s="3166">
        <f t="shared" ref="BK205:BK293" si="168">IF($D205="是",AA205-AB205,0)</f>
        <v>0</v>
      </c>
      <c r="BL205" s="3166">
        <f t="shared" ref="BL205:BL293" si="169">SUM(BM205:BT205)</f>
        <v>0</v>
      </c>
      <c r="BM205" s="3166">
        <f t="shared" ref="BM205:BM293" si="170">IF($D205="是",AD205-AE205,0)</f>
        <v>0</v>
      </c>
      <c r="BN205" s="3166">
        <f t="shared" ref="BN205:BN293" si="171">IF($D205="是",AF205-AG205,0)</f>
        <v>0</v>
      </c>
      <c r="BO205" s="3166">
        <f t="shared" ref="BO205:BO293" si="172">IF($D205="是",AH205-AI205,0)</f>
        <v>0</v>
      </c>
      <c r="BP205" s="3166">
        <f t="shared" ref="BP205:BP293" si="173">IF($D205="是",AJ205-AK205,0)</f>
        <v>0</v>
      </c>
      <c r="BQ205" s="3166">
        <f t="shared" ref="BQ205:BQ293" si="174">IF($D205="是",AL205-AM205,0)</f>
        <v>0</v>
      </c>
      <c r="BR205" s="3166">
        <f t="shared" ref="BR205:BR293" si="175">IF($D205="是",AN205-AO205,0)</f>
        <v>0</v>
      </c>
      <c r="BS205" s="3166">
        <f t="shared" ref="BS205:BS293" si="176">IF($D205="是",AP205-AQ205,0)</f>
        <v>0</v>
      </c>
      <c r="BT205" s="3240">
        <f t="shared" ref="BT205:BT293" si="177">IF($D205="是",AR205-AS205,0)</f>
        <v>0</v>
      </c>
    </row>
    <row r="206" spans="1:72">
      <c r="A206" s="3163"/>
      <c r="B206" s="3173"/>
      <c r="C206" s="3171"/>
      <c r="D206" s="3172"/>
      <c r="E206" s="3166">
        <f t="shared" si="149"/>
        <v>0</v>
      </c>
      <c r="F206" s="3167"/>
      <c r="G206" s="3168">
        <f t="shared" si="150"/>
        <v>0</v>
      </c>
      <c r="H206" s="3169">
        <f t="shared" si="151"/>
        <v>0</v>
      </c>
      <c r="I206" s="3175"/>
      <c r="J206" s="3187"/>
      <c r="K206" s="3175"/>
      <c r="L206" s="3187"/>
      <c r="M206" s="3188"/>
      <c r="N206" s="3187"/>
      <c r="O206" s="3187"/>
      <c r="P206" s="3187"/>
      <c r="Q206" s="3187"/>
      <c r="R206" s="3187"/>
      <c r="S206" s="3187"/>
      <c r="T206" s="3187"/>
      <c r="U206" s="3187"/>
      <c r="V206" s="3187"/>
      <c r="W206" s="3187"/>
      <c r="X206" s="3187"/>
      <c r="Y206" s="3187"/>
      <c r="Z206" s="3187"/>
      <c r="AA206" s="3187"/>
      <c r="AB206" s="3187"/>
      <c r="AC206" s="3166">
        <f t="shared" si="152"/>
        <v>0</v>
      </c>
      <c r="AD206" s="3188"/>
      <c r="AE206" s="3198"/>
      <c r="AF206" s="3199"/>
      <c r="AG206" s="3198"/>
      <c r="AH206" s="3198"/>
      <c r="AI206" s="3198"/>
      <c r="AJ206" s="3198"/>
      <c r="AK206" s="3198"/>
      <c r="AL206" s="3188"/>
      <c r="AM206" s="3198"/>
      <c r="AN206" s="3188"/>
      <c r="AO206" s="3198"/>
      <c r="AP206" s="3198"/>
      <c r="AQ206" s="3198"/>
      <c r="AR206" s="3198"/>
      <c r="AS206" s="3198"/>
      <c r="AT206" s="3218"/>
      <c r="AU206" s="3219"/>
      <c r="AV206" s="488">
        <f t="shared" si="153"/>
        <v>0</v>
      </c>
      <c r="AW206" s="488">
        <f t="shared" si="154"/>
        <v>0</v>
      </c>
      <c r="AX206" s="488">
        <f t="shared" si="155"/>
        <v>0</v>
      </c>
      <c r="AY206" s="3235">
        <f t="shared" si="156"/>
        <v>0</v>
      </c>
      <c r="AZ206" s="3166">
        <f t="shared" si="157"/>
        <v>0</v>
      </c>
      <c r="BA206" s="3166">
        <f t="shared" si="158"/>
        <v>0</v>
      </c>
      <c r="BB206" s="3166">
        <f t="shared" si="159"/>
        <v>0</v>
      </c>
      <c r="BC206" s="3166">
        <f t="shared" si="160"/>
        <v>0</v>
      </c>
      <c r="BD206" s="3166">
        <f t="shared" si="161"/>
        <v>0</v>
      </c>
      <c r="BE206" s="3166">
        <f t="shared" si="162"/>
        <v>0</v>
      </c>
      <c r="BF206" s="3166">
        <f t="shared" si="163"/>
        <v>0</v>
      </c>
      <c r="BG206" s="3166">
        <f t="shared" si="164"/>
        <v>0</v>
      </c>
      <c r="BH206" s="3166">
        <f t="shared" si="165"/>
        <v>0</v>
      </c>
      <c r="BI206" s="3166">
        <f t="shared" si="166"/>
        <v>0</v>
      </c>
      <c r="BJ206" s="3166">
        <f t="shared" si="167"/>
        <v>0</v>
      </c>
      <c r="BK206" s="3166">
        <f t="shared" si="168"/>
        <v>0</v>
      </c>
      <c r="BL206" s="3166">
        <f t="shared" si="169"/>
        <v>0</v>
      </c>
      <c r="BM206" s="3166">
        <f t="shared" si="170"/>
        <v>0</v>
      </c>
      <c r="BN206" s="3166">
        <f t="shared" si="171"/>
        <v>0</v>
      </c>
      <c r="BO206" s="3166">
        <f t="shared" si="172"/>
        <v>0</v>
      </c>
      <c r="BP206" s="3166">
        <f t="shared" si="173"/>
        <v>0</v>
      </c>
      <c r="BQ206" s="3166">
        <f t="shared" si="174"/>
        <v>0</v>
      </c>
      <c r="BR206" s="3166">
        <f t="shared" si="175"/>
        <v>0</v>
      </c>
      <c r="BS206" s="3166">
        <f t="shared" si="176"/>
        <v>0</v>
      </c>
      <c r="BT206" s="3240">
        <f t="shared" si="177"/>
        <v>0</v>
      </c>
    </row>
    <row r="207" spans="1:72">
      <c r="A207" s="3163"/>
      <c r="B207" s="3173"/>
      <c r="C207" s="3171"/>
      <c r="D207" s="3172"/>
      <c r="E207" s="3166">
        <f t="shared" si="149"/>
        <v>0</v>
      </c>
      <c r="F207" s="3167"/>
      <c r="G207" s="3168">
        <f t="shared" si="150"/>
        <v>0</v>
      </c>
      <c r="H207" s="3169">
        <f t="shared" si="151"/>
        <v>0</v>
      </c>
      <c r="I207" s="3175"/>
      <c r="J207" s="3187"/>
      <c r="K207" s="3175"/>
      <c r="L207" s="3187"/>
      <c r="M207" s="3188"/>
      <c r="N207" s="3187"/>
      <c r="O207" s="3187"/>
      <c r="P207" s="3187"/>
      <c r="Q207" s="3187"/>
      <c r="R207" s="3187"/>
      <c r="S207" s="3187"/>
      <c r="T207" s="3187"/>
      <c r="U207" s="3187"/>
      <c r="V207" s="3187"/>
      <c r="W207" s="3187"/>
      <c r="X207" s="3187"/>
      <c r="Y207" s="3187"/>
      <c r="Z207" s="3187"/>
      <c r="AA207" s="3187"/>
      <c r="AB207" s="3187"/>
      <c r="AC207" s="3166">
        <f t="shared" si="152"/>
        <v>0</v>
      </c>
      <c r="AD207" s="3198"/>
      <c r="AE207" s="3198"/>
      <c r="AF207" s="3199"/>
      <c r="AG207" s="3198"/>
      <c r="AH207" s="3198"/>
      <c r="AI207" s="3198"/>
      <c r="AJ207" s="3198"/>
      <c r="AK207" s="3198"/>
      <c r="AL207" s="3188"/>
      <c r="AM207" s="3198"/>
      <c r="AN207" s="3188"/>
      <c r="AO207" s="3198"/>
      <c r="AP207" s="3198"/>
      <c r="AQ207" s="3198"/>
      <c r="AR207" s="3198"/>
      <c r="AS207" s="3198"/>
      <c r="AT207" s="3218"/>
      <c r="AU207" s="3219"/>
      <c r="AV207" s="488">
        <f t="shared" si="153"/>
        <v>0</v>
      </c>
      <c r="AW207" s="488">
        <f t="shared" si="154"/>
        <v>0</v>
      </c>
      <c r="AX207" s="488">
        <f t="shared" si="155"/>
        <v>0</v>
      </c>
      <c r="AY207" s="3235">
        <f t="shared" si="156"/>
        <v>0</v>
      </c>
      <c r="AZ207" s="3166">
        <f t="shared" si="157"/>
        <v>0</v>
      </c>
      <c r="BA207" s="3166">
        <f t="shared" si="158"/>
        <v>0</v>
      </c>
      <c r="BB207" s="3166">
        <f t="shared" si="159"/>
        <v>0</v>
      </c>
      <c r="BC207" s="3166">
        <f t="shared" si="160"/>
        <v>0</v>
      </c>
      <c r="BD207" s="3166">
        <f t="shared" si="161"/>
        <v>0</v>
      </c>
      <c r="BE207" s="3166">
        <f t="shared" si="162"/>
        <v>0</v>
      </c>
      <c r="BF207" s="3166">
        <f t="shared" si="163"/>
        <v>0</v>
      </c>
      <c r="BG207" s="3166">
        <f t="shared" si="164"/>
        <v>0</v>
      </c>
      <c r="BH207" s="3166">
        <f t="shared" si="165"/>
        <v>0</v>
      </c>
      <c r="BI207" s="3166">
        <f t="shared" si="166"/>
        <v>0</v>
      </c>
      <c r="BJ207" s="3166">
        <f t="shared" si="167"/>
        <v>0</v>
      </c>
      <c r="BK207" s="3166">
        <f t="shared" si="168"/>
        <v>0</v>
      </c>
      <c r="BL207" s="3166">
        <f t="shared" si="169"/>
        <v>0</v>
      </c>
      <c r="BM207" s="3166">
        <f t="shared" si="170"/>
        <v>0</v>
      </c>
      <c r="BN207" s="3166">
        <f t="shared" si="171"/>
        <v>0</v>
      </c>
      <c r="BO207" s="3166">
        <f t="shared" si="172"/>
        <v>0</v>
      </c>
      <c r="BP207" s="3166">
        <f t="shared" si="173"/>
        <v>0</v>
      </c>
      <c r="BQ207" s="3166">
        <f t="shared" si="174"/>
        <v>0</v>
      </c>
      <c r="BR207" s="3166">
        <f t="shared" si="175"/>
        <v>0</v>
      </c>
      <c r="BS207" s="3166">
        <f t="shared" si="176"/>
        <v>0</v>
      </c>
      <c r="BT207" s="3240">
        <f t="shared" si="177"/>
        <v>0</v>
      </c>
    </row>
    <row r="208" spans="1:72">
      <c r="A208" s="3163"/>
      <c r="B208" s="3173"/>
      <c r="C208" s="3171"/>
      <c r="D208" s="3172"/>
      <c r="E208" s="3166">
        <f t="shared" si="149"/>
        <v>0</v>
      </c>
      <c r="F208" s="3167"/>
      <c r="G208" s="3168">
        <f t="shared" si="150"/>
        <v>0</v>
      </c>
      <c r="H208" s="3169">
        <f t="shared" si="151"/>
        <v>0</v>
      </c>
      <c r="I208" s="3175"/>
      <c r="J208" s="3187"/>
      <c r="K208" s="3175"/>
      <c r="L208" s="3187"/>
      <c r="M208" s="3187"/>
      <c r="N208" s="3187"/>
      <c r="O208" s="3188"/>
      <c r="P208" s="3187"/>
      <c r="Q208" s="3187"/>
      <c r="R208" s="3187"/>
      <c r="S208" s="3187"/>
      <c r="T208" s="3187"/>
      <c r="U208" s="3187"/>
      <c r="V208" s="3187"/>
      <c r="W208" s="3187"/>
      <c r="X208" s="3187"/>
      <c r="Y208" s="3187"/>
      <c r="Z208" s="3187"/>
      <c r="AA208" s="3187"/>
      <c r="AB208" s="3187"/>
      <c r="AC208" s="3166">
        <f t="shared" si="152"/>
        <v>0</v>
      </c>
      <c r="AD208" s="3198"/>
      <c r="AE208" s="3198"/>
      <c r="AF208" s="3199"/>
      <c r="AG208" s="3198"/>
      <c r="AH208" s="3198"/>
      <c r="AI208" s="3198"/>
      <c r="AJ208" s="3198"/>
      <c r="AK208" s="3198"/>
      <c r="AL208" s="3198"/>
      <c r="AM208" s="3198"/>
      <c r="AN208" s="3188"/>
      <c r="AO208" s="3198"/>
      <c r="AP208" s="3198"/>
      <c r="AQ208" s="3198"/>
      <c r="AR208" s="3198"/>
      <c r="AS208" s="3198"/>
      <c r="AT208" s="3218"/>
      <c r="AU208" s="3219"/>
      <c r="AV208" s="488">
        <f t="shared" si="153"/>
        <v>0</v>
      </c>
      <c r="AW208" s="488">
        <f t="shared" si="154"/>
        <v>0</v>
      </c>
      <c r="AX208" s="488">
        <f t="shared" si="155"/>
        <v>0</v>
      </c>
      <c r="AY208" s="3235">
        <f t="shared" si="156"/>
        <v>0</v>
      </c>
      <c r="AZ208" s="3166">
        <f t="shared" si="157"/>
        <v>0</v>
      </c>
      <c r="BA208" s="3166">
        <f t="shared" si="158"/>
        <v>0</v>
      </c>
      <c r="BB208" s="3166">
        <f t="shared" si="159"/>
        <v>0</v>
      </c>
      <c r="BC208" s="3166">
        <f t="shared" si="160"/>
        <v>0</v>
      </c>
      <c r="BD208" s="3166">
        <f t="shared" si="161"/>
        <v>0</v>
      </c>
      <c r="BE208" s="3166">
        <f t="shared" si="162"/>
        <v>0</v>
      </c>
      <c r="BF208" s="3166">
        <f t="shared" si="163"/>
        <v>0</v>
      </c>
      <c r="BG208" s="3166">
        <f t="shared" si="164"/>
        <v>0</v>
      </c>
      <c r="BH208" s="3166">
        <f t="shared" si="165"/>
        <v>0</v>
      </c>
      <c r="BI208" s="3166">
        <f t="shared" si="166"/>
        <v>0</v>
      </c>
      <c r="BJ208" s="3166">
        <f t="shared" si="167"/>
        <v>0</v>
      </c>
      <c r="BK208" s="3166">
        <f t="shared" si="168"/>
        <v>0</v>
      </c>
      <c r="BL208" s="3166">
        <f t="shared" si="169"/>
        <v>0</v>
      </c>
      <c r="BM208" s="3166">
        <f t="shared" si="170"/>
        <v>0</v>
      </c>
      <c r="BN208" s="3166">
        <f t="shared" si="171"/>
        <v>0</v>
      </c>
      <c r="BO208" s="3166">
        <f t="shared" si="172"/>
        <v>0</v>
      </c>
      <c r="BP208" s="3166">
        <f t="shared" si="173"/>
        <v>0</v>
      </c>
      <c r="BQ208" s="3166">
        <f t="shared" si="174"/>
        <v>0</v>
      </c>
      <c r="BR208" s="3166">
        <f t="shared" si="175"/>
        <v>0</v>
      </c>
      <c r="BS208" s="3166">
        <f t="shared" si="176"/>
        <v>0</v>
      </c>
      <c r="BT208" s="3240">
        <f t="shared" si="177"/>
        <v>0</v>
      </c>
    </row>
    <row r="209" spans="1:72">
      <c r="A209" s="3163"/>
      <c r="B209" s="3173"/>
      <c r="C209" s="3171"/>
      <c r="D209" s="3172"/>
      <c r="E209" s="3166">
        <f t="shared" si="149"/>
        <v>0</v>
      </c>
      <c r="F209" s="3167"/>
      <c r="G209" s="3168">
        <f t="shared" si="150"/>
        <v>0</v>
      </c>
      <c r="H209" s="3169">
        <f t="shared" si="151"/>
        <v>0</v>
      </c>
      <c r="I209" s="3175"/>
      <c r="J209" s="3187"/>
      <c r="K209" s="3175"/>
      <c r="L209" s="3187"/>
      <c r="M209" s="3187"/>
      <c r="N209" s="3187"/>
      <c r="O209" s="3187"/>
      <c r="P209" s="3187"/>
      <c r="Q209" s="3187"/>
      <c r="R209" s="3187"/>
      <c r="S209" s="3187"/>
      <c r="T209" s="3187"/>
      <c r="U209" s="3187"/>
      <c r="V209" s="3187"/>
      <c r="W209" s="3187"/>
      <c r="X209" s="3187"/>
      <c r="Y209" s="3187"/>
      <c r="Z209" s="3187"/>
      <c r="AA209" s="3187"/>
      <c r="AB209" s="3187"/>
      <c r="AC209" s="3166">
        <f t="shared" si="152"/>
        <v>0</v>
      </c>
      <c r="AD209" s="3198"/>
      <c r="AE209" s="3198"/>
      <c r="AF209" s="3199"/>
      <c r="AG209" s="3198"/>
      <c r="AH209" s="3198"/>
      <c r="AI209" s="3198"/>
      <c r="AJ209" s="3198"/>
      <c r="AK209" s="3198"/>
      <c r="AL209" s="3198"/>
      <c r="AM209" s="3198"/>
      <c r="AN209" s="3198"/>
      <c r="AO209" s="3198"/>
      <c r="AP209" s="3198"/>
      <c r="AQ209" s="3198"/>
      <c r="AR209" s="3198"/>
      <c r="AS209" s="3198"/>
      <c r="AT209" s="3218"/>
      <c r="AU209" s="3219"/>
      <c r="AV209" s="488">
        <f t="shared" si="153"/>
        <v>0</v>
      </c>
      <c r="AW209" s="488">
        <f t="shared" si="154"/>
        <v>0</v>
      </c>
      <c r="AX209" s="488">
        <f t="shared" si="155"/>
        <v>0</v>
      </c>
      <c r="AY209" s="3235">
        <f t="shared" si="156"/>
        <v>0</v>
      </c>
      <c r="AZ209" s="3166">
        <f t="shared" si="157"/>
        <v>0</v>
      </c>
      <c r="BA209" s="3166">
        <f t="shared" si="158"/>
        <v>0</v>
      </c>
      <c r="BB209" s="3166">
        <f t="shared" si="159"/>
        <v>0</v>
      </c>
      <c r="BC209" s="3166">
        <f t="shared" si="160"/>
        <v>0</v>
      </c>
      <c r="BD209" s="3166">
        <f t="shared" si="161"/>
        <v>0</v>
      </c>
      <c r="BE209" s="3166">
        <f t="shared" si="162"/>
        <v>0</v>
      </c>
      <c r="BF209" s="3166">
        <f t="shared" si="163"/>
        <v>0</v>
      </c>
      <c r="BG209" s="3166">
        <f t="shared" si="164"/>
        <v>0</v>
      </c>
      <c r="BH209" s="3166">
        <f t="shared" si="165"/>
        <v>0</v>
      </c>
      <c r="BI209" s="3166">
        <f t="shared" si="166"/>
        <v>0</v>
      </c>
      <c r="BJ209" s="3166">
        <f t="shared" si="167"/>
        <v>0</v>
      </c>
      <c r="BK209" s="3166">
        <f t="shared" si="168"/>
        <v>0</v>
      </c>
      <c r="BL209" s="3166">
        <f t="shared" si="169"/>
        <v>0</v>
      </c>
      <c r="BM209" s="3166">
        <f t="shared" si="170"/>
        <v>0</v>
      </c>
      <c r="BN209" s="3166">
        <f t="shared" si="171"/>
        <v>0</v>
      </c>
      <c r="BO209" s="3166">
        <f t="shared" si="172"/>
        <v>0</v>
      </c>
      <c r="BP209" s="3166">
        <f t="shared" si="173"/>
        <v>0</v>
      </c>
      <c r="BQ209" s="3166">
        <f t="shared" si="174"/>
        <v>0</v>
      </c>
      <c r="BR209" s="3166">
        <f t="shared" si="175"/>
        <v>0</v>
      </c>
      <c r="BS209" s="3166">
        <f t="shared" si="176"/>
        <v>0</v>
      </c>
      <c r="BT209" s="3240">
        <f t="shared" si="177"/>
        <v>0</v>
      </c>
    </row>
    <row r="210" spans="1:72">
      <c r="A210" s="3163"/>
      <c r="B210" s="3173"/>
      <c r="C210" s="3171"/>
      <c r="D210" s="3172"/>
      <c r="E210" s="3166">
        <f t="shared" si="149"/>
        <v>0</v>
      </c>
      <c r="F210" s="3167"/>
      <c r="G210" s="3168">
        <f t="shared" si="150"/>
        <v>0</v>
      </c>
      <c r="H210" s="3169">
        <f t="shared" si="151"/>
        <v>0</v>
      </c>
      <c r="I210" s="3175"/>
      <c r="J210" s="3187"/>
      <c r="K210" s="3175"/>
      <c r="L210" s="3187"/>
      <c r="M210" s="3187"/>
      <c r="N210" s="3187"/>
      <c r="O210" s="3187"/>
      <c r="P210" s="3187"/>
      <c r="Q210" s="3187"/>
      <c r="R210" s="3187"/>
      <c r="S210" s="3187"/>
      <c r="T210" s="3187"/>
      <c r="U210" s="3187"/>
      <c r="V210" s="3187"/>
      <c r="W210" s="3187"/>
      <c r="X210" s="3187"/>
      <c r="Y210" s="3187"/>
      <c r="Z210" s="3187"/>
      <c r="AA210" s="3187"/>
      <c r="AB210" s="3187"/>
      <c r="AC210" s="3166">
        <f t="shared" si="152"/>
        <v>0</v>
      </c>
      <c r="AD210" s="3198"/>
      <c r="AE210" s="3198"/>
      <c r="AF210" s="3199"/>
      <c r="AG210" s="3198"/>
      <c r="AH210" s="3198"/>
      <c r="AI210" s="3198"/>
      <c r="AJ210" s="3198"/>
      <c r="AK210" s="3198"/>
      <c r="AL210" s="3198"/>
      <c r="AM210" s="3198"/>
      <c r="AN210" s="3198"/>
      <c r="AO210" s="3198"/>
      <c r="AP210" s="3198"/>
      <c r="AQ210" s="3198"/>
      <c r="AR210" s="3198"/>
      <c r="AS210" s="3198"/>
      <c r="AT210" s="3218"/>
      <c r="AU210" s="3219"/>
      <c r="AV210" s="488">
        <f t="shared" si="153"/>
        <v>0</v>
      </c>
      <c r="AW210" s="488">
        <f t="shared" si="154"/>
        <v>0</v>
      </c>
      <c r="AX210" s="488">
        <f t="shared" si="155"/>
        <v>0</v>
      </c>
      <c r="AY210" s="3235">
        <f t="shared" si="156"/>
        <v>0</v>
      </c>
      <c r="AZ210" s="3166">
        <f t="shared" si="157"/>
        <v>0</v>
      </c>
      <c r="BA210" s="3166">
        <f t="shared" si="158"/>
        <v>0</v>
      </c>
      <c r="BB210" s="3166">
        <f t="shared" si="159"/>
        <v>0</v>
      </c>
      <c r="BC210" s="3166">
        <f t="shared" si="160"/>
        <v>0</v>
      </c>
      <c r="BD210" s="3166">
        <f t="shared" si="161"/>
        <v>0</v>
      </c>
      <c r="BE210" s="3166">
        <f t="shared" si="162"/>
        <v>0</v>
      </c>
      <c r="BF210" s="3166">
        <f t="shared" si="163"/>
        <v>0</v>
      </c>
      <c r="BG210" s="3166">
        <f t="shared" si="164"/>
        <v>0</v>
      </c>
      <c r="BH210" s="3166">
        <f t="shared" si="165"/>
        <v>0</v>
      </c>
      <c r="BI210" s="3166">
        <f t="shared" si="166"/>
        <v>0</v>
      </c>
      <c r="BJ210" s="3166">
        <f t="shared" si="167"/>
        <v>0</v>
      </c>
      <c r="BK210" s="3166">
        <f t="shared" si="168"/>
        <v>0</v>
      </c>
      <c r="BL210" s="3166">
        <f t="shared" si="169"/>
        <v>0</v>
      </c>
      <c r="BM210" s="3166">
        <f t="shared" si="170"/>
        <v>0</v>
      </c>
      <c r="BN210" s="3166">
        <f t="shared" si="171"/>
        <v>0</v>
      </c>
      <c r="BO210" s="3166">
        <f t="shared" si="172"/>
        <v>0</v>
      </c>
      <c r="BP210" s="3166">
        <f t="shared" si="173"/>
        <v>0</v>
      </c>
      <c r="BQ210" s="3166">
        <f t="shared" si="174"/>
        <v>0</v>
      </c>
      <c r="BR210" s="3166">
        <f t="shared" si="175"/>
        <v>0</v>
      </c>
      <c r="BS210" s="3166">
        <f t="shared" si="176"/>
        <v>0</v>
      </c>
      <c r="BT210" s="3240">
        <f t="shared" si="177"/>
        <v>0</v>
      </c>
    </row>
    <row r="211" spans="1:72">
      <c r="A211" s="3163"/>
      <c r="B211" s="3173"/>
      <c r="C211" s="3171"/>
      <c r="D211" s="3172"/>
      <c r="E211" s="3166">
        <f t="shared" si="149"/>
        <v>0</v>
      </c>
      <c r="F211" s="3167"/>
      <c r="G211" s="3168">
        <f t="shared" si="150"/>
        <v>0</v>
      </c>
      <c r="H211" s="3169">
        <f t="shared" si="151"/>
        <v>0</v>
      </c>
      <c r="I211" s="3175"/>
      <c r="J211" s="3187"/>
      <c r="K211" s="3175"/>
      <c r="L211" s="3187"/>
      <c r="M211" s="3187"/>
      <c r="N211" s="3187"/>
      <c r="O211" s="3187"/>
      <c r="P211" s="3187"/>
      <c r="Q211" s="3187"/>
      <c r="R211" s="3187"/>
      <c r="S211" s="3187"/>
      <c r="T211" s="3187"/>
      <c r="U211" s="3187"/>
      <c r="V211" s="3187"/>
      <c r="W211" s="3187"/>
      <c r="X211" s="3187"/>
      <c r="Y211" s="3187"/>
      <c r="Z211" s="3187"/>
      <c r="AA211" s="3187"/>
      <c r="AB211" s="3187"/>
      <c r="AC211" s="3166">
        <f t="shared" si="152"/>
        <v>0</v>
      </c>
      <c r="AD211" s="3198"/>
      <c r="AE211" s="3198"/>
      <c r="AF211" s="3199"/>
      <c r="AG211" s="3198"/>
      <c r="AH211" s="3198"/>
      <c r="AI211" s="3198"/>
      <c r="AJ211" s="3198"/>
      <c r="AK211" s="3198"/>
      <c r="AL211" s="3198"/>
      <c r="AM211" s="3198"/>
      <c r="AN211" s="3198"/>
      <c r="AO211" s="3198"/>
      <c r="AP211" s="3198"/>
      <c r="AQ211" s="3198"/>
      <c r="AR211" s="3198"/>
      <c r="AS211" s="3198"/>
      <c r="AT211" s="3218"/>
      <c r="AU211" s="3219"/>
      <c r="AV211" s="488">
        <f t="shared" si="153"/>
        <v>0</v>
      </c>
      <c r="AW211" s="488">
        <f t="shared" si="154"/>
        <v>0</v>
      </c>
      <c r="AX211" s="488">
        <f t="shared" si="155"/>
        <v>0</v>
      </c>
      <c r="AY211" s="3235">
        <f t="shared" si="156"/>
        <v>0</v>
      </c>
      <c r="AZ211" s="3166">
        <f t="shared" si="157"/>
        <v>0</v>
      </c>
      <c r="BA211" s="3166">
        <f t="shared" si="158"/>
        <v>0</v>
      </c>
      <c r="BB211" s="3166">
        <f t="shared" si="159"/>
        <v>0</v>
      </c>
      <c r="BC211" s="3166">
        <f t="shared" si="160"/>
        <v>0</v>
      </c>
      <c r="BD211" s="3166">
        <f t="shared" si="161"/>
        <v>0</v>
      </c>
      <c r="BE211" s="3166">
        <f t="shared" si="162"/>
        <v>0</v>
      </c>
      <c r="BF211" s="3166">
        <f t="shared" si="163"/>
        <v>0</v>
      </c>
      <c r="BG211" s="3166">
        <f t="shared" si="164"/>
        <v>0</v>
      </c>
      <c r="BH211" s="3166">
        <f t="shared" si="165"/>
        <v>0</v>
      </c>
      <c r="BI211" s="3166">
        <f t="shared" si="166"/>
        <v>0</v>
      </c>
      <c r="BJ211" s="3166">
        <f t="shared" si="167"/>
        <v>0</v>
      </c>
      <c r="BK211" s="3166">
        <f t="shared" si="168"/>
        <v>0</v>
      </c>
      <c r="BL211" s="3166">
        <f t="shared" si="169"/>
        <v>0</v>
      </c>
      <c r="BM211" s="3166">
        <f t="shared" si="170"/>
        <v>0</v>
      </c>
      <c r="BN211" s="3166">
        <f t="shared" si="171"/>
        <v>0</v>
      </c>
      <c r="BO211" s="3166">
        <f t="shared" si="172"/>
        <v>0</v>
      </c>
      <c r="BP211" s="3166">
        <f t="shared" si="173"/>
        <v>0</v>
      </c>
      <c r="BQ211" s="3166">
        <f t="shared" si="174"/>
        <v>0</v>
      </c>
      <c r="BR211" s="3166">
        <f t="shared" si="175"/>
        <v>0</v>
      </c>
      <c r="BS211" s="3166">
        <f t="shared" si="176"/>
        <v>0</v>
      </c>
      <c r="BT211" s="3240">
        <f t="shared" si="177"/>
        <v>0</v>
      </c>
    </row>
    <row r="212" spans="1:72">
      <c r="A212" s="3163"/>
      <c r="B212" s="3173"/>
      <c r="C212" s="3171"/>
      <c r="D212" s="3172"/>
      <c r="E212" s="3166">
        <f t="shared" si="149"/>
        <v>0</v>
      </c>
      <c r="F212" s="3167"/>
      <c r="G212" s="3168">
        <f t="shared" si="150"/>
        <v>0</v>
      </c>
      <c r="H212" s="3169">
        <f t="shared" si="151"/>
        <v>0</v>
      </c>
      <c r="I212" s="3175"/>
      <c r="J212" s="3187"/>
      <c r="K212" s="3175"/>
      <c r="L212" s="3187"/>
      <c r="M212" s="3187"/>
      <c r="N212" s="3187"/>
      <c r="O212" s="3187"/>
      <c r="P212" s="3187"/>
      <c r="Q212" s="3187"/>
      <c r="R212" s="3187"/>
      <c r="S212" s="3187"/>
      <c r="T212" s="3187"/>
      <c r="U212" s="3187"/>
      <c r="V212" s="3187"/>
      <c r="W212" s="3187"/>
      <c r="X212" s="3187"/>
      <c r="Y212" s="3187"/>
      <c r="Z212" s="3187"/>
      <c r="AA212" s="3187"/>
      <c r="AB212" s="3187"/>
      <c r="AC212" s="3166">
        <f t="shared" si="152"/>
        <v>0</v>
      </c>
      <c r="AD212" s="3198"/>
      <c r="AE212" s="3198"/>
      <c r="AF212" s="3175"/>
      <c r="AG212" s="3198"/>
      <c r="AH212" s="3198"/>
      <c r="AI212" s="3198"/>
      <c r="AJ212" s="3198"/>
      <c r="AK212" s="3198"/>
      <c r="AL212" s="3198"/>
      <c r="AM212" s="3198"/>
      <c r="AN212" s="3198"/>
      <c r="AO212" s="3198"/>
      <c r="AP212" s="3198"/>
      <c r="AQ212" s="3198"/>
      <c r="AR212" s="3198"/>
      <c r="AS212" s="3198"/>
      <c r="AT212" s="3218"/>
      <c r="AU212" s="3219"/>
      <c r="AV212" s="488">
        <f t="shared" si="153"/>
        <v>0</v>
      </c>
      <c r="AW212" s="488">
        <f t="shared" si="154"/>
        <v>0</v>
      </c>
      <c r="AX212" s="488">
        <f t="shared" si="155"/>
        <v>0</v>
      </c>
      <c r="AY212" s="3235">
        <f t="shared" si="156"/>
        <v>0</v>
      </c>
      <c r="AZ212" s="3166">
        <f t="shared" si="157"/>
        <v>0</v>
      </c>
      <c r="BA212" s="3166">
        <f t="shared" si="158"/>
        <v>0</v>
      </c>
      <c r="BB212" s="3166">
        <f t="shared" si="159"/>
        <v>0</v>
      </c>
      <c r="BC212" s="3166">
        <f t="shared" si="160"/>
        <v>0</v>
      </c>
      <c r="BD212" s="3166">
        <f t="shared" si="161"/>
        <v>0</v>
      </c>
      <c r="BE212" s="3166">
        <f t="shared" si="162"/>
        <v>0</v>
      </c>
      <c r="BF212" s="3166">
        <f t="shared" si="163"/>
        <v>0</v>
      </c>
      <c r="BG212" s="3166">
        <f t="shared" si="164"/>
        <v>0</v>
      </c>
      <c r="BH212" s="3166">
        <f t="shared" si="165"/>
        <v>0</v>
      </c>
      <c r="BI212" s="3166">
        <f t="shared" si="166"/>
        <v>0</v>
      </c>
      <c r="BJ212" s="3166">
        <f t="shared" si="167"/>
        <v>0</v>
      </c>
      <c r="BK212" s="3166">
        <f t="shared" si="168"/>
        <v>0</v>
      </c>
      <c r="BL212" s="3166">
        <f t="shared" si="169"/>
        <v>0</v>
      </c>
      <c r="BM212" s="3166">
        <f t="shared" si="170"/>
        <v>0</v>
      </c>
      <c r="BN212" s="3166">
        <f t="shared" si="171"/>
        <v>0</v>
      </c>
      <c r="BO212" s="3166">
        <f t="shared" si="172"/>
        <v>0</v>
      </c>
      <c r="BP212" s="3166">
        <f t="shared" si="173"/>
        <v>0</v>
      </c>
      <c r="BQ212" s="3166">
        <f t="shared" si="174"/>
        <v>0</v>
      </c>
      <c r="BR212" s="3166">
        <f t="shared" si="175"/>
        <v>0</v>
      </c>
      <c r="BS212" s="3166">
        <f t="shared" si="176"/>
        <v>0</v>
      </c>
      <c r="BT212" s="3240">
        <f t="shared" si="177"/>
        <v>0</v>
      </c>
    </row>
    <row r="213" spans="1:72">
      <c r="A213" s="3163"/>
      <c r="B213" s="3174"/>
      <c r="C213" s="3175"/>
      <c r="D213" s="3172"/>
      <c r="E213" s="3166">
        <f t="shared" si="149"/>
        <v>0</v>
      </c>
      <c r="F213" s="3167"/>
      <c r="G213" s="3168">
        <f t="shared" si="150"/>
        <v>0</v>
      </c>
      <c r="H213" s="3169">
        <f t="shared" si="151"/>
        <v>0</v>
      </c>
      <c r="I213" s="3175"/>
      <c r="J213" s="3187"/>
      <c r="K213" s="3175"/>
      <c r="L213" s="3187"/>
      <c r="M213" s="3187"/>
      <c r="N213" s="3187"/>
      <c r="O213" s="3187"/>
      <c r="P213" s="3187"/>
      <c r="Q213" s="3187"/>
      <c r="R213" s="3187"/>
      <c r="S213" s="3187"/>
      <c r="T213" s="3187"/>
      <c r="U213" s="3187"/>
      <c r="V213" s="3187"/>
      <c r="W213" s="3187"/>
      <c r="X213" s="3187"/>
      <c r="Y213" s="3187"/>
      <c r="Z213" s="3187"/>
      <c r="AA213" s="3187"/>
      <c r="AB213" s="3187"/>
      <c r="AC213" s="3166">
        <f t="shared" si="152"/>
        <v>0</v>
      </c>
      <c r="AD213" s="3198"/>
      <c r="AE213" s="3198"/>
      <c r="AF213" s="3175"/>
      <c r="AG213" s="3198"/>
      <c r="AH213" s="3198"/>
      <c r="AI213" s="3198"/>
      <c r="AJ213" s="3198"/>
      <c r="AK213" s="3198"/>
      <c r="AL213" s="3198"/>
      <c r="AM213" s="3198"/>
      <c r="AN213" s="3198"/>
      <c r="AO213" s="3198"/>
      <c r="AP213" s="3198"/>
      <c r="AQ213" s="3198"/>
      <c r="AR213" s="3198"/>
      <c r="AS213" s="3198"/>
      <c r="AT213" s="3218"/>
      <c r="AU213" s="3219"/>
      <c r="AV213" s="488">
        <f t="shared" si="153"/>
        <v>0</v>
      </c>
      <c r="AW213" s="488">
        <f t="shared" si="154"/>
        <v>0</v>
      </c>
      <c r="AX213" s="488">
        <f t="shared" si="155"/>
        <v>0</v>
      </c>
      <c r="AY213" s="3235">
        <f t="shared" si="156"/>
        <v>0</v>
      </c>
      <c r="AZ213" s="3166">
        <f t="shared" si="157"/>
        <v>0</v>
      </c>
      <c r="BA213" s="3166">
        <f t="shared" si="158"/>
        <v>0</v>
      </c>
      <c r="BB213" s="3166">
        <f t="shared" si="159"/>
        <v>0</v>
      </c>
      <c r="BC213" s="3166">
        <f t="shared" si="160"/>
        <v>0</v>
      </c>
      <c r="BD213" s="3166">
        <f t="shared" si="161"/>
        <v>0</v>
      </c>
      <c r="BE213" s="3166">
        <f t="shared" si="162"/>
        <v>0</v>
      </c>
      <c r="BF213" s="3166">
        <f t="shared" si="163"/>
        <v>0</v>
      </c>
      <c r="BG213" s="3166">
        <f t="shared" si="164"/>
        <v>0</v>
      </c>
      <c r="BH213" s="3166">
        <f t="shared" si="165"/>
        <v>0</v>
      </c>
      <c r="BI213" s="3166">
        <f t="shared" si="166"/>
        <v>0</v>
      </c>
      <c r="BJ213" s="3166">
        <f t="shared" si="167"/>
        <v>0</v>
      </c>
      <c r="BK213" s="3166">
        <f t="shared" si="168"/>
        <v>0</v>
      </c>
      <c r="BL213" s="3166">
        <f t="shared" si="169"/>
        <v>0</v>
      </c>
      <c r="BM213" s="3166">
        <f t="shared" si="170"/>
        <v>0</v>
      </c>
      <c r="BN213" s="3166">
        <f t="shared" si="171"/>
        <v>0</v>
      </c>
      <c r="BO213" s="3166">
        <f t="shared" si="172"/>
        <v>0</v>
      </c>
      <c r="BP213" s="3166">
        <f t="shared" si="173"/>
        <v>0</v>
      </c>
      <c r="BQ213" s="3166">
        <f t="shared" si="174"/>
        <v>0</v>
      </c>
      <c r="BR213" s="3166">
        <f t="shared" si="175"/>
        <v>0</v>
      </c>
      <c r="BS213" s="3166">
        <f t="shared" si="176"/>
        <v>0</v>
      </c>
      <c r="BT213" s="3240">
        <f t="shared" si="177"/>
        <v>0</v>
      </c>
    </row>
    <row r="214" spans="1:72">
      <c r="A214" s="3163"/>
      <c r="B214" s="3173"/>
      <c r="C214" s="3171"/>
      <c r="D214" s="3172"/>
      <c r="E214" s="3166">
        <f t="shared" si="149"/>
        <v>0</v>
      </c>
      <c r="F214" s="3167"/>
      <c r="G214" s="3168">
        <f t="shared" si="150"/>
        <v>0</v>
      </c>
      <c r="H214" s="3169">
        <f t="shared" si="151"/>
        <v>0</v>
      </c>
      <c r="I214" s="3175"/>
      <c r="J214" s="3187"/>
      <c r="K214" s="3175"/>
      <c r="L214" s="3187"/>
      <c r="M214" s="3187"/>
      <c r="N214" s="3187"/>
      <c r="O214" s="3187"/>
      <c r="P214" s="3187"/>
      <c r="Q214" s="3187"/>
      <c r="R214" s="3187"/>
      <c r="S214" s="3187"/>
      <c r="T214" s="3187"/>
      <c r="U214" s="3187"/>
      <c r="V214" s="3187"/>
      <c r="W214" s="3187"/>
      <c r="X214" s="3187"/>
      <c r="Y214" s="3187"/>
      <c r="Z214" s="3187"/>
      <c r="AA214" s="3187"/>
      <c r="AB214" s="3187"/>
      <c r="AC214" s="3166">
        <f t="shared" si="152"/>
        <v>0</v>
      </c>
      <c r="AD214" s="3198"/>
      <c r="AE214" s="3198"/>
      <c r="AF214" s="3175"/>
      <c r="AG214" s="3198"/>
      <c r="AH214" s="3198"/>
      <c r="AI214" s="3198"/>
      <c r="AJ214" s="3198"/>
      <c r="AK214" s="3198"/>
      <c r="AL214" s="3198"/>
      <c r="AM214" s="3198"/>
      <c r="AN214" s="3198"/>
      <c r="AO214" s="3198"/>
      <c r="AP214" s="3198"/>
      <c r="AQ214" s="3198"/>
      <c r="AR214" s="3198"/>
      <c r="AS214" s="3198"/>
      <c r="AT214" s="3218"/>
      <c r="AU214" s="3219"/>
      <c r="AV214" s="488">
        <f t="shared" si="153"/>
        <v>0</v>
      </c>
      <c r="AW214" s="488">
        <f t="shared" si="154"/>
        <v>0</v>
      </c>
      <c r="AX214" s="488">
        <f t="shared" si="155"/>
        <v>0</v>
      </c>
      <c r="AY214" s="3235">
        <f t="shared" si="156"/>
        <v>0</v>
      </c>
      <c r="AZ214" s="3166">
        <f t="shared" si="157"/>
        <v>0</v>
      </c>
      <c r="BA214" s="3166">
        <f t="shared" si="158"/>
        <v>0</v>
      </c>
      <c r="BB214" s="3166">
        <f t="shared" si="159"/>
        <v>0</v>
      </c>
      <c r="BC214" s="3166">
        <f t="shared" si="160"/>
        <v>0</v>
      </c>
      <c r="BD214" s="3166">
        <f t="shared" si="161"/>
        <v>0</v>
      </c>
      <c r="BE214" s="3166">
        <f t="shared" si="162"/>
        <v>0</v>
      </c>
      <c r="BF214" s="3166">
        <f t="shared" si="163"/>
        <v>0</v>
      </c>
      <c r="BG214" s="3166">
        <f t="shared" si="164"/>
        <v>0</v>
      </c>
      <c r="BH214" s="3166">
        <f t="shared" si="165"/>
        <v>0</v>
      </c>
      <c r="BI214" s="3166">
        <f t="shared" si="166"/>
        <v>0</v>
      </c>
      <c r="BJ214" s="3166">
        <f t="shared" si="167"/>
        <v>0</v>
      </c>
      <c r="BK214" s="3166">
        <f t="shared" si="168"/>
        <v>0</v>
      </c>
      <c r="BL214" s="3166">
        <f t="shared" si="169"/>
        <v>0</v>
      </c>
      <c r="BM214" s="3166">
        <f t="shared" si="170"/>
        <v>0</v>
      </c>
      <c r="BN214" s="3166">
        <f t="shared" si="171"/>
        <v>0</v>
      </c>
      <c r="BO214" s="3166">
        <f t="shared" si="172"/>
        <v>0</v>
      </c>
      <c r="BP214" s="3166">
        <f t="shared" si="173"/>
        <v>0</v>
      </c>
      <c r="BQ214" s="3166">
        <f t="shared" si="174"/>
        <v>0</v>
      </c>
      <c r="BR214" s="3166">
        <f t="shared" si="175"/>
        <v>0</v>
      </c>
      <c r="BS214" s="3166">
        <f t="shared" si="176"/>
        <v>0</v>
      </c>
      <c r="BT214" s="3240">
        <f t="shared" si="177"/>
        <v>0</v>
      </c>
    </row>
    <row r="215" spans="1:72">
      <c r="A215" s="3163"/>
      <c r="B215" s="3173"/>
      <c r="C215" s="3171"/>
      <c r="D215" s="3172"/>
      <c r="E215" s="3166">
        <f t="shared" si="149"/>
        <v>0</v>
      </c>
      <c r="F215" s="3167"/>
      <c r="G215" s="3168">
        <f t="shared" si="150"/>
        <v>0</v>
      </c>
      <c r="H215" s="3169">
        <f t="shared" si="151"/>
        <v>0</v>
      </c>
      <c r="I215" s="3175"/>
      <c r="J215" s="3187"/>
      <c r="K215" s="3175"/>
      <c r="L215" s="3187"/>
      <c r="M215" s="3187"/>
      <c r="N215" s="3187"/>
      <c r="O215" s="3187"/>
      <c r="P215" s="3187"/>
      <c r="Q215" s="3187"/>
      <c r="R215" s="3187"/>
      <c r="S215" s="3187"/>
      <c r="T215" s="3187"/>
      <c r="U215" s="3187"/>
      <c r="V215" s="3187"/>
      <c r="W215" s="3187"/>
      <c r="X215" s="3187"/>
      <c r="Y215" s="3187"/>
      <c r="Z215" s="3187"/>
      <c r="AA215" s="3187"/>
      <c r="AB215" s="3187"/>
      <c r="AC215" s="3166">
        <f t="shared" si="152"/>
        <v>0</v>
      </c>
      <c r="AD215" s="3198"/>
      <c r="AE215" s="3198"/>
      <c r="AF215" s="3175"/>
      <c r="AG215" s="3198"/>
      <c r="AH215" s="3198"/>
      <c r="AI215" s="3198"/>
      <c r="AJ215" s="3198"/>
      <c r="AK215" s="3198"/>
      <c r="AL215" s="3198"/>
      <c r="AM215" s="3198"/>
      <c r="AN215" s="3198"/>
      <c r="AO215" s="3198"/>
      <c r="AP215" s="3198"/>
      <c r="AQ215" s="3198"/>
      <c r="AR215" s="3198"/>
      <c r="AS215" s="3198"/>
      <c r="AT215" s="3218"/>
      <c r="AU215" s="3219"/>
      <c r="AV215" s="488">
        <f t="shared" si="153"/>
        <v>0</v>
      </c>
      <c r="AW215" s="488">
        <f t="shared" si="154"/>
        <v>0</v>
      </c>
      <c r="AX215" s="488">
        <f t="shared" si="155"/>
        <v>0</v>
      </c>
      <c r="AY215" s="3235">
        <f t="shared" si="156"/>
        <v>0</v>
      </c>
      <c r="AZ215" s="3166">
        <f t="shared" si="157"/>
        <v>0</v>
      </c>
      <c r="BA215" s="3166">
        <f t="shared" si="158"/>
        <v>0</v>
      </c>
      <c r="BB215" s="3166">
        <f t="shared" si="159"/>
        <v>0</v>
      </c>
      <c r="BC215" s="3166">
        <f t="shared" si="160"/>
        <v>0</v>
      </c>
      <c r="BD215" s="3166">
        <f t="shared" si="161"/>
        <v>0</v>
      </c>
      <c r="BE215" s="3166">
        <f t="shared" si="162"/>
        <v>0</v>
      </c>
      <c r="BF215" s="3166">
        <f t="shared" si="163"/>
        <v>0</v>
      </c>
      <c r="BG215" s="3166">
        <f t="shared" si="164"/>
        <v>0</v>
      </c>
      <c r="BH215" s="3166">
        <f t="shared" si="165"/>
        <v>0</v>
      </c>
      <c r="BI215" s="3166">
        <f t="shared" si="166"/>
        <v>0</v>
      </c>
      <c r="BJ215" s="3166">
        <f t="shared" si="167"/>
        <v>0</v>
      </c>
      <c r="BK215" s="3166">
        <f t="shared" si="168"/>
        <v>0</v>
      </c>
      <c r="BL215" s="3166">
        <f t="shared" si="169"/>
        <v>0</v>
      </c>
      <c r="BM215" s="3166">
        <f t="shared" si="170"/>
        <v>0</v>
      </c>
      <c r="BN215" s="3166">
        <f t="shared" si="171"/>
        <v>0</v>
      </c>
      <c r="BO215" s="3166">
        <f t="shared" si="172"/>
        <v>0</v>
      </c>
      <c r="BP215" s="3166">
        <f t="shared" si="173"/>
        <v>0</v>
      </c>
      <c r="BQ215" s="3166">
        <f t="shared" si="174"/>
        <v>0</v>
      </c>
      <c r="BR215" s="3166">
        <f t="shared" si="175"/>
        <v>0</v>
      </c>
      <c r="BS215" s="3166">
        <f t="shared" si="176"/>
        <v>0</v>
      </c>
      <c r="BT215" s="3240">
        <f t="shared" si="177"/>
        <v>0</v>
      </c>
    </row>
    <row r="216" spans="1:72">
      <c r="A216" s="3163"/>
      <c r="B216" s="3173"/>
      <c r="C216" s="3171"/>
      <c r="D216" s="3172"/>
      <c r="E216" s="3166">
        <f t="shared" si="149"/>
        <v>0</v>
      </c>
      <c r="F216" s="3167"/>
      <c r="G216" s="3168">
        <f t="shared" si="150"/>
        <v>0</v>
      </c>
      <c r="H216" s="3169">
        <f t="shared" si="151"/>
        <v>0</v>
      </c>
      <c r="I216" s="3175"/>
      <c r="J216" s="3187"/>
      <c r="K216" s="3175"/>
      <c r="L216" s="3187"/>
      <c r="M216" s="3187"/>
      <c r="N216" s="3187"/>
      <c r="O216" s="3187"/>
      <c r="P216" s="3187"/>
      <c r="Q216" s="3187"/>
      <c r="R216" s="3187"/>
      <c r="S216" s="3187"/>
      <c r="T216" s="3187"/>
      <c r="U216" s="3187"/>
      <c r="V216" s="3187"/>
      <c r="W216" s="3187"/>
      <c r="X216" s="3187"/>
      <c r="Y216" s="3187"/>
      <c r="Z216" s="3187"/>
      <c r="AA216" s="3187"/>
      <c r="AB216" s="3187"/>
      <c r="AC216" s="3166">
        <f t="shared" si="152"/>
        <v>0</v>
      </c>
      <c r="AD216" s="3198"/>
      <c r="AE216" s="3198"/>
      <c r="AF216" s="3175"/>
      <c r="AG216" s="3198"/>
      <c r="AH216" s="3198"/>
      <c r="AI216" s="3198"/>
      <c r="AJ216" s="3198"/>
      <c r="AK216" s="3198"/>
      <c r="AL216" s="3198"/>
      <c r="AM216" s="3198"/>
      <c r="AN216" s="3198"/>
      <c r="AO216" s="3198"/>
      <c r="AP216" s="3198"/>
      <c r="AQ216" s="3198"/>
      <c r="AR216" s="3198"/>
      <c r="AS216" s="3198"/>
      <c r="AT216" s="3218"/>
      <c r="AU216" s="3219"/>
      <c r="AV216" s="488">
        <f t="shared" si="153"/>
        <v>0</v>
      </c>
      <c r="AW216" s="488">
        <f t="shared" si="154"/>
        <v>0</v>
      </c>
      <c r="AX216" s="488">
        <f t="shared" si="155"/>
        <v>0</v>
      </c>
      <c r="AY216" s="3235">
        <f t="shared" si="156"/>
        <v>0</v>
      </c>
      <c r="AZ216" s="3166">
        <f t="shared" si="157"/>
        <v>0</v>
      </c>
      <c r="BA216" s="3166">
        <f t="shared" si="158"/>
        <v>0</v>
      </c>
      <c r="BB216" s="3166">
        <f t="shared" si="159"/>
        <v>0</v>
      </c>
      <c r="BC216" s="3166">
        <f t="shared" si="160"/>
        <v>0</v>
      </c>
      <c r="BD216" s="3166">
        <f t="shared" si="161"/>
        <v>0</v>
      </c>
      <c r="BE216" s="3166">
        <f t="shared" si="162"/>
        <v>0</v>
      </c>
      <c r="BF216" s="3166">
        <f t="shared" si="163"/>
        <v>0</v>
      </c>
      <c r="BG216" s="3166">
        <f t="shared" si="164"/>
        <v>0</v>
      </c>
      <c r="BH216" s="3166">
        <f t="shared" si="165"/>
        <v>0</v>
      </c>
      <c r="BI216" s="3166">
        <f t="shared" si="166"/>
        <v>0</v>
      </c>
      <c r="BJ216" s="3166">
        <f t="shared" si="167"/>
        <v>0</v>
      </c>
      <c r="BK216" s="3166">
        <f t="shared" si="168"/>
        <v>0</v>
      </c>
      <c r="BL216" s="3166">
        <f t="shared" si="169"/>
        <v>0</v>
      </c>
      <c r="BM216" s="3166">
        <f t="shared" si="170"/>
        <v>0</v>
      </c>
      <c r="BN216" s="3166">
        <f t="shared" si="171"/>
        <v>0</v>
      </c>
      <c r="BO216" s="3166">
        <f t="shared" si="172"/>
        <v>0</v>
      </c>
      <c r="BP216" s="3166">
        <f t="shared" si="173"/>
        <v>0</v>
      </c>
      <c r="BQ216" s="3166">
        <f t="shared" si="174"/>
        <v>0</v>
      </c>
      <c r="BR216" s="3166">
        <f t="shared" si="175"/>
        <v>0</v>
      </c>
      <c r="BS216" s="3166">
        <f t="shared" si="176"/>
        <v>0</v>
      </c>
      <c r="BT216" s="3240">
        <f t="shared" si="177"/>
        <v>0</v>
      </c>
    </row>
    <row r="217" spans="1:72">
      <c r="A217" s="3163"/>
      <c r="B217" s="3173"/>
      <c r="C217" s="3171"/>
      <c r="D217" s="3172"/>
      <c r="E217" s="3166">
        <f t="shared" si="149"/>
        <v>0</v>
      </c>
      <c r="F217" s="3167"/>
      <c r="G217" s="3168">
        <f t="shared" si="150"/>
        <v>0</v>
      </c>
      <c r="H217" s="3169">
        <f t="shared" si="151"/>
        <v>0</v>
      </c>
      <c r="I217" s="3175"/>
      <c r="J217" s="3187"/>
      <c r="K217" s="3175"/>
      <c r="L217" s="3187"/>
      <c r="M217" s="3187"/>
      <c r="N217" s="3187"/>
      <c r="O217" s="3187"/>
      <c r="P217" s="3187"/>
      <c r="Q217" s="3187"/>
      <c r="R217" s="3187"/>
      <c r="S217" s="3187"/>
      <c r="T217" s="3187"/>
      <c r="U217" s="3187"/>
      <c r="V217" s="3187"/>
      <c r="W217" s="3187"/>
      <c r="X217" s="3187"/>
      <c r="Y217" s="3187"/>
      <c r="Z217" s="3187"/>
      <c r="AA217" s="3187"/>
      <c r="AB217" s="3187"/>
      <c r="AC217" s="3166">
        <f t="shared" si="152"/>
        <v>0</v>
      </c>
      <c r="AD217" s="3198"/>
      <c r="AE217" s="3198"/>
      <c r="AF217" s="3175"/>
      <c r="AG217" s="3198"/>
      <c r="AH217" s="3198"/>
      <c r="AI217" s="3198"/>
      <c r="AJ217" s="3198"/>
      <c r="AK217" s="3198"/>
      <c r="AL217" s="3198"/>
      <c r="AM217" s="3198"/>
      <c r="AN217" s="3198"/>
      <c r="AO217" s="3198"/>
      <c r="AP217" s="3198"/>
      <c r="AQ217" s="3198"/>
      <c r="AR217" s="3198"/>
      <c r="AS217" s="3198"/>
      <c r="AT217" s="3218"/>
      <c r="AU217" s="3219"/>
      <c r="AV217" s="488">
        <f t="shared" si="153"/>
        <v>0</v>
      </c>
      <c r="AW217" s="488">
        <f t="shared" si="154"/>
        <v>0</v>
      </c>
      <c r="AX217" s="488">
        <f t="shared" si="155"/>
        <v>0</v>
      </c>
      <c r="AY217" s="3235">
        <f t="shared" si="156"/>
        <v>0</v>
      </c>
      <c r="AZ217" s="3166">
        <f t="shared" si="157"/>
        <v>0</v>
      </c>
      <c r="BA217" s="3166">
        <f t="shared" si="158"/>
        <v>0</v>
      </c>
      <c r="BB217" s="3166">
        <f t="shared" si="159"/>
        <v>0</v>
      </c>
      <c r="BC217" s="3166">
        <f t="shared" si="160"/>
        <v>0</v>
      </c>
      <c r="BD217" s="3166">
        <f t="shared" si="161"/>
        <v>0</v>
      </c>
      <c r="BE217" s="3166">
        <f t="shared" si="162"/>
        <v>0</v>
      </c>
      <c r="BF217" s="3166">
        <f t="shared" si="163"/>
        <v>0</v>
      </c>
      <c r="BG217" s="3166">
        <f t="shared" si="164"/>
        <v>0</v>
      </c>
      <c r="BH217" s="3166">
        <f t="shared" si="165"/>
        <v>0</v>
      </c>
      <c r="BI217" s="3166">
        <f t="shared" si="166"/>
        <v>0</v>
      </c>
      <c r="BJ217" s="3166">
        <f t="shared" si="167"/>
        <v>0</v>
      </c>
      <c r="BK217" s="3166">
        <f t="shared" si="168"/>
        <v>0</v>
      </c>
      <c r="BL217" s="3166">
        <f t="shared" si="169"/>
        <v>0</v>
      </c>
      <c r="BM217" s="3166">
        <f t="shared" si="170"/>
        <v>0</v>
      </c>
      <c r="BN217" s="3166">
        <f t="shared" si="171"/>
        <v>0</v>
      </c>
      <c r="BO217" s="3166">
        <f t="shared" si="172"/>
        <v>0</v>
      </c>
      <c r="BP217" s="3166">
        <f t="shared" si="173"/>
        <v>0</v>
      </c>
      <c r="BQ217" s="3166">
        <f t="shared" si="174"/>
        <v>0</v>
      </c>
      <c r="BR217" s="3166">
        <f t="shared" si="175"/>
        <v>0</v>
      </c>
      <c r="BS217" s="3166">
        <f t="shared" si="176"/>
        <v>0</v>
      </c>
      <c r="BT217" s="3240">
        <f t="shared" si="177"/>
        <v>0</v>
      </c>
    </row>
    <row r="218" spans="1:72">
      <c r="A218" s="3163"/>
      <c r="B218" s="3173"/>
      <c r="C218" s="3171"/>
      <c r="D218" s="3172"/>
      <c r="E218" s="3166">
        <f t="shared" si="149"/>
        <v>0</v>
      </c>
      <c r="F218" s="3167"/>
      <c r="G218" s="3168">
        <f t="shared" si="150"/>
        <v>0</v>
      </c>
      <c r="H218" s="3169">
        <f t="shared" si="151"/>
        <v>0</v>
      </c>
      <c r="I218" s="3175"/>
      <c r="J218" s="3187"/>
      <c r="K218" s="3175"/>
      <c r="L218" s="3187"/>
      <c r="M218" s="3187"/>
      <c r="N218" s="3187"/>
      <c r="O218" s="3187"/>
      <c r="P218" s="3187"/>
      <c r="Q218" s="3187"/>
      <c r="R218" s="3187"/>
      <c r="S218" s="3187"/>
      <c r="T218" s="3187"/>
      <c r="U218" s="3187"/>
      <c r="V218" s="3187"/>
      <c r="W218" s="3187"/>
      <c r="X218" s="3187"/>
      <c r="Y218" s="3187"/>
      <c r="Z218" s="3187"/>
      <c r="AA218" s="3187"/>
      <c r="AB218" s="3187"/>
      <c r="AC218" s="3166">
        <f t="shared" si="152"/>
        <v>0</v>
      </c>
      <c r="AD218" s="3198"/>
      <c r="AE218" s="3198"/>
      <c r="AF218" s="3175"/>
      <c r="AG218" s="3198"/>
      <c r="AH218" s="3198"/>
      <c r="AI218" s="3198"/>
      <c r="AJ218" s="3198"/>
      <c r="AK218" s="3198"/>
      <c r="AL218" s="3198"/>
      <c r="AM218" s="3198"/>
      <c r="AN218" s="3198"/>
      <c r="AO218" s="3198"/>
      <c r="AP218" s="3198"/>
      <c r="AQ218" s="3198"/>
      <c r="AR218" s="3198"/>
      <c r="AS218" s="3198"/>
      <c r="AT218" s="3218"/>
      <c r="AU218" s="3219"/>
      <c r="AV218" s="488">
        <f t="shared" si="153"/>
        <v>0</v>
      </c>
      <c r="AW218" s="488">
        <f t="shared" si="154"/>
        <v>0</v>
      </c>
      <c r="AX218" s="488">
        <f t="shared" si="155"/>
        <v>0</v>
      </c>
      <c r="AY218" s="3235">
        <f t="shared" si="156"/>
        <v>0</v>
      </c>
      <c r="AZ218" s="3166">
        <f t="shared" si="157"/>
        <v>0</v>
      </c>
      <c r="BA218" s="3166">
        <f t="shared" si="158"/>
        <v>0</v>
      </c>
      <c r="BB218" s="3166">
        <f t="shared" si="159"/>
        <v>0</v>
      </c>
      <c r="BC218" s="3166">
        <f t="shared" si="160"/>
        <v>0</v>
      </c>
      <c r="BD218" s="3166">
        <f t="shared" si="161"/>
        <v>0</v>
      </c>
      <c r="BE218" s="3166">
        <f t="shared" si="162"/>
        <v>0</v>
      </c>
      <c r="BF218" s="3166">
        <f t="shared" si="163"/>
        <v>0</v>
      </c>
      <c r="BG218" s="3166">
        <f t="shared" si="164"/>
        <v>0</v>
      </c>
      <c r="BH218" s="3166">
        <f t="shared" si="165"/>
        <v>0</v>
      </c>
      <c r="BI218" s="3166">
        <f t="shared" si="166"/>
        <v>0</v>
      </c>
      <c r="BJ218" s="3166">
        <f t="shared" si="167"/>
        <v>0</v>
      </c>
      <c r="BK218" s="3166">
        <f t="shared" si="168"/>
        <v>0</v>
      </c>
      <c r="BL218" s="3166">
        <f t="shared" si="169"/>
        <v>0</v>
      </c>
      <c r="BM218" s="3166">
        <f t="shared" si="170"/>
        <v>0</v>
      </c>
      <c r="BN218" s="3166">
        <f t="shared" si="171"/>
        <v>0</v>
      </c>
      <c r="BO218" s="3166">
        <f t="shared" si="172"/>
        <v>0</v>
      </c>
      <c r="BP218" s="3166">
        <f t="shared" si="173"/>
        <v>0</v>
      </c>
      <c r="BQ218" s="3166">
        <f t="shared" si="174"/>
        <v>0</v>
      </c>
      <c r="BR218" s="3166">
        <f t="shared" si="175"/>
        <v>0</v>
      </c>
      <c r="BS218" s="3166">
        <f t="shared" si="176"/>
        <v>0</v>
      </c>
      <c r="BT218" s="3240">
        <f t="shared" si="177"/>
        <v>0</v>
      </c>
    </row>
    <row r="219" spans="1:72">
      <c r="A219" s="3163"/>
      <c r="B219" s="3173"/>
      <c r="C219" s="3171"/>
      <c r="D219" s="3172"/>
      <c r="E219" s="3166">
        <f t="shared" si="149"/>
        <v>0</v>
      </c>
      <c r="F219" s="3167"/>
      <c r="G219" s="3168">
        <f t="shared" si="150"/>
        <v>0</v>
      </c>
      <c r="H219" s="3169">
        <f t="shared" si="151"/>
        <v>0</v>
      </c>
      <c r="I219" s="3175"/>
      <c r="J219" s="3187"/>
      <c r="K219" s="3175"/>
      <c r="L219" s="3187"/>
      <c r="M219" s="3187"/>
      <c r="N219" s="3187"/>
      <c r="O219" s="3187"/>
      <c r="P219" s="3187"/>
      <c r="Q219" s="3187"/>
      <c r="R219" s="3187"/>
      <c r="S219" s="3187"/>
      <c r="T219" s="3187"/>
      <c r="U219" s="3187"/>
      <c r="V219" s="3187"/>
      <c r="W219" s="3187"/>
      <c r="X219" s="3187"/>
      <c r="Y219" s="3187"/>
      <c r="Z219" s="3187"/>
      <c r="AA219" s="3187"/>
      <c r="AB219" s="3187"/>
      <c r="AC219" s="3166">
        <f t="shared" si="152"/>
        <v>0</v>
      </c>
      <c r="AD219" s="3198"/>
      <c r="AE219" s="3198"/>
      <c r="AF219" s="3175"/>
      <c r="AG219" s="3198"/>
      <c r="AH219" s="3198"/>
      <c r="AI219" s="3198"/>
      <c r="AJ219" s="3198"/>
      <c r="AK219" s="3198"/>
      <c r="AL219" s="3198"/>
      <c r="AM219" s="3198"/>
      <c r="AN219" s="3198"/>
      <c r="AO219" s="3198"/>
      <c r="AP219" s="3198"/>
      <c r="AQ219" s="3198"/>
      <c r="AR219" s="3198"/>
      <c r="AS219" s="3198"/>
      <c r="AT219" s="3218"/>
      <c r="AU219" s="3219"/>
      <c r="AV219" s="488">
        <f t="shared" si="153"/>
        <v>0</v>
      </c>
      <c r="AW219" s="488">
        <f t="shared" si="154"/>
        <v>0</v>
      </c>
      <c r="AX219" s="488">
        <f t="shared" si="155"/>
        <v>0</v>
      </c>
      <c r="AY219" s="3235">
        <f t="shared" si="156"/>
        <v>0</v>
      </c>
      <c r="AZ219" s="3166">
        <f t="shared" si="157"/>
        <v>0</v>
      </c>
      <c r="BA219" s="3166">
        <f t="shared" si="158"/>
        <v>0</v>
      </c>
      <c r="BB219" s="3166">
        <f t="shared" si="159"/>
        <v>0</v>
      </c>
      <c r="BC219" s="3166">
        <f t="shared" si="160"/>
        <v>0</v>
      </c>
      <c r="BD219" s="3166">
        <f t="shared" si="161"/>
        <v>0</v>
      </c>
      <c r="BE219" s="3166">
        <f t="shared" si="162"/>
        <v>0</v>
      </c>
      <c r="BF219" s="3166">
        <f t="shared" si="163"/>
        <v>0</v>
      </c>
      <c r="BG219" s="3166">
        <f t="shared" si="164"/>
        <v>0</v>
      </c>
      <c r="BH219" s="3166">
        <f t="shared" si="165"/>
        <v>0</v>
      </c>
      <c r="BI219" s="3166">
        <f t="shared" si="166"/>
        <v>0</v>
      </c>
      <c r="BJ219" s="3166">
        <f t="shared" si="167"/>
        <v>0</v>
      </c>
      <c r="BK219" s="3166">
        <f t="shared" si="168"/>
        <v>0</v>
      </c>
      <c r="BL219" s="3166">
        <f t="shared" si="169"/>
        <v>0</v>
      </c>
      <c r="BM219" s="3166">
        <f t="shared" si="170"/>
        <v>0</v>
      </c>
      <c r="BN219" s="3166">
        <f t="shared" si="171"/>
        <v>0</v>
      </c>
      <c r="BO219" s="3166">
        <f t="shared" si="172"/>
        <v>0</v>
      </c>
      <c r="BP219" s="3166">
        <f t="shared" si="173"/>
        <v>0</v>
      </c>
      <c r="BQ219" s="3166">
        <f t="shared" si="174"/>
        <v>0</v>
      </c>
      <c r="BR219" s="3166">
        <f t="shared" si="175"/>
        <v>0</v>
      </c>
      <c r="BS219" s="3166">
        <f t="shared" si="176"/>
        <v>0</v>
      </c>
      <c r="BT219" s="3240">
        <f t="shared" si="177"/>
        <v>0</v>
      </c>
    </row>
    <row r="220" spans="1:72">
      <c r="A220" s="3163"/>
      <c r="B220" s="3173"/>
      <c r="C220" s="3171"/>
      <c r="D220" s="3172"/>
      <c r="E220" s="3166">
        <f t="shared" si="149"/>
        <v>0</v>
      </c>
      <c r="F220" s="3167"/>
      <c r="G220" s="3168">
        <f t="shared" si="150"/>
        <v>0</v>
      </c>
      <c r="H220" s="3169">
        <f t="shared" si="151"/>
        <v>0</v>
      </c>
      <c r="I220" s="3175"/>
      <c r="J220" s="3187"/>
      <c r="K220" s="3175"/>
      <c r="L220" s="3187"/>
      <c r="M220" s="3187"/>
      <c r="N220" s="3187"/>
      <c r="O220" s="3187"/>
      <c r="P220" s="3187"/>
      <c r="Q220" s="3187"/>
      <c r="R220" s="3187"/>
      <c r="S220" s="3187"/>
      <c r="T220" s="3187"/>
      <c r="U220" s="3187"/>
      <c r="V220" s="3187"/>
      <c r="W220" s="3187"/>
      <c r="X220" s="3187"/>
      <c r="Y220" s="3187"/>
      <c r="Z220" s="3187"/>
      <c r="AA220" s="3187"/>
      <c r="AB220" s="3187"/>
      <c r="AC220" s="3166">
        <f t="shared" si="152"/>
        <v>0</v>
      </c>
      <c r="AD220" s="3198"/>
      <c r="AE220" s="3198"/>
      <c r="AF220" s="3175"/>
      <c r="AG220" s="3198"/>
      <c r="AH220" s="3198"/>
      <c r="AI220" s="3198"/>
      <c r="AJ220" s="3198"/>
      <c r="AK220" s="3198"/>
      <c r="AL220" s="3198"/>
      <c r="AM220" s="3198"/>
      <c r="AN220" s="3198"/>
      <c r="AO220" s="3198"/>
      <c r="AP220" s="3198"/>
      <c r="AQ220" s="3198"/>
      <c r="AR220" s="3198"/>
      <c r="AS220" s="3198"/>
      <c r="AT220" s="3218"/>
      <c r="AU220" s="3219"/>
      <c r="AV220" s="488">
        <f t="shared" si="153"/>
        <v>0</v>
      </c>
      <c r="AW220" s="488">
        <f t="shared" si="154"/>
        <v>0</v>
      </c>
      <c r="AX220" s="488">
        <f t="shared" si="155"/>
        <v>0</v>
      </c>
      <c r="AY220" s="3235">
        <f t="shared" si="156"/>
        <v>0</v>
      </c>
      <c r="AZ220" s="3166">
        <f t="shared" si="157"/>
        <v>0</v>
      </c>
      <c r="BA220" s="3166">
        <f t="shared" si="158"/>
        <v>0</v>
      </c>
      <c r="BB220" s="3166">
        <f t="shared" si="159"/>
        <v>0</v>
      </c>
      <c r="BC220" s="3166">
        <f t="shared" si="160"/>
        <v>0</v>
      </c>
      <c r="BD220" s="3166">
        <f t="shared" si="161"/>
        <v>0</v>
      </c>
      <c r="BE220" s="3166">
        <f t="shared" si="162"/>
        <v>0</v>
      </c>
      <c r="BF220" s="3166">
        <f t="shared" si="163"/>
        <v>0</v>
      </c>
      <c r="BG220" s="3166">
        <f t="shared" si="164"/>
        <v>0</v>
      </c>
      <c r="BH220" s="3166">
        <f t="shared" si="165"/>
        <v>0</v>
      </c>
      <c r="BI220" s="3166">
        <f t="shared" si="166"/>
        <v>0</v>
      </c>
      <c r="BJ220" s="3166">
        <f t="shared" si="167"/>
        <v>0</v>
      </c>
      <c r="BK220" s="3166">
        <f t="shared" si="168"/>
        <v>0</v>
      </c>
      <c r="BL220" s="3166">
        <f t="shared" si="169"/>
        <v>0</v>
      </c>
      <c r="BM220" s="3166">
        <f t="shared" si="170"/>
        <v>0</v>
      </c>
      <c r="BN220" s="3166">
        <f t="shared" si="171"/>
        <v>0</v>
      </c>
      <c r="BO220" s="3166">
        <f t="shared" si="172"/>
        <v>0</v>
      </c>
      <c r="BP220" s="3166">
        <f t="shared" si="173"/>
        <v>0</v>
      </c>
      <c r="BQ220" s="3166">
        <f t="shared" si="174"/>
        <v>0</v>
      </c>
      <c r="BR220" s="3166">
        <f t="shared" si="175"/>
        <v>0</v>
      </c>
      <c r="BS220" s="3166">
        <f t="shared" si="176"/>
        <v>0</v>
      </c>
      <c r="BT220" s="3240">
        <f t="shared" si="177"/>
        <v>0</v>
      </c>
    </row>
    <row r="221" spans="1:72">
      <c r="A221" s="3163"/>
      <c r="B221" s="3173"/>
      <c r="C221" s="3171"/>
      <c r="D221" s="3172"/>
      <c r="E221" s="3166">
        <f t="shared" si="149"/>
        <v>0</v>
      </c>
      <c r="F221" s="3167"/>
      <c r="G221" s="3168">
        <f t="shared" si="150"/>
        <v>0</v>
      </c>
      <c r="H221" s="3169">
        <f t="shared" si="151"/>
        <v>0</v>
      </c>
      <c r="I221" s="3175"/>
      <c r="J221" s="3187"/>
      <c r="K221" s="3175"/>
      <c r="L221" s="3187"/>
      <c r="M221" s="3187"/>
      <c r="N221" s="3187"/>
      <c r="O221" s="3187"/>
      <c r="P221" s="3187"/>
      <c r="Q221" s="3187"/>
      <c r="R221" s="3187"/>
      <c r="S221" s="3187"/>
      <c r="T221" s="3187"/>
      <c r="U221" s="3187"/>
      <c r="V221" s="3187"/>
      <c r="W221" s="3187"/>
      <c r="X221" s="3187"/>
      <c r="Y221" s="3187"/>
      <c r="Z221" s="3187"/>
      <c r="AA221" s="3187"/>
      <c r="AB221" s="3187"/>
      <c r="AC221" s="3166">
        <f t="shared" si="152"/>
        <v>0</v>
      </c>
      <c r="AD221" s="3198"/>
      <c r="AE221" s="3198"/>
      <c r="AF221" s="3175"/>
      <c r="AG221" s="3198"/>
      <c r="AH221" s="3198"/>
      <c r="AI221" s="3198"/>
      <c r="AJ221" s="3198"/>
      <c r="AK221" s="3198"/>
      <c r="AL221" s="3198"/>
      <c r="AM221" s="3198"/>
      <c r="AN221" s="3198"/>
      <c r="AO221" s="3198"/>
      <c r="AP221" s="3198"/>
      <c r="AQ221" s="3198"/>
      <c r="AR221" s="3198"/>
      <c r="AS221" s="3198"/>
      <c r="AT221" s="3218"/>
      <c r="AU221" s="3219"/>
      <c r="AV221" s="488">
        <f t="shared" si="153"/>
        <v>0</v>
      </c>
      <c r="AW221" s="488">
        <f t="shared" si="154"/>
        <v>0</v>
      </c>
      <c r="AX221" s="488">
        <f t="shared" si="155"/>
        <v>0</v>
      </c>
      <c r="AY221" s="3235">
        <f t="shared" si="156"/>
        <v>0</v>
      </c>
      <c r="AZ221" s="3166">
        <f t="shared" si="157"/>
        <v>0</v>
      </c>
      <c r="BA221" s="3166">
        <f t="shared" si="158"/>
        <v>0</v>
      </c>
      <c r="BB221" s="3166">
        <f t="shared" si="159"/>
        <v>0</v>
      </c>
      <c r="BC221" s="3166">
        <f t="shared" si="160"/>
        <v>0</v>
      </c>
      <c r="BD221" s="3166">
        <f t="shared" si="161"/>
        <v>0</v>
      </c>
      <c r="BE221" s="3166">
        <f t="shared" si="162"/>
        <v>0</v>
      </c>
      <c r="BF221" s="3166">
        <f t="shared" si="163"/>
        <v>0</v>
      </c>
      <c r="BG221" s="3166">
        <f t="shared" si="164"/>
        <v>0</v>
      </c>
      <c r="BH221" s="3166">
        <f t="shared" si="165"/>
        <v>0</v>
      </c>
      <c r="BI221" s="3166">
        <f t="shared" si="166"/>
        <v>0</v>
      </c>
      <c r="BJ221" s="3166">
        <f t="shared" si="167"/>
        <v>0</v>
      </c>
      <c r="BK221" s="3166">
        <f t="shared" si="168"/>
        <v>0</v>
      </c>
      <c r="BL221" s="3166">
        <f t="shared" si="169"/>
        <v>0</v>
      </c>
      <c r="BM221" s="3166">
        <f t="shared" si="170"/>
        <v>0</v>
      </c>
      <c r="BN221" s="3166">
        <f t="shared" si="171"/>
        <v>0</v>
      </c>
      <c r="BO221" s="3166">
        <f t="shared" si="172"/>
        <v>0</v>
      </c>
      <c r="BP221" s="3166">
        <f t="shared" si="173"/>
        <v>0</v>
      </c>
      <c r="BQ221" s="3166">
        <f t="shared" si="174"/>
        <v>0</v>
      </c>
      <c r="BR221" s="3166">
        <f t="shared" si="175"/>
        <v>0</v>
      </c>
      <c r="BS221" s="3166">
        <f t="shared" si="176"/>
        <v>0</v>
      </c>
      <c r="BT221" s="3240">
        <f t="shared" si="177"/>
        <v>0</v>
      </c>
    </row>
    <row r="222" spans="1:72">
      <c r="A222" s="3163"/>
      <c r="B222" s="3173"/>
      <c r="C222" s="3171"/>
      <c r="D222" s="3172"/>
      <c r="E222" s="3166">
        <f t="shared" si="149"/>
        <v>0</v>
      </c>
      <c r="F222" s="3167"/>
      <c r="G222" s="3168">
        <f t="shared" si="150"/>
        <v>0</v>
      </c>
      <c r="H222" s="3169">
        <f t="shared" si="151"/>
        <v>0</v>
      </c>
      <c r="I222" s="3175"/>
      <c r="J222" s="3187"/>
      <c r="K222" s="3175"/>
      <c r="L222" s="3187"/>
      <c r="M222" s="3187"/>
      <c r="N222" s="3187"/>
      <c r="O222" s="3187"/>
      <c r="P222" s="3187"/>
      <c r="Q222" s="3187"/>
      <c r="R222" s="3187"/>
      <c r="S222" s="3187"/>
      <c r="T222" s="3187"/>
      <c r="U222" s="3187"/>
      <c r="V222" s="3187"/>
      <c r="W222" s="3187"/>
      <c r="X222" s="3187"/>
      <c r="Y222" s="3187"/>
      <c r="Z222" s="3187"/>
      <c r="AA222" s="3187"/>
      <c r="AB222" s="3187"/>
      <c r="AC222" s="3166">
        <f t="shared" si="152"/>
        <v>0</v>
      </c>
      <c r="AD222" s="3198"/>
      <c r="AE222" s="3198"/>
      <c r="AF222" s="3175"/>
      <c r="AG222" s="3198"/>
      <c r="AH222" s="3198"/>
      <c r="AI222" s="3198"/>
      <c r="AJ222" s="3198"/>
      <c r="AK222" s="3198"/>
      <c r="AL222" s="3198"/>
      <c r="AM222" s="3198"/>
      <c r="AN222" s="3198"/>
      <c r="AO222" s="3198"/>
      <c r="AP222" s="3198"/>
      <c r="AQ222" s="3198"/>
      <c r="AR222" s="3198"/>
      <c r="AS222" s="3198"/>
      <c r="AT222" s="3218"/>
      <c r="AU222" s="3219"/>
      <c r="AV222" s="488">
        <f t="shared" si="153"/>
        <v>0</v>
      </c>
      <c r="AW222" s="488">
        <f t="shared" si="154"/>
        <v>0</v>
      </c>
      <c r="AX222" s="488">
        <f t="shared" si="155"/>
        <v>0</v>
      </c>
      <c r="AY222" s="3235">
        <f t="shared" si="156"/>
        <v>0</v>
      </c>
      <c r="AZ222" s="3166">
        <f t="shared" si="157"/>
        <v>0</v>
      </c>
      <c r="BA222" s="3166">
        <f t="shared" si="158"/>
        <v>0</v>
      </c>
      <c r="BB222" s="3166">
        <f t="shared" si="159"/>
        <v>0</v>
      </c>
      <c r="BC222" s="3166">
        <f t="shared" si="160"/>
        <v>0</v>
      </c>
      <c r="BD222" s="3166">
        <f t="shared" si="161"/>
        <v>0</v>
      </c>
      <c r="BE222" s="3166">
        <f t="shared" si="162"/>
        <v>0</v>
      </c>
      <c r="BF222" s="3166">
        <f t="shared" si="163"/>
        <v>0</v>
      </c>
      <c r="BG222" s="3166">
        <f t="shared" si="164"/>
        <v>0</v>
      </c>
      <c r="BH222" s="3166">
        <f t="shared" si="165"/>
        <v>0</v>
      </c>
      <c r="BI222" s="3166">
        <f t="shared" si="166"/>
        <v>0</v>
      </c>
      <c r="BJ222" s="3166">
        <f t="shared" si="167"/>
        <v>0</v>
      </c>
      <c r="BK222" s="3166">
        <f t="shared" si="168"/>
        <v>0</v>
      </c>
      <c r="BL222" s="3166">
        <f t="shared" si="169"/>
        <v>0</v>
      </c>
      <c r="BM222" s="3166">
        <f t="shared" si="170"/>
        <v>0</v>
      </c>
      <c r="BN222" s="3166">
        <f t="shared" si="171"/>
        <v>0</v>
      </c>
      <c r="BO222" s="3166">
        <f t="shared" si="172"/>
        <v>0</v>
      </c>
      <c r="BP222" s="3166">
        <f t="shared" si="173"/>
        <v>0</v>
      </c>
      <c r="BQ222" s="3166">
        <f t="shared" si="174"/>
        <v>0</v>
      </c>
      <c r="BR222" s="3166">
        <f t="shared" si="175"/>
        <v>0</v>
      </c>
      <c r="BS222" s="3166">
        <f t="shared" si="176"/>
        <v>0</v>
      </c>
      <c r="BT222" s="3240">
        <f t="shared" si="177"/>
        <v>0</v>
      </c>
    </row>
    <row r="223" spans="1:72">
      <c r="A223" s="3163"/>
      <c r="B223" s="3173"/>
      <c r="C223" s="3171"/>
      <c r="D223" s="3172"/>
      <c r="E223" s="3166">
        <f t="shared" si="149"/>
        <v>0</v>
      </c>
      <c r="F223" s="3167"/>
      <c r="G223" s="3168">
        <f t="shared" si="150"/>
        <v>0</v>
      </c>
      <c r="H223" s="3169">
        <f t="shared" si="151"/>
        <v>0</v>
      </c>
      <c r="I223" s="3175"/>
      <c r="J223" s="3187"/>
      <c r="K223" s="3175"/>
      <c r="L223" s="3187"/>
      <c r="M223" s="3187"/>
      <c r="N223" s="3187"/>
      <c r="O223" s="3187"/>
      <c r="P223" s="3187"/>
      <c r="Q223" s="3187"/>
      <c r="R223" s="3187"/>
      <c r="S223" s="3187"/>
      <c r="T223" s="3187"/>
      <c r="U223" s="3187"/>
      <c r="V223" s="3187"/>
      <c r="W223" s="3187"/>
      <c r="X223" s="3187"/>
      <c r="Y223" s="3187"/>
      <c r="Z223" s="3187"/>
      <c r="AA223" s="3187"/>
      <c r="AB223" s="3187"/>
      <c r="AC223" s="3166">
        <f t="shared" si="152"/>
        <v>0</v>
      </c>
      <c r="AD223" s="3198"/>
      <c r="AE223" s="3198"/>
      <c r="AF223" s="3175"/>
      <c r="AG223" s="3198"/>
      <c r="AH223" s="3198"/>
      <c r="AI223" s="3198"/>
      <c r="AJ223" s="3198"/>
      <c r="AK223" s="3198"/>
      <c r="AL223" s="3198"/>
      <c r="AM223" s="3198"/>
      <c r="AN223" s="3198"/>
      <c r="AO223" s="3198"/>
      <c r="AP223" s="3198"/>
      <c r="AQ223" s="3198"/>
      <c r="AR223" s="3198"/>
      <c r="AS223" s="3198"/>
      <c r="AT223" s="3218"/>
      <c r="AU223" s="3219"/>
      <c r="AV223" s="488">
        <f t="shared" si="153"/>
        <v>0</v>
      </c>
      <c r="AW223" s="488">
        <f t="shared" si="154"/>
        <v>0</v>
      </c>
      <c r="AX223" s="488">
        <f t="shared" si="155"/>
        <v>0</v>
      </c>
      <c r="AY223" s="3235">
        <f t="shared" si="156"/>
        <v>0</v>
      </c>
      <c r="AZ223" s="3166">
        <f t="shared" si="157"/>
        <v>0</v>
      </c>
      <c r="BA223" s="3166">
        <f t="shared" si="158"/>
        <v>0</v>
      </c>
      <c r="BB223" s="3166">
        <f t="shared" si="159"/>
        <v>0</v>
      </c>
      <c r="BC223" s="3166">
        <f t="shared" si="160"/>
        <v>0</v>
      </c>
      <c r="BD223" s="3166">
        <f t="shared" si="161"/>
        <v>0</v>
      </c>
      <c r="BE223" s="3166">
        <f t="shared" si="162"/>
        <v>0</v>
      </c>
      <c r="BF223" s="3166">
        <f t="shared" si="163"/>
        <v>0</v>
      </c>
      <c r="BG223" s="3166">
        <f t="shared" si="164"/>
        <v>0</v>
      </c>
      <c r="BH223" s="3166">
        <f t="shared" si="165"/>
        <v>0</v>
      </c>
      <c r="BI223" s="3166">
        <f t="shared" si="166"/>
        <v>0</v>
      </c>
      <c r="BJ223" s="3166">
        <f t="shared" si="167"/>
        <v>0</v>
      </c>
      <c r="BK223" s="3166">
        <f t="shared" si="168"/>
        <v>0</v>
      </c>
      <c r="BL223" s="3166">
        <f t="shared" si="169"/>
        <v>0</v>
      </c>
      <c r="BM223" s="3166">
        <f t="shared" si="170"/>
        <v>0</v>
      </c>
      <c r="BN223" s="3166">
        <f t="shared" si="171"/>
        <v>0</v>
      </c>
      <c r="BO223" s="3166">
        <f t="shared" si="172"/>
        <v>0</v>
      </c>
      <c r="BP223" s="3166">
        <f t="shared" si="173"/>
        <v>0</v>
      </c>
      <c r="BQ223" s="3166">
        <f t="shared" si="174"/>
        <v>0</v>
      </c>
      <c r="BR223" s="3166">
        <f t="shared" si="175"/>
        <v>0</v>
      </c>
      <c r="BS223" s="3166">
        <f t="shared" si="176"/>
        <v>0</v>
      </c>
      <c r="BT223" s="3240">
        <f t="shared" si="177"/>
        <v>0</v>
      </c>
    </row>
    <row r="224" spans="1:72">
      <c r="A224" s="3163"/>
      <c r="B224" s="3173"/>
      <c r="C224" s="3171"/>
      <c r="D224" s="3172"/>
      <c r="E224" s="3166">
        <f t="shared" si="149"/>
        <v>0</v>
      </c>
      <c r="F224" s="3167"/>
      <c r="G224" s="3168">
        <f t="shared" si="150"/>
        <v>0</v>
      </c>
      <c r="H224" s="3169">
        <f t="shared" si="151"/>
        <v>0</v>
      </c>
      <c r="I224" s="3175"/>
      <c r="J224" s="3187"/>
      <c r="K224" s="3175"/>
      <c r="L224" s="3187"/>
      <c r="M224" s="3187"/>
      <c r="N224" s="3187"/>
      <c r="O224" s="3187"/>
      <c r="P224" s="3187"/>
      <c r="Q224" s="3187"/>
      <c r="R224" s="3187"/>
      <c r="S224" s="3187"/>
      <c r="T224" s="3187"/>
      <c r="U224" s="3187"/>
      <c r="V224" s="3187"/>
      <c r="W224" s="3187"/>
      <c r="X224" s="3187"/>
      <c r="Y224" s="3187"/>
      <c r="Z224" s="3187"/>
      <c r="AA224" s="3187"/>
      <c r="AB224" s="3187"/>
      <c r="AC224" s="3166">
        <f t="shared" si="152"/>
        <v>0</v>
      </c>
      <c r="AD224" s="3198"/>
      <c r="AE224" s="3198"/>
      <c r="AF224" s="3175"/>
      <c r="AG224" s="3198"/>
      <c r="AH224" s="3198"/>
      <c r="AI224" s="3198"/>
      <c r="AJ224" s="3198"/>
      <c r="AK224" s="3198"/>
      <c r="AL224" s="3198"/>
      <c r="AM224" s="3198"/>
      <c r="AN224" s="3198"/>
      <c r="AO224" s="3198"/>
      <c r="AP224" s="3198"/>
      <c r="AQ224" s="3198"/>
      <c r="AR224" s="3198"/>
      <c r="AS224" s="3198"/>
      <c r="AT224" s="3218"/>
      <c r="AU224" s="3219"/>
      <c r="AV224" s="488">
        <f t="shared" si="153"/>
        <v>0</v>
      </c>
      <c r="AW224" s="488">
        <f t="shared" si="154"/>
        <v>0</v>
      </c>
      <c r="AX224" s="488">
        <f t="shared" si="155"/>
        <v>0</v>
      </c>
      <c r="AY224" s="3235">
        <f t="shared" si="156"/>
        <v>0</v>
      </c>
      <c r="AZ224" s="3166">
        <f t="shared" si="157"/>
        <v>0</v>
      </c>
      <c r="BA224" s="3166">
        <f t="shared" si="158"/>
        <v>0</v>
      </c>
      <c r="BB224" s="3166">
        <f t="shared" si="159"/>
        <v>0</v>
      </c>
      <c r="BC224" s="3166">
        <f t="shared" si="160"/>
        <v>0</v>
      </c>
      <c r="BD224" s="3166">
        <f t="shared" si="161"/>
        <v>0</v>
      </c>
      <c r="BE224" s="3166">
        <f t="shared" si="162"/>
        <v>0</v>
      </c>
      <c r="BF224" s="3166">
        <f t="shared" si="163"/>
        <v>0</v>
      </c>
      <c r="BG224" s="3166">
        <f t="shared" si="164"/>
        <v>0</v>
      </c>
      <c r="BH224" s="3166">
        <f t="shared" si="165"/>
        <v>0</v>
      </c>
      <c r="BI224" s="3166">
        <f t="shared" si="166"/>
        <v>0</v>
      </c>
      <c r="BJ224" s="3166">
        <f t="shared" si="167"/>
        <v>0</v>
      </c>
      <c r="BK224" s="3166">
        <f t="shared" si="168"/>
        <v>0</v>
      </c>
      <c r="BL224" s="3166">
        <f t="shared" si="169"/>
        <v>0</v>
      </c>
      <c r="BM224" s="3166">
        <f t="shared" si="170"/>
        <v>0</v>
      </c>
      <c r="BN224" s="3166">
        <f t="shared" si="171"/>
        <v>0</v>
      </c>
      <c r="BO224" s="3166">
        <f t="shared" si="172"/>
        <v>0</v>
      </c>
      <c r="BP224" s="3166">
        <f t="shared" si="173"/>
        <v>0</v>
      </c>
      <c r="BQ224" s="3166">
        <f t="shared" si="174"/>
        <v>0</v>
      </c>
      <c r="BR224" s="3166">
        <f t="shared" si="175"/>
        <v>0</v>
      </c>
      <c r="BS224" s="3166">
        <f t="shared" si="176"/>
        <v>0</v>
      </c>
      <c r="BT224" s="3240">
        <f t="shared" si="177"/>
        <v>0</v>
      </c>
    </row>
    <row r="225" spans="1:72">
      <c r="A225" s="3163"/>
      <c r="B225" s="3173"/>
      <c r="C225" s="3171"/>
      <c r="D225" s="3172"/>
      <c r="E225" s="3166">
        <f t="shared" si="149"/>
        <v>0</v>
      </c>
      <c r="F225" s="3167"/>
      <c r="G225" s="3168">
        <f t="shared" si="150"/>
        <v>0</v>
      </c>
      <c r="H225" s="3169">
        <f t="shared" si="151"/>
        <v>0</v>
      </c>
      <c r="I225" s="3175"/>
      <c r="J225" s="3187"/>
      <c r="K225" s="3175"/>
      <c r="L225" s="3187"/>
      <c r="M225" s="3187"/>
      <c r="N225" s="3187"/>
      <c r="O225" s="3187"/>
      <c r="P225" s="3187"/>
      <c r="Q225" s="3187"/>
      <c r="R225" s="3187"/>
      <c r="S225" s="3187"/>
      <c r="T225" s="3187"/>
      <c r="U225" s="3187"/>
      <c r="V225" s="3187"/>
      <c r="W225" s="3187"/>
      <c r="X225" s="3187"/>
      <c r="Y225" s="3187"/>
      <c r="Z225" s="3187"/>
      <c r="AA225" s="3187"/>
      <c r="AB225" s="3187"/>
      <c r="AC225" s="3166">
        <f t="shared" si="152"/>
        <v>0</v>
      </c>
      <c r="AD225" s="3198"/>
      <c r="AE225" s="3198"/>
      <c r="AF225" s="3175"/>
      <c r="AG225" s="3198"/>
      <c r="AH225" s="3198"/>
      <c r="AI225" s="3198"/>
      <c r="AJ225" s="3198"/>
      <c r="AK225" s="3198"/>
      <c r="AL225" s="3198"/>
      <c r="AM225" s="3198"/>
      <c r="AN225" s="3198"/>
      <c r="AO225" s="3198"/>
      <c r="AP225" s="3198"/>
      <c r="AQ225" s="3198"/>
      <c r="AR225" s="3198"/>
      <c r="AS225" s="3198"/>
      <c r="AT225" s="3218"/>
      <c r="AU225" s="3219"/>
      <c r="AV225" s="488">
        <f t="shared" si="153"/>
        <v>0</v>
      </c>
      <c r="AW225" s="488">
        <f t="shared" si="154"/>
        <v>0</v>
      </c>
      <c r="AX225" s="488">
        <f t="shared" si="155"/>
        <v>0</v>
      </c>
      <c r="AY225" s="3235">
        <f t="shared" si="156"/>
        <v>0</v>
      </c>
      <c r="AZ225" s="3166">
        <f t="shared" si="157"/>
        <v>0</v>
      </c>
      <c r="BA225" s="3166">
        <f t="shared" si="158"/>
        <v>0</v>
      </c>
      <c r="BB225" s="3166">
        <f t="shared" si="159"/>
        <v>0</v>
      </c>
      <c r="BC225" s="3166">
        <f t="shared" si="160"/>
        <v>0</v>
      </c>
      <c r="BD225" s="3166">
        <f t="shared" si="161"/>
        <v>0</v>
      </c>
      <c r="BE225" s="3166">
        <f t="shared" si="162"/>
        <v>0</v>
      </c>
      <c r="BF225" s="3166">
        <f t="shared" si="163"/>
        <v>0</v>
      </c>
      <c r="BG225" s="3166">
        <f t="shared" si="164"/>
        <v>0</v>
      </c>
      <c r="BH225" s="3166">
        <f t="shared" si="165"/>
        <v>0</v>
      </c>
      <c r="BI225" s="3166">
        <f t="shared" si="166"/>
        <v>0</v>
      </c>
      <c r="BJ225" s="3166">
        <f t="shared" si="167"/>
        <v>0</v>
      </c>
      <c r="BK225" s="3166">
        <f t="shared" si="168"/>
        <v>0</v>
      </c>
      <c r="BL225" s="3166">
        <f t="shared" si="169"/>
        <v>0</v>
      </c>
      <c r="BM225" s="3166">
        <f t="shared" si="170"/>
        <v>0</v>
      </c>
      <c r="BN225" s="3166">
        <f t="shared" si="171"/>
        <v>0</v>
      </c>
      <c r="BO225" s="3166">
        <f t="shared" si="172"/>
        <v>0</v>
      </c>
      <c r="BP225" s="3166">
        <f t="shared" si="173"/>
        <v>0</v>
      </c>
      <c r="BQ225" s="3166">
        <f t="shared" si="174"/>
        <v>0</v>
      </c>
      <c r="BR225" s="3166">
        <f t="shared" si="175"/>
        <v>0</v>
      </c>
      <c r="BS225" s="3166">
        <f t="shared" si="176"/>
        <v>0</v>
      </c>
      <c r="BT225" s="3240">
        <f t="shared" si="177"/>
        <v>0</v>
      </c>
    </row>
    <row r="226" spans="1:72">
      <c r="A226" s="3163"/>
      <c r="B226" s="3173"/>
      <c r="C226" s="3171"/>
      <c r="D226" s="3172"/>
      <c r="E226" s="3166">
        <f t="shared" si="149"/>
        <v>0</v>
      </c>
      <c r="F226" s="3167"/>
      <c r="G226" s="3168">
        <f t="shared" si="150"/>
        <v>0</v>
      </c>
      <c r="H226" s="3169">
        <f t="shared" si="151"/>
        <v>0</v>
      </c>
      <c r="I226" s="3175"/>
      <c r="J226" s="3187"/>
      <c r="K226" s="3175"/>
      <c r="L226" s="3187"/>
      <c r="M226" s="3187"/>
      <c r="N226" s="3187"/>
      <c r="O226" s="3187"/>
      <c r="P226" s="3187"/>
      <c r="Q226" s="3187"/>
      <c r="R226" s="3187"/>
      <c r="S226" s="3187"/>
      <c r="T226" s="3187"/>
      <c r="U226" s="3187"/>
      <c r="V226" s="3187"/>
      <c r="W226" s="3187"/>
      <c r="X226" s="3187"/>
      <c r="Y226" s="3187"/>
      <c r="Z226" s="3187"/>
      <c r="AA226" s="3187"/>
      <c r="AB226" s="3187"/>
      <c r="AC226" s="3166">
        <f t="shared" si="152"/>
        <v>0</v>
      </c>
      <c r="AD226" s="3198"/>
      <c r="AE226" s="3198"/>
      <c r="AF226" s="3175"/>
      <c r="AG226" s="3198"/>
      <c r="AH226" s="3198"/>
      <c r="AI226" s="3198"/>
      <c r="AJ226" s="3198"/>
      <c r="AK226" s="3198"/>
      <c r="AL226" s="3198"/>
      <c r="AM226" s="3198"/>
      <c r="AN226" s="3198"/>
      <c r="AO226" s="3198"/>
      <c r="AP226" s="3198"/>
      <c r="AQ226" s="3198"/>
      <c r="AR226" s="3198"/>
      <c r="AS226" s="3198"/>
      <c r="AT226" s="3218"/>
      <c r="AU226" s="3219"/>
      <c r="AV226" s="488">
        <f t="shared" si="153"/>
        <v>0</v>
      </c>
      <c r="AW226" s="488">
        <f t="shared" si="154"/>
        <v>0</v>
      </c>
      <c r="AX226" s="488">
        <f t="shared" si="155"/>
        <v>0</v>
      </c>
      <c r="AY226" s="3235">
        <f t="shared" si="156"/>
        <v>0</v>
      </c>
      <c r="AZ226" s="3166">
        <f t="shared" si="157"/>
        <v>0</v>
      </c>
      <c r="BA226" s="3166">
        <f t="shared" si="158"/>
        <v>0</v>
      </c>
      <c r="BB226" s="3166">
        <f t="shared" si="159"/>
        <v>0</v>
      </c>
      <c r="BC226" s="3166">
        <f t="shared" si="160"/>
        <v>0</v>
      </c>
      <c r="BD226" s="3166">
        <f t="shared" si="161"/>
        <v>0</v>
      </c>
      <c r="BE226" s="3166">
        <f t="shared" si="162"/>
        <v>0</v>
      </c>
      <c r="BF226" s="3166">
        <f t="shared" si="163"/>
        <v>0</v>
      </c>
      <c r="BG226" s="3166">
        <f t="shared" si="164"/>
        <v>0</v>
      </c>
      <c r="BH226" s="3166">
        <f t="shared" si="165"/>
        <v>0</v>
      </c>
      <c r="BI226" s="3166">
        <f t="shared" si="166"/>
        <v>0</v>
      </c>
      <c r="BJ226" s="3166">
        <f t="shared" si="167"/>
        <v>0</v>
      </c>
      <c r="BK226" s="3166">
        <f t="shared" si="168"/>
        <v>0</v>
      </c>
      <c r="BL226" s="3166">
        <f t="shared" si="169"/>
        <v>0</v>
      </c>
      <c r="BM226" s="3166">
        <f t="shared" si="170"/>
        <v>0</v>
      </c>
      <c r="BN226" s="3166">
        <f t="shared" si="171"/>
        <v>0</v>
      </c>
      <c r="BO226" s="3166">
        <f t="shared" si="172"/>
        <v>0</v>
      </c>
      <c r="BP226" s="3166">
        <f t="shared" si="173"/>
        <v>0</v>
      </c>
      <c r="BQ226" s="3166">
        <f t="shared" si="174"/>
        <v>0</v>
      </c>
      <c r="BR226" s="3166">
        <f t="shared" si="175"/>
        <v>0</v>
      </c>
      <c r="BS226" s="3166">
        <f t="shared" si="176"/>
        <v>0</v>
      </c>
      <c r="BT226" s="3240">
        <f t="shared" si="177"/>
        <v>0</v>
      </c>
    </row>
    <row r="227" spans="1:72">
      <c r="A227" s="3163"/>
      <c r="B227" s="3173"/>
      <c r="C227" s="3171"/>
      <c r="D227" s="3172"/>
      <c r="E227" s="3166">
        <f t="shared" si="149"/>
        <v>0</v>
      </c>
      <c r="F227" s="3167"/>
      <c r="G227" s="3168">
        <f t="shared" si="150"/>
        <v>0</v>
      </c>
      <c r="H227" s="3169">
        <f t="shared" si="151"/>
        <v>0</v>
      </c>
      <c r="I227" s="3175"/>
      <c r="J227" s="3187"/>
      <c r="K227" s="3175"/>
      <c r="L227" s="3187"/>
      <c r="M227" s="3187"/>
      <c r="N227" s="3187"/>
      <c r="O227" s="3187"/>
      <c r="P227" s="3187"/>
      <c r="Q227" s="3187"/>
      <c r="R227" s="3187"/>
      <c r="S227" s="3187"/>
      <c r="T227" s="3187"/>
      <c r="U227" s="3187"/>
      <c r="V227" s="3187"/>
      <c r="W227" s="3187"/>
      <c r="X227" s="3187"/>
      <c r="Y227" s="3187"/>
      <c r="Z227" s="3187"/>
      <c r="AA227" s="3187"/>
      <c r="AB227" s="3187"/>
      <c r="AC227" s="3166">
        <f t="shared" si="152"/>
        <v>0</v>
      </c>
      <c r="AD227" s="3198"/>
      <c r="AE227" s="3198"/>
      <c r="AF227" s="3175"/>
      <c r="AG227" s="3198"/>
      <c r="AH227" s="3198"/>
      <c r="AI227" s="3198"/>
      <c r="AJ227" s="3198"/>
      <c r="AK227" s="3198"/>
      <c r="AL227" s="3198"/>
      <c r="AM227" s="3198"/>
      <c r="AN227" s="3198"/>
      <c r="AO227" s="3198"/>
      <c r="AP227" s="3198"/>
      <c r="AQ227" s="3198"/>
      <c r="AR227" s="3198"/>
      <c r="AS227" s="3198"/>
      <c r="AT227" s="3218"/>
      <c r="AU227" s="3219"/>
      <c r="AV227" s="488">
        <f t="shared" si="153"/>
        <v>0</v>
      </c>
      <c r="AW227" s="488">
        <f t="shared" si="154"/>
        <v>0</v>
      </c>
      <c r="AX227" s="488">
        <f t="shared" si="155"/>
        <v>0</v>
      </c>
      <c r="AY227" s="3235">
        <f t="shared" si="156"/>
        <v>0</v>
      </c>
      <c r="AZ227" s="3166">
        <f t="shared" si="157"/>
        <v>0</v>
      </c>
      <c r="BA227" s="3166">
        <f t="shared" si="158"/>
        <v>0</v>
      </c>
      <c r="BB227" s="3166">
        <f t="shared" si="159"/>
        <v>0</v>
      </c>
      <c r="BC227" s="3166">
        <f t="shared" si="160"/>
        <v>0</v>
      </c>
      <c r="BD227" s="3166">
        <f t="shared" si="161"/>
        <v>0</v>
      </c>
      <c r="BE227" s="3166">
        <f t="shared" si="162"/>
        <v>0</v>
      </c>
      <c r="BF227" s="3166">
        <f t="shared" si="163"/>
        <v>0</v>
      </c>
      <c r="BG227" s="3166">
        <f t="shared" si="164"/>
        <v>0</v>
      </c>
      <c r="BH227" s="3166">
        <f t="shared" si="165"/>
        <v>0</v>
      </c>
      <c r="BI227" s="3166">
        <f t="shared" si="166"/>
        <v>0</v>
      </c>
      <c r="BJ227" s="3166">
        <f t="shared" si="167"/>
        <v>0</v>
      </c>
      <c r="BK227" s="3166">
        <f t="shared" si="168"/>
        <v>0</v>
      </c>
      <c r="BL227" s="3166">
        <f t="shared" si="169"/>
        <v>0</v>
      </c>
      <c r="BM227" s="3166">
        <f t="shared" si="170"/>
        <v>0</v>
      </c>
      <c r="BN227" s="3166">
        <f t="shared" si="171"/>
        <v>0</v>
      </c>
      <c r="BO227" s="3166">
        <f t="shared" si="172"/>
        <v>0</v>
      </c>
      <c r="BP227" s="3166">
        <f t="shared" si="173"/>
        <v>0</v>
      </c>
      <c r="BQ227" s="3166">
        <f t="shared" si="174"/>
        <v>0</v>
      </c>
      <c r="BR227" s="3166">
        <f t="shared" si="175"/>
        <v>0</v>
      </c>
      <c r="BS227" s="3166">
        <f t="shared" si="176"/>
        <v>0</v>
      </c>
      <c r="BT227" s="3240">
        <f t="shared" si="177"/>
        <v>0</v>
      </c>
    </row>
    <row r="228" spans="1:72">
      <c r="A228" s="3163"/>
      <c r="B228" s="3173"/>
      <c r="C228" s="3171"/>
      <c r="D228" s="3172"/>
      <c r="E228" s="3166">
        <f t="shared" si="149"/>
        <v>0</v>
      </c>
      <c r="F228" s="3167"/>
      <c r="G228" s="3168">
        <f t="shared" si="150"/>
        <v>0</v>
      </c>
      <c r="H228" s="3169">
        <f t="shared" si="151"/>
        <v>0</v>
      </c>
      <c r="I228" s="3175"/>
      <c r="J228" s="3187"/>
      <c r="K228" s="3175"/>
      <c r="L228" s="3187"/>
      <c r="M228" s="3187"/>
      <c r="N228" s="3187"/>
      <c r="O228" s="3187"/>
      <c r="P228" s="3187"/>
      <c r="Q228" s="3187"/>
      <c r="R228" s="3187"/>
      <c r="S228" s="3187"/>
      <c r="T228" s="3187"/>
      <c r="U228" s="3187"/>
      <c r="V228" s="3187"/>
      <c r="W228" s="3187"/>
      <c r="X228" s="3187"/>
      <c r="Y228" s="3187"/>
      <c r="Z228" s="3187"/>
      <c r="AA228" s="3187"/>
      <c r="AB228" s="3187"/>
      <c r="AC228" s="3166">
        <f t="shared" si="152"/>
        <v>0</v>
      </c>
      <c r="AD228" s="3198"/>
      <c r="AE228" s="3198"/>
      <c r="AF228" s="3175"/>
      <c r="AG228" s="3198"/>
      <c r="AH228" s="3198"/>
      <c r="AI228" s="3198"/>
      <c r="AJ228" s="3198"/>
      <c r="AK228" s="3198"/>
      <c r="AL228" s="3198"/>
      <c r="AM228" s="3198"/>
      <c r="AN228" s="3198"/>
      <c r="AO228" s="3198"/>
      <c r="AP228" s="3198"/>
      <c r="AQ228" s="3198"/>
      <c r="AR228" s="3198"/>
      <c r="AS228" s="3198"/>
      <c r="AT228" s="3218"/>
      <c r="AU228" s="3219"/>
      <c r="AV228" s="488">
        <f t="shared" si="153"/>
        <v>0</v>
      </c>
      <c r="AW228" s="488">
        <f t="shared" si="154"/>
        <v>0</v>
      </c>
      <c r="AX228" s="488">
        <f t="shared" si="155"/>
        <v>0</v>
      </c>
      <c r="AY228" s="3235">
        <f t="shared" si="156"/>
        <v>0</v>
      </c>
      <c r="AZ228" s="3166">
        <f t="shared" si="157"/>
        <v>0</v>
      </c>
      <c r="BA228" s="3166">
        <f t="shared" si="158"/>
        <v>0</v>
      </c>
      <c r="BB228" s="3166">
        <f t="shared" si="159"/>
        <v>0</v>
      </c>
      <c r="BC228" s="3166">
        <f t="shared" si="160"/>
        <v>0</v>
      </c>
      <c r="BD228" s="3166">
        <f t="shared" si="161"/>
        <v>0</v>
      </c>
      <c r="BE228" s="3166">
        <f t="shared" si="162"/>
        <v>0</v>
      </c>
      <c r="BF228" s="3166">
        <f t="shared" si="163"/>
        <v>0</v>
      </c>
      <c r="BG228" s="3166">
        <f t="shared" si="164"/>
        <v>0</v>
      </c>
      <c r="BH228" s="3166">
        <f t="shared" si="165"/>
        <v>0</v>
      </c>
      <c r="BI228" s="3166">
        <f t="shared" si="166"/>
        <v>0</v>
      </c>
      <c r="BJ228" s="3166">
        <f t="shared" si="167"/>
        <v>0</v>
      </c>
      <c r="BK228" s="3166">
        <f t="shared" si="168"/>
        <v>0</v>
      </c>
      <c r="BL228" s="3166">
        <f t="shared" si="169"/>
        <v>0</v>
      </c>
      <c r="BM228" s="3166">
        <f t="shared" si="170"/>
        <v>0</v>
      </c>
      <c r="BN228" s="3166">
        <f t="shared" si="171"/>
        <v>0</v>
      </c>
      <c r="BO228" s="3166">
        <f t="shared" si="172"/>
        <v>0</v>
      </c>
      <c r="BP228" s="3166">
        <f t="shared" si="173"/>
        <v>0</v>
      </c>
      <c r="BQ228" s="3166">
        <f t="shared" si="174"/>
        <v>0</v>
      </c>
      <c r="BR228" s="3166">
        <f t="shared" si="175"/>
        <v>0</v>
      </c>
      <c r="BS228" s="3166">
        <f t="shared" si="176"/>
        <v>0</v>
      </c>
      <c r="BT228" s="3240">
        <f t="shared" si="177"/>
        <v>0</v>
      </c>
    </row>
    <row r="229" spans="1:72">
      <c r="A229" s="3163"/>
      <c r="B229" s="3173"/>
      <c r="C229" s="3171"/>
      <c r="D229" s="3172"/>
      <c r="E229" s="3166">
        <f t="shared" si="149"/>
        <v>0</v>
      </c>
      <c r="F229" s="3167"/>
      <c r="G229" s="3168">
        <f t="shared" si="150"/>
        <v>0</v>
      </c>
      <c r="H229" s="3169">
        <f t="shared" si="151"/>
        <v>0</v>
      </c>
      <c r="I229" s="3175"/>
      <c r="J229" s="3187"/>
      <c r="K229" s="3175"/>
      <c r="L229" s="3187"/>
      <c r="M229" s="3187"/>
      <c r="N229" s="3187"/>
      <c r="O229" s="3187"/>
      <c r="P229" s="3187"/>
      <c r="Q229" s="3187"/>
      <c r="R229" s="3187"/>
      <c r="S229" s="3187"/>
      <c r="T229" s="3187"/>
      <c r="U229" s="3187"/>
      <c r="V229" s="3187"/>
      <c r="W229" s="3187"/>
      <c r="X229" s="3187"/>
      <c r="Y229" s="3187"/>
      <c r="Z229" s="3187"/>
      <c r="AA229" s="3187"/>
      <c r="AB229" s="3187"/>
      <c r="AC229" s="3166">
        <f t="shared" si="152"/>
        <v>0</v>
      </c>
      <c r="AD229" s="3198"/>
      <c r="AE229" s="3198"/>
      <c r="AF229" s="3175"/>
      <c r="AG229" s="3198"/>
      <c r="AH229" s="3198"/>
      <c r="AI229" s="3198"/>
      <c r="AJ229" s="3198"/>
      <c r="AK229" s="3198"/>
      <c r="AL229" s="3198"/>
      <c r="AM229" s="3198"/>
      <c r="AN229" s="3198"/>
      <c r="AO229" s="3198"/>
      <c r="AP229" s="3198"/>
      <c r="AQ229" s="3198"/>
      <c r="AR229" s="3198"/>
      <c r="AS229" s="3198"/>
      <c r="AT229" s="3218"/>
      <c r="AU229" s="3219"/>
      <c r="AV229" s="488">
        <f t="shared" si="153"/>
        <v>0</v>
      </c>
      <c r="AW229" s="488">
        <f t="shared" si="154"/>
        <v>0</v>
      </c>
      <c r="AX229" s="488">
        <f t="shared" si="155"/>
        <v>0</v>
      </c>
      <c r="AY229" s="3235">
        <f t="shared" si="156"/>
        <v>0</v>
      </c>
      <c r="AZ229" s="3166">
        <f t="shared" si="157"/>
        <v>0</v>
      </c>
      <c r="BA229" s="3166">
        <f t="shared" si="158"/>
        <v>0</v>
      </c>
      <c r="BB229" s="3166">
        <f t="shared" si="159"/>
        <v>0</v>
      </c>
      <c r="BC229" s="3166">
        <f t="shared" si="160"/>
        <v>0</v>
      </c>
      <c r="BD229" s="3166">
        <f t="shared" si="161"/>
        <v>0</v>
      </c>
      <c r="BE229" s="3166">
        <f t="shared" si="162"/>
        <v>0</v>
      </c>
      <c r="BF229" s="3166">
        <f t="shared" si="163"/>
        <v>0</v>
      </c>
      <c r="BG229" s="3166">
        <f t="shared" si="164"/>
        <v>0</v>
      </c>
      <c r="BH229" s="3166">
        <f t="shared" si="165"/>
        <v>0</v>
      </c>
      <c r="BI229" s="3166">
        <f t="shared" si="166"/>
        <v>0</v>
      </c>
      <c r="BJ229" s="3166">
        <f t="shared" si="167"/>
        <v>0</v>
      </c>
      <c r="BK229" s="3166">
        <f t="shared" si="168"/>
        <v>0</v>
      </c>
      <c r="BL229" s="3166">
        <f t="shared" si="169"/>
        <v>0</v>
      </c>
      <c r="BM229" s="3166">
        <f t="shared" si="170"/>
        <v>0</v>
      </c>
      <c r="BN229" s="3166">
        <f t="shared" si="171"/>
        <v>0</v>
      </c>
      <c r="BO229" s="3166">
        <f t="shared" si="172"/>
        <v>0</v>
      </c>
      <c r="BP229" s="3166">
        <f t="shared" si="173"/>
        <v>0</v>
      </c>
      <c r="BQ229" s="3166">
        <f t="shared" si="174"/>
        <v>0</v>
      </c>
      <c r="BR229" s="3166">
        <f t="shared" si="175"/>
        <v>0</v>
      </c>
      <c r="BS229" s="3166">
        <f t="shared" si="176"/>
        <v>0</v>
      </c>
      <c r="BT229" s="3240">
        <f t="shared" si="177"/>
        <v>0</v>
      </c>
    </row>
    <row r="230" spans="1:72">
      <c r="A230" s="3163"/>
      <c r="B230" s="3173"/>
      <c r="C230" s="3171"/>
      <c r="D230" s="3172"/>
      <c r="E230" s="3166">
        <f t="shared" si="149"/>
        <v>0</v>
      </c>
      <c r="F230" s="3167"/>
      <c r="G230" s="3168">
        <f t="shared" si="150"/>
        <v>0</v>
      </c>
      <c r="H230" s="3169">
        <f t="shared" si="151"/>
        <v>0</v>
      </c>
      <c r="I230" s="3175"/>
      <c r="J230" s="3187"/>
      <c r="K230" s="3175"/>
      <c r="L230" s="3187"/>
      <c r="M230" s="3187"/>
      <c r="N230" s="3187"/>
      <c r="O230" s="3187"/>
      <c r="P230" s="3187"/>
      <c r="Q230" s="3187"/>
      <c r="R230" s="3187"/>
      <c r="S230" s="3187"/>
      <c r="T230" s="3187"/>
      <c r="U230" s="3187"/>
      <c r="V230" s="3187"/>
      <c r="W230" s="3187"/>
      <c r="X230" s="3187"/>
      <c r="Y230" s="3187"/>
      <c r="Z230" s="3187"/>
      <c r="AA230" s="3187"/>
      <c r="AB230" s="3187"/>
      <c r="AC230" s="3166">
        <f t="shared" si="152"/>
        <v>0</v>
      </c>
      <c r="AD230" s="3198"/>
      <c r="AE230" s="3198"/>
      <c r="AF230" s="3175"/>
      <c r="AG230" s="3198"/>
      <c r="AH230" s="3198"/>
      <c r="AI230" s="3198"/>
      <c r="AJ230" s="3198"/>
      <c r="AK230" s="3198"/>
      <c r="AL230" s="3198"/>
      <c r="AM230" s="3198"/>
      <c r="AN230" s="3198"/>
      <c r="AO230" s="3198"/>
      <c r="AP230" s="3198"/>
      <c r="AQ230" s="3198"/>
      <c r="AR230" s="3198"/>
      <c r="AS230" s="3198"/>
      <c r="AT230" s="3218"/>
      <c r="AU230" s="3219"/>
      <c r="AV230" s="488">
        <f t="shared" si="153"/>
        <v>0</v>
      </c>
      <c r="AW230" s="488">
        <f t="shared" si="154"/>
        <v>0</v>
      </c>
      <c r="AX230" s="488">
        <f t="shared" si="155"/>
        <v>0</v>
      </c>
      <c r="AY230" s="3235">
        <f t="shared" si="156"/>
        <v>0</v>
      </c>
      <c r="AZ230" s="3166">
        <f t="shared" si="157"/>
        <v>0</v>
      </c>
      <c r="BA230" s="3166">
        <f t="shared" si="158"/>
        <v>0</v>
      </c>
      <c r="BB230" s="3166">
        <f t="shared" si="159"/>
        <v>0</v>
      </c>
      <c r="BC230" s="3166">
        <f t="shared" si="160"/>
        <v>0</v>
      </c>
      <c r="BD230" s="3166">
        <f t="shared" si="161"/>
        <v>0</v>
      </c>
      <c r="BE230" s="3166">
        <f t="shared" si="162"/>
        <v>0</v>
      </c>
      <c r="BF230" s="3166">
        <f t="shared" si="163"/>
        <v>0</v>
      </c>
      <c r="BG230" s="3166">
        <f t="shared" si="164"/>
        <v>0</v>
      </c>
      <c r="BH230" s="3166">
        <f t="shared" si="165"/>
        <v>0</v>
      </c>
      <c r="BI230" s="3166">
        <f t="shared" si="166"/>
        <v>0</v>
      </c>
      <c r="BJ230" s="3166">
        <f t="shared" si="167"/>
        <v>0</v>
      </c>
      <c r="BK230" s="3166">
        <f t="shared" si="168"/>
        <v>0</v>
      </c>
      <c r="BL230" s="3166">
        <f t="shared" si="169"/>
        <v>0</v>
      </c>
      <c r="BM230" s="3166">
        <f t="shared" si="170"/>
        <v>0</v>
      </c>
      <c r="BN230" s="3166">
        <f t="shared" si="171"/>
        <v>0</v>
      </c>
      <c r="BO230" s="3166">
        <f t="shared" si="172"/>
        <v>0</v>
      </c>
      <c r="BP230" s="3166">
        <f t="shared" si="173"/>
        <v>0</v>
      </c>
      <c r="BQ230" s="3166">
        <f t="shared" si="174"/>
        <v>0</v>
      </c>
      <c r="BR230" s="3166">
        <f t="shared" si="175"/>
        <v>0</v>
      </c>
      <c r="BS230" s="3166">
        <f t="shared" si="176"/>
        <v>0</v>
      </c>
      <c r="BT230" s="3240">
        <f t="shared" si="177"/>
        <v>0</v>
      </c>
    </row>
    <row r="231" spans="1:72">
      <c r="A231" s="3163"/>
      <c r="B231" s="3173"/>
      <c r="C231" s="3171"/>
      <c r="D231" s="3172"/>
      <c r="E231" s="3166">
        <f t="shared" si="149"/>
        <v>0</v>
      </c>
      <c r="F231" s="3167"/>
      <c r="G231" s="3168">
        <f t="shared" si="150"/>
        <v>0</v>
      </c>
      <c r="H231" s="3169">
        <f t="shared" si="151"/>
        <v>0</v>
      </c>
      <c r="I231" s="3175"/>
      <c r="J231" s="3187"/>
      <c r="K231" s="3175"/>
      <c r="L231" s="3187"/>
      <c r="M231" s="3187"/>
      <c r="N231" s="3187"/>
      <c r="O231" s="3187"/>
      <c r="P231" s="3187"/>
      <c r="Q231" s="3187"/>
      <c r="R231" s="3187"/>
      <c r="S231" s="3187"/>
      <c r="T231" s="3187"/>
      <c r="U231" s="3187"/>
      <c r="V231" s="3187"/>
      <c r="W231" s="3187"/>
      <c r="X231" s="3187"/>
      <c r="Y231" s="3187"/>
      <c r="Z231" s="3187"/>
      <c r="AA231" s="3187"/>
      <c r="AB231" s="3187"/>
      <c r="AC231" s="3166">
        <f t="shared" si="152"/>
        <v>0</v>
      </c>
      <c r="AD231" s="3198"/>
      <c r="AE231" s="3198"/>
      <c r="AF231" s="3171"/>
      <c r="AG231" s="3198"/>
      <c r="AH231" s="3198"/>
      <c r="AI231" s="3198"/>
      <c r="AJ231" s="3198"/>
      <c r="AK231" s="3198"/>
      <c r="AL231" s="3198"/>
      <c r="AM231" s="3198"/>
      <c r="AN231" s="3198"/>
      <c r="AO231" s="3198"/>
      <c r="AP231" s="3198"/>
      <c r="AQ231" s="3198"/>
      <c r="AR231" s="3198"/>
      <c r="AS231" s="3198"/>
      <c r="AT231" s="3218"/>
      <c r="AU231" s="3219"/>
      <c r="AV231" s="488">
        <f t="shared" si="153"/>
        <v>0</v>
      </c>
      <c r="AW231" s="488">
        <f t="shared" si="154"/>
        <v>0</v>
      </c>
      <c r="AX231" s="488">
        <f t="shared" si="155"/>
        <v>0</v>
      </c>
      <c r="AY231" s="3235">
        <f t="shared" si="156"/>
        <v>0</v>
      </c>
      <c r="AZ231" s="3166">
        <f t="shared" si="157"/>
        <v>0</v>
      </c>
      <c r="BA231" s="3166">
        <f t="shared" si="158"/>
        <v>0</v>
      </c>
      <c r="BB231" s="3166">
        <f t="shared" si="159"/>
        <v>0</v>
      </c>
      <c r="BC231" s="3166">
        <f t="shared" si="160"/>
        <v>0</v>
      </c>
      <c r="BD231" s="3166">
        <f t="shared" si="161"/>
        <v>0</v>
      </c>
      <c r="BE231" s="3166">
        <f t="shared" si="162"/>
        <v>0</v>
      </c>
      <c r="BF231" s="3166">
        <f t="shared" si="163"/>
        <v>0</v>
      </c>
      <c r="BG231" s="3166">
        <f t="shared" si="164"/>
        <v>0</v>
      </c>
      <c r="BH231" s="3166">
        <f t="shared" si="165"/>
        <v>0</v>
      </c>
      <c r="BI231" s="3166">
        <f t="shared" si="166"/>
        <v>0</v>
      </c>
      <c r="BJ231" s="3166">
        <f t="shared" si="167"/>
        <v>0</v>
      </c>
      <c r="BK231" s="3166">
        <f t="shared" si="168"/>
        <v>0</v>
      </c>
      <c r="BL231" s="3166">
        <f t="shared" si="169"/>
        <v>0</v>
      </c>
      <c r="BM231" s="3166">
        <f t="shared" si="170"/>
        <v>0</v>
      </c>
      <c r="BN231" s="3166">
        <f t="shared" si="171"/>
        <v>0</v>
      </c>
      <c r="BO231" s="3166">
        <f t="shared" si="172"/>
        <v>0</v>
      </c>
      <c r="BP231" s="3166">
        <f t="shared" si="173"/>
        <v>0</v>
      </c>
      <c r="BQ231" s="3166">
        <f t="shared" si="174"/>
        <v>0</v>
      </c>
      <c r="BR231" s="3166">
        <f t="shared" si="175"/>
        <v>0</v>
      </c>
      <c r="BS231" s="3166">
        <f t="shared" si="176"/>
        <v>0</v>
      </c>
      <c r="BT231" s="3240">
        <f t="shared" si="177"/>
        <v>0</v>
      </c>
    </row>
    <row r="232" spans="1:72">
      <c r="A232" s="3163"/>
      <c r="B232" s="3173"/>
      <c r="C232" s="3171"/>
      <c r="D232" s="3172"/>
      <c r="E232" s="3166">
        <f t="shared" si="149"/>
        <v>0</v>
      </c>
      <c r="F232" s="3167"/>
      <c r="G232" s="3168">
        <f t="shared" si="150"/>
        <v>0</v>
      </c>
      <c r="H232" s="3169">
        <f t="shared" si="151"/>
        <v>0</v>
      </c>
      <c r="I232" s="3171"/>
      <c r="J232" s="3187"/>
      <c r="K232" s="3171"/>
      <c r="L232" s="3187"/>
      <c r="M232" s="3187"/>
      <c r="N232" s="3187"/>
      <c r="O232" s="3187"/>
      <c r="P232" s="3187"/>
      <c r="Q232" s="3187"/>
      <c r="R232" s="3187"/>
      <c r="S232" s="3187"/>
      <c r="T232" s="3187"/>
      <c r="U232" s="3187"/>
      <c r="V232" s="3187"/>
      <c r="W232" s="3187"/>
      <c r="X232" s="3187"/>
      <c r="Y232" s="3187"/>
      <c r="Z232" s="3187"/>
      <c r="AA232" s="3187"/>
      <c r="AB232" s="3187"/>
      <c r="AC232" s="3166">
        <f t="shared" si="152"/>
        <v>0</v>
      </c>
      <c r="AD232" s="3198"/>
      <c r="AE232" s="3198"/>
      <c r="AF232" s="3171"/>
      <c r="AG232" s="3198"/>
      <c r="AH232" s="3198"/>
      <c r="AI232" s="3198"/>
      <c r="AJ232" s="3198"/>
      <c r="AK232" s="3198"/>
      <c r="AL232" s="3198"/>
      <c r="AM232" s="3198"/>
      <c r="AN232" s="3198"/>
      <c r="AO232" s="3198"/>
      <c r="AP232" s="3198"/>
      <c r="AQ232" s="3198"/>
      <c r="AR232" s="3198"/>
      <c r="AS232" s="3198"/>
      <c r="AT232" s="3218"/>
      <c r="AU232" s="3219"/>
      <c r="AV232" s="488">
        <f t="shared" si="153"/>
        <v>0</v>
      </c>
      <c r="AW232" s="488">
        <f t="shared" si="154"/>
        <v>0</v>
      </c>
      <c r="AX232" s="488">
        <f t="shared" si="155"/>
        <v>0</v>
      </c>
      <c r="AY232" s="3235">
        <f t="shared" si="156"/>
        <v>0</v>
      </c>
      <c r="AZ232" s="3166">
        <f t="shared" si="157"/>
        <v>0</v>
      </c>
      <c r="BA232" s="3166">
        <f t="shared" si="158"/>
        <v>0</v>
      </c>
      <c r="BB232" s="3166">
        <f t="shared" si="159"/>
        <v>0</v>
      </c>
      <c r="BC232" s="3166">
        <f t="shared" si="160"/>
        <v>0</v>
      </c>
      <c r="BD232" s="3166">
        <f t="shared" si="161"/>
        <v>0</v>
      </c>
      <c r="BE232" s="3166">
        <f t="shared" si="162"/>
        <v>0</v>
      </c>
      <c r="BF232" s="3166">
        <f t="shared" si="163"/>
        <v>0</v>
      </c>
      <c r="BG232" s="3166">
        <f t="shared" si="164"/>
        <v>0</v>
      </c>
      <c r="BH232" s="3166">
        <f t="shared" si="165"/>
        <v>0</v>
      </c>
      <c r="BI232" s="3166">
        <f t="shared" si="166"/>
        <v>0</v>
      </c>
      <c r="BJ232" s="3166">
        <f t="shared" si="167"/>
        <v>0</v>
      </c>
      <c r="BK232" s="3166">
        <f t="shared" si="168"/>
        <v>0</v>
      </c>
      <c r="BL232" s="3166">
        <f t="shared" si="169"/>
        <v>0</v>
      </c>
      <c r="BM232" s="3166">
        <f t="shared" si="170"/>
        <v>0</v>
      </c>
      <c r="BN232" s="3166">
        <f t="shared" si="171"/>
        <v>0</v>
      </c>
      <c r="BO232" s="3166">
        <f t="shared" si="172"/>
        <v>0</v>
      </c>
      <c r="BP232" s="3166">
        <f t="shared" si="173"/>
        <v>0</v>
      </c>
      <c r="BQ232" s="3166">
        <f t="shared" si="174"/>
        <v>0</v>
      </c>
      <c r="BR232" s="3166">
        <f t="shared" si="175"/>
        <v>0</v>
      </c>
      <c r="BS232" s="3166">
        <f t="shared" si="176"/>
        <v>0</v>
      </c>
      <c r="BT232" s="3240">
        <f t="shared" si="177"/>
        <v>0</v>
      </c>
    </row>
    <row r="233" spans="1:72">
      <c r="A233" s="3163"/>
      <c r="B233" s="3173"/>
      <c r="C233" s="3171"/>
      <c r="D233" s="3172"/>
      <c r="E233" s="3166">
        <f t="shared" si="149"/>
        <v>0</v>
      </c>
      <c r="F233" s="3167"/>
      <c r="G233" s="3168">
        <f t="shared" si="150"/>
        <v>0</v>
      </c>
      <c r="H233" s="3169">
        <f t="shared" si="151"/>
        <v>0</v>
      </c>
      <c r="I233" s="3171"/>
      <c r="J233" s="3187"/>
      <c r="K233" s="3171"/>
      <c r="L233" s="3187"/>
      <c r="M233" s="3187"/>
      <c r="N233" s="3187"/>
      <c r="O233" s="3187"/>
      <c r="P233" s="3187"/>
      <c r="Q233" s="3187"/>
      <c r="R233" s="3187"/>
      <c r="S233" s="3187"/>
      <c r="T233" s="3187"/>
      <c r="U233" s="3187"/>
      <c r="V233" s="3187"/>
      <c r="W233" s="3187"/>
      <c r="X233" s="3187"/>
      <c r="Y233" s="3187"/>
      <c r="Z233" s="3187"/>
      <c r="AA233" s="3187"/>
      <c r="AB233" s="3187"/>
      <c r="AC233" s="3166">
        <f t="shared" si="152"/>
        <v>0</v>
      </c>
      <c r="AD233" s="3198"/>
      <c r="AE233" s="3198"/>
      <c r="AF233" s="3171"/>
      <c r="AG233" s="3198"/>
      <c r="AH233" s="3198"/>
      <c r="AI233" s="3198"/>
      <c r="AJ233" s="3198"/>
      <c r="AK233" s="3198"/>
      <c r="AL233" s="3198"/>
      <c r="AM233" s="3198"/>
      <c r="AN233" s="3198"/>
      <c r="AO233" s="3198"/>
      <c r="AP233" s="3198"/>
      <c r="AQ233" s="3198"/>
      <c r="AR233" s="3198"/>
      <c r="AS233" s="3198"/>
      <c r="AT233" s="3218"/>
      <c r="AU233" s="3219"/>
      <c r="AV233" s="488">
        <f t="shared" si="153"/>
        <v>0</v>
      </c>
      <c r="AW233" s="488">
        <f t="shared" si="154"/>
        <v>0</v>
      </c>
      <c r="AX233" s="488">
        <f t="shared" si="155"/>
        <v>0</v>
      </c>
      <c r="AY233" s="3235">
        <f t="shared" si="156"/>
        <v>0</v>
      </c>
      <c r="AZ233" s="3166">
        <f t="shared" si="157"/>
        <v>0</v>
      </c>
      <c r="BA233" s="3166">
        <f t="shared" si="158"/>
        <v>0</v>
      </c>
      <c r="BB233" s="3166">
        <f t="shared" si="159"/>
        <v>0</v>
      </c>
      <c r="BC233" s="3166">
        <f t="shared" si="160"/>
        <v>0</v>
      </c>
      <c r="BD233" s="3166">
        <f t="shared" si="161"/>
        <v>0</v>
      </c>
      <c r="BE233" s="3166">
        <f t="shared" si="162"/>
        <v>0</v>
      </c>
      <c r="BF233" s="3166">
        <f t="shared" si="163"/>
        <v>0</v>
      </c>
      <c r="BG233" s="3166">
        <f t="shared" si="164"/>
        <v>0</v>
      </c>
      <c r="BH233" s="3166">
        <f t="shared" si="165"/>
        <v>0</v>
      </c>
      <c r="BI233" s="3166">
        <f t="shared" si="166"/>
        <v>0</v>
      </c>
      <c r="BJ233" s="3166">
        <f t="shared" si="167"/>
        <v>0</v>
      </c>
      <c r="BK233" s="3166">
        <f t="shared" si="168"/>
        <v>0</v>
      </c>
      <c r="BL233" s="3166">
        <f t="shared" si="169"/>
        <v>0</v>
      </c>
      <c r="BM233" s="3166">
        <f t="shared" si="170"/>
        <v>0</v>
      </c>
      <c r="BN233" s="3166">
        <f t="shared" si="171"/>
        <v>0</v>
      </c>
      <c r="BO233" s="3166">
        <f t="shared" si="172"/>
        <v>0</v>
      </c>
      <c r="BP233" s="3166">
        <f t="shared" si="173"/>
        <v>0</v>
      </c>
      <c r="BQ233" s="3166">
        <f t="shared" si="174"/>
        <v>0</v>
      </c>
      <c r="BR233" s="3166">
        <f t="shared" si="175"/>
        <v>0</v>
      </c>
      <c r="BS233" s="3166">
        <f t="shared" si="176"/>
        <v>0</v>
      </c>
      <c r="BT233" s="3240">
        <f t="shared" si="177"/>
        <v>0</v>
      </c>
    </row>
    <row r="234" spans="1:72">
      <c r="A234" s="3163"/>
      <c r="B234" s="3173"/>
      <c r="C234" s="3171"/>
      <c r="D234" s="3172"/>
      <c r="E234" s="3166">
        <f t="shared" si="149"/>
        <v>0</v>
      </c>
      <c r="F234" s="3167"/>
      <c r="G234" s="3168">
        <f t="shared" si="150"/>
        <v>0</v>
      </c>
      <c r="H234" s="3169">
        <f t="shared" si="151"/>
        <v>0</v>
      </c>
      <c r="I234" s="3171"/>
      <c r="J234" s="3187"/>
      <c r="K234" s="3171"/>
      <c r="L234" s="3187"/>
      <c r="M234" s="3187"/>
      <c r="N234" s="3187"/>
      <c r="O234" s="3187"/>
      <c r="P234" s="3187"/>
      <c r="Q234" s="3187"/>
      <c r="R234" s="3187"/>
      <c r="S234" s="3187"/>
      <c r="T234" s="3187"/>
      <c r="U234" s="3187"/>
      <c r="V234" s="3187"/>
      <c r="W234" s="3187"/>
      <c r="X234" s="3187"/>
      <c r="Y234" s="3187"/>
      <c r="Z234" s="3187"/>
      <c r="AA234" s="3187"/>
      <c r="AB234" s="3187"/>
      <c r="AC234" s="3166">
        <f t="shared" si="152"/>
        <v>0</v>
      </c>
      <c r="AD234" s="3198"/>
      <c r="AE234" s="3198"/>
      <c r="AF234" s="3171"/>
      <c r="AG234" s="3198"/>
      <c r="AH234" s="3198"/>
      <c r="AI234" s="3198"/>
      <c r="AJ234" s="3198"/>
      <c r="AK234" s="3198"/>
      <c r="AL234" s="3198"/>
      <c r="AM234" s="3198"/>
      <c r="AN234" s="3198"/>
      <c r="AO234" s="3198"/>
      <c r="AP234" s="3198"/>
      <c r="AQ234" s="3198"/>
      <c r="AR234" s="3198"/>
      <c r="AS234" s="3198"/>
      <c r="AT234" s="3218"/>
      <c r="AU234" s="3219"/>
      <c r="AV234" s="488">
        <f t="shared" si="153"/>
        <v>0</v>
      </c>
      <c r="AW234" s="488">
        <f t="shared" si="154"/>
        <v>0</v>
      </c>
      <c r="AX234" s="488">
        <f t="shared" si="155"/>
        <v>0</v>
      </c>
      <c r="AY234" s="3235">
        <f t="shared" si="156"/>
        <v>0</v>
      </c>
      <c r="AZ234" s="3166">
        <f t="shared" si="157"/>
        <v>0</v>
      </c>
      <c r="BA234" s="3166">
        <f t="shared" si="158"/>
        <v>0</v>
      </c>
      <c r="BB234" s="3166">
        <f t="shared" si="159"/>
        <v>0</v>
      </c>
      <c r="BC234" s="3166">
        <f t="shared" si="160"/>
        <v>0</v>
      </c>
      <c r="BD234" s="3166">
        <f t="shared" si="161"/>
        <v>0</v>
      </c>
      <c r="BE234" s="3166">
        <f t="shared" si="162"/>
        <v>0</v>
      </c>
      <c r="BF234" s="3166">
        <f t="shared" si="163"/>
        <v>0</v>
      </c>
      <c r="BG234" s="3166">
        <f t="shared" si="164"/>
        <v>0</v>
      </c>
      <c r="BH234" s="3166">
        <f t="shared" si="165"/>
        <v>0</v>
      </c>
      <c r="BI234" s="3166">
        <f t="shared" si="166"/>
        <v>0</v>
      </c>
      <c r="BJ234" s="3166">
        <f t="shared" si="167"/>
        <v>0</v>
      </c>
      <c r="BK234" s="3166">
        <f t="shared" si="168"/>
        <v>0</v>
      </c>
      <c r="BL234" s="3166">
        <f t="shared" si="169"/>
        <v>0</v>
      </c>
      <c r="BM234" s="3166">
        <f t="shared" si="170"/>
        <v>0</v>
      </c>
      <c r="BN234" s="3166">
        <f t="shared" si="171"/>
        <v>0</v>
      </c>
      <c r="BO234" s="3166">
        <f t="shared" si="172"/>
        <v>0</v>
      </c>
      <c r="BP234" s="3166">
        <f t="shared" si="173"/>
        <v>0</v>
      </c>
      <c r="BQ234" s="3166">
        <f t="shared" si="174"/>
        <v>0</v>
      </c>
      <c r="BR234" s="3166">
        <f t="shared" si="175"/>
        <v>0</v>
      </c>
      <c r="BS234" s="3166">
        <f t="shared" si="176"/>
        <v>0</v>
      </c>
      <c r="BT234" s="3240">
        <f t="shared" si="177"/>
        <v>0</v>
      </c>
    </row>
    <row r="235" spans="1:72">
      <c r="A235" s="3163"/>
      <c r="B235" s="3173"/>
      <c r="C235" s="3171"/>
      <c r="D235" s="3172"/>
      <c r="E235" s="3166">
        <f t="shared" si="149"/>
        <v>0</v>
      </c>
      <c r="F235" s="3167"/>
      <c r="G235" s="3168">
        <f t="shared" si="150"/>
        <v>0</v>
      </c>
      <c r="H235" s="3169">
        <f t="shared" si="151"/>
        <v>0</v>
      </c>
      <c r="I235" s="3171"/>
      <c r="J235" s="3187"/>
      <c r="K235" s="3171"/>
      <c r="L235" s="3187"/>
      <c r="M235" s="3187"/>
      <c r="N235" s="3187"/>
      <c r="O235" s="3187"/>
      <c r="P235" s="3187"/>
      <c r="Q235" s="3187"/>
      <c r="R235" s="3187"/>
      <c r="S235" s="3187"/>
      <c r="T235" s="3187"/>
      <c r="U235" s="3187"/>
      <c r="V235" s="3187"/>
      <c r="W235" s="3187"/>
      <c r="X235" s="3187"/>
      <c r="Y235" s="3187"/>
      <c r="Z235" s="3187"/>
      <c r="AA235" s="3187"/>
      <c r="AB235" s="3187"/>
      <c r="AC235" s="3166">
        <f t="shared" si="152"/>
        <v>0</v>
      </c>
      <c r="AD235" s="3198"/>
      <c r="AE235" s="3198"/>
      <c r="AF235" s="3171"/>
      <c r="AG235" s="3198"/>
      <c r="AH235" s="3198"/>
      <c r="AI235" s="3198"/>
      <c r="AJ235" s="3198"/>
      <c r="AK235" s="3198"/>
      <c r="AL235" s="3198"/>
      <c r="AM235" s="3198"/>
      <c r="AN235" s="3198"/>
      <c r="AO235" s="3198"/>
      <c r="AP235" s="3198"/>
      <c r="AQ235" s="3198"/>
      <c r="AR235" s="3198"/>
      <c r="AS235" s="3198"/>
      <c r="AT235" s="3218"/>
      <c r="AU235" s="3219"/>
      <c r="AV235" s="488">
        <f t="shared" si="153"/>
        <v>0</v>
      </c>
      <c r="AW235" s="488">
        <f t="shared" si="154"/>
        <v>0</v>
      </c>
      <c r="AX235" s="488">
        <f t="shared" si="155"/>
        <v>0</v>
      </c>
      <c r="AY235" s="3235">
        <f t="shared" si="156"/>
        <v>0</v>
      </c>
      <c r="AZ235" s="3166">
        <f t="shared" si="157"/>
        <v>0</v>
      </c>
      <c r="BA235" s="3166">
        <f t="shared" si="158"/>
        <v>0</v>
      </c>
      <c r="BB235" s="3166">
        <f t="shared" si="159"/>
        <v>0</v>
      </c>
      <c r="BC235" s="3166">
        <f t="shared" si="160"/>
        <v>0</v>
      </c>
      <c r="BD235" s="3166">
        <f t="shared" si="161"/>
        <v>0</v>
      </c>
      <c r="BE235" s="3166">
        <f t="shared" si="162"/>
        <v>0</v>
      </c>
      <c r="BF235" s="3166">
        <f t="shared" si="163"/>
        <v>0</v>
      </c>
      <c r="BG235" s="3166">
        <f t="shared" si="164"/>
        <v>0</v>
      </c>
      <c r="BH235" s="3166">
        <f t="shared" si="165"/>
        <v>0</v>
      </c>
      <c r="BI235" s="3166">
        <f t="shared" si="166"/>
        <v>0</v>
      </c>
      <c r="BJ235" s="3166">
        <f t="shared" si="167"/>
        <v>0</v>
      </c>
      <c r="BK235" s="3166">
        <f t="shared" si="168"/>
        <v>0</v>
      </c>
      <c r="BL235" s="3166">
        <f t="shared" si="169"/>
        <v>0</v>
      </c>
      <c r="BM235" s="3166">
        <f t="shared" si="170"/>
        <v>0</v>
      </c>
      <c r="BN235" s="3166">
        <f t="shared" si="171"/>
        <v>0</v>
      </c>
      <c r="BO235" s="3166">
        <f t="shared" si="172"/>
        <v>0</v>
      </c>
      <c r="BP235" s="3166">
        <f t="shared" si="173"/>
        <v>0</v>
      </c>
      <c r="BQ235" s="3166">
        <f t="shared" si="174"/>
        <v>0</v>
      </c>
      <c r="BR235" s="3166">
        <f t="shared" si="175"/>
        <v>0</v>
      </c>
      <c r="BS235" s="3166">
        <f t="shared" si="176"/>
        <v>0</v>
      </c>
      <c r="BT235" s="3240">
        <f t="shared" si="177"/>
        <v>0</v>
      </c>
    </row>
    <row r="236" spans="1:72">
      <c r="A236" s="3163"/>
      <c r="B236" s="3173"/>
      <c r="C236" s="3171"/>
      <c r="D236" s="3172"/>
      <c r="E236" s="3166">
        <f t="shared" si="149"/>
        <v>0</v>
      </c>
      <c r="F236" s="3167"/>
      <c r="G236" s="3168">
        <f t="shared" si="150"/>
        <v>0</v>
      </c>
      <c r="H236" s="3169">
        <f t="shared" si="151"/>
        <v>0</v>
      </c>
      <c r="I236" s="3171"/>
      <c r="J236" s="3187"/>
      <c r="K236" s="3171"/>
      <c r="L236" s="3187"/>
      <c r="M236" s="3187"/>
      <c r="N236" s="3187"/>
      <c r="O236" s="3187"/>
      <c r="P236" s="3187"/>
      <c r="Q236" s="3187"/>
      <c r="R236" s="3187"/>
      <c r="S236" s="3187"/>
      <c r="T236" s="3187"/>
      <c r="U236" s="3187"/>
      <c r="V236" s="3187"/>
      <c r="W236" s="3187"/>
      <c r="X236" s="3187"/>
      <c r="Y236" s="3187"/>
      <c r="Z236" s="3187"/>
      <c r="AA236" s="3187"/>
      <c r="AB236" s="3187"/>
      <c r="AC236" s="3166">
        <f t="shared" si="152"/>
        <v>0</v>
      </c>
      <c r="AD236" s="3198"/>
      <c r="AE236" s="3198"/>
      <c r="AF236" s="3171"/>
      <c r="AG236" s="3198"/>
      <c r="AH236" s="3198"/>
      <c r="AI236" s="3198"/>
      <c r="AJ236" s="3198"/>
      <c r="AK236" s="3198"/>
      <c r="AL236" s="3198"/>
      <c r="AM236" s="3198"/>
      <c r="AN236" s="3198"/>
      <c r="AO236" s="3198"/>
      <c r="AP236" s="3198"/>
      <c r="AQ236" s="3198"/>
      <c r="AR236" s="3198"/>
      <c r="AS236" s="3198"/>
      <c r="AT236" s="3218"/>
      <c r="AU236" s="3219"/>
      <c r="AV236" s="488">
        <f t="shared" si="153"/>
        <v>0</v>
      </c>
      <c r="AW236" s="488">
        <f t="shared" si="154"/>
        <v>0</v>
      </c>
      <c r="AX236" s="488">
        <f t="shared" si="155"/>
        <v>0</v>
      </c>
      <c r="AY236" s="3235">
        <f t="shared" si="156"/>
        <v>0</v>
      </c>
      <c r="AZ236" s="3166">
        <f t="shared" si="157"/>
        <v>0</v>
      </c>
      <c r="BA236" s="3166">
        <f t="shared" si="158"/>
        <v>0</v>
      </c>
      <c r="BB236" s="3166">
        <f t="shared" si="159"/>
        <v>0</v>
      </c>
      <c r="BC236" s="3166">
        <f t="shared" si="160"/>
        <v>0</v>
      </c>
      <c r="BD236" s="3166">
        <f t="shared" si="161"/>
        <v>0</v>
      </c>
      <c r="BE236" s="3166">
        <f t="shared" si="162"/>
        <v>0</v>
      </c>
      <c r="BF236" s="3166">
        <f t="shared" si="163"/>
        <v>0</v>
      </c>
      <c r="BG236" s="3166">
        <f t="shared" si="164"/>
        <v>0</v>
      </c>
      <c r="BH236" s="3166">
        <f t="shared" si="165"/>
        <v>0</v>
      </c>
      <c r="BI236" s="3166">
        <f t="shared" si="166"/>
        <v>0</v>
      </c>
      <c r="BJ236" s="3166">
        <f t="shared" si="167"/>
        <v>0</v>
      </c>
      <c r="BK236" s="3166">
        <f t="shared" si="168"/>
        <v>0</v>
      </c>
      <c r="BL236" s="3166">
        <f t="shared" si="169"/>
        <v>0</v>
      </c>
      <c r="BM236" s="3166">
        <f t="shared" si="170"/>
        <v>0</v>
      </c>
      <c r="BN236" s="3166">
        <f t="shared" si="171"/>
        <v>0</v>
      </c>
      <c r="BO236" s="3166">
        <f t="shared" si="172"/>
        <v>0</v>
      </c>
      <c r="BP236" s="3166">
        <f t="shared" si="173"/>
        <v>0</v>
      </c>
      <c r="BQ236" s="3166">
        <f t="shared" si="174"/>
        <v>0</v>
      </c>
      <c r="BR236" s="3166">
        <f t="shared" si="175"/>
        <v>0</v>
      </c>
      <c r="BS236" s="3166">
        <f t="shared" si="176"/>
        <v>0</v>
      </c>
      <c r="BT236" s="3240">
        <f t="shared" si="177"/>
        <v>0</v>
      </c>
    </row>
    <row r="237" spans="1:72">
      <c r="A237" s="3163"/>
      <c r="B237" s="3173"/>
      <c r="C237" s="3171"/>
      <c r="D237" s="3172"/>
      <c r="E237" s="3166">
        <f t="shared" si="149"/>
        <v>0</v>
      </c>
      <c r="F237" s="3167"/>
      <c r="G237" s="3168">
        <f t="shared" si="150"/>
        <v>0</v>
      </c>
      <c r="H237" s="3169">
        <f t="shared" si="151"/>
        <v>0</v>
      </c>
      <c r="I237" s="3171"/>
      <c r="J237" s="3187"/>
      <c r="K237" s="3171"/>
      <c r="L237" s="3187"/>
      <c r="M237" s="3187"/>
      <c r="N237" s="3187"/>
      <c r="O237" s="3187"/>
      <c r="P237" s="3187"/>
      <c r="Q237" s="3187"/>
      <c r="R237" s="3187"/>
      <c r="S237" s="3187"/>
      <c r="T237" s="3187"/>
      <c r="U237" s="3187"/>
      <c r="V237" s="3187"/>
      <c r="W237" s="3187"/>
      <c r="X237" s="3187"/>
      <c r="Y237" s="3187"/>
      <c r="Z237" s="3187"/>
      <c r="AA237" s="3187"/>
      <c r="AB237" s="3187"/>
      <c r="AC237" s="3166">
        <f t="shared" si="152"/>
        <v>0</v>
      </c>
      <c r="AD237" s="3198"/>
      <c r="AE237" s="3198"/>
      <c r="AF237" s="3171"/>
      <c r="AG237" s="3198"/>
      <c r="AH237" s="3198"/>
      <c r="AI237" s="3198"/>
      <c r="AJ237" s="3198"/>
      <c r="AK237" s="3198"/>
      <c r="AL237" s="3198"/>
      <c r="AM237" s="3198"/>
      <c r="AN237" s="3198"/>
      <c r="AO237" s="3198"/>
      <c r="AP237" s="3198"/>
      <c r="AQ237" s="3198"/>
      <c r="AR237" s="3198"/>
      <c r="AS237" s="3198"/>
      <c r="AT237" s="3218"/>
      <c r="AU237" s="3219"/>
      <c r="AV237" s="488">
        <f t="shared" si="153"/>
        <v>0</v>
      </c>
      <c r="AW237" s="488">
        <f t="shared" si="154"/>
        <v>0</v>
      </c>
      <c r="AX237" s="488">
        <f t="shared" si="155"/>
        <v>0</v>
      </c>
      <c r="AY237" s="3235">
        <f t="shared" si="156"/>
        <v>0</v>
      </c>
      <c r="AZ237" s="3166">
        <f t="shared" si="157"/>
        <v>0</v>
      </c>
      <c r="BA237" s="3166">
        <f t="shared" si="158"/>
        <v>0</v>
      </c>
      <c r="BB237" s="3166">
        <f t="shared" si="159"/>
        <v>0</v>
      </c>
      <c r="BC237" s="3166">
        <f t="shared" si="160"/>
        <v>0</v>
      </c>
      <c r="BD237" s="3166">
        <f t="shared" si="161"/>
        <v>0</v>
      </c>
      <c r="BE237" s="3166">
        <f t="shared" si="162"/>
        <v>0</v>
      </c>
      <c r="BF237" s="3166">
        <f t="shared" si="163"/>
        <v>0</v>
      </c>
      <c r="BG237" s="3166">
        <f t="shared" si="164"/>
        <v>0</v>
      </c>
      <c r="BH237" s="3166">
        <f t="shared" si="165"/>
        <v>0</v>
      </c>
      <c r="BI237" s="3166">
        <f t="shared" si="166"/>
        <v>0</v>
      </c>
      <c r="BJ237" s="3166">
        <f t="shared" si="167"/>
        <v>0</v>
      </c>
      <c r="BK237" s="3166">
        <f t="shared" si="168"/>
        <v>0</v>
      </c>
      <c r="BL237" s="3166">
        <f t="shared" si="169"/>
        <v>0</v>
      </c>
      <c r="BM237" s="3166">
        <f t="shared" si="170"/>
        <v>0</v>
      </c>
      <c r="BN237" s="3166">
        <f t="shared" si="171"/>
        <v>0</v>
      </c>
      <c r="BO237" s="3166">
        <f t="shared" si="172"/>
        <v>0</v>
      </c>
      <c r="BP237" s="3166">
        <f t="shared" si="173"/>
        <v>0</v>
      </c>
      <c r="BQ237" s="3166">
        <f t="shared" si="174"/>
        <v>0</v>
      </c>
      <c r="BR237" s="3166">
        <f t="shared" si="175"/>
        <v>0</v>
      </c>
      <c r="BS237" s="3166">
        <f t="shared" si="176"/>
        <v>0</v>
      </c>
      <c r="BT237" s="3240">
        <f t="shared" si="177"/>
        <v>0</v>
      </c>
    </row>
    <row r="238" spans="1:72">
      <c r="A238" s="3163"/>
      <c r="B238" s="3173"/>
      <c r="C238" s="3171"/>
      <c r="D238" s="3172"/>
      <c r="E238" s="3166">
        <f t="shared" si="149"/>
        <v>0</v>
      </c>
      <c r="F238" s="3167"/>
      <c r="G238" s="3168">
        <f t="shared" si="150"/>
        <v>0</v>
      </c>
      <c r="H238" s="3169">
        <f t="shared" si="151"/>
        <v>0</v>
      </c>
      <c r="I238" s="3171"/>
      <c r="J238" s="3187"/>
      <c r="K238" s="3171"/>
      <c r="L238" s="3187"/>
      <c r="M238" s="3187"/>
      <c r="N238" s="3187"/>
      <c r="O238" s="3187"/>
      <c r="P238" s="3187"/>
      <c r="Q238" s="3187"/>
      <c r="R238" s="3187"/>
      <c r="S238" s="3187"/>
      <c r="T238" s="3187"/>
      <c r="U238" s="3187"/>
      <c r="V238" s="3187"/>
      <c r="W238" s="3187"/>
      <c r="X238" s="3187"/>
      <c r="Y238" s="3187"/>
      <c r="Z238" s="3187"/>
      <c r="AA238" s="3187"/>
      <c r="AB238" s="3187"/>
      <c r="AC238" s="3166">
        <f t="shared" si="152"/>
        <v>0</v>
      </c>
      <c r="AD238" s="3198"/>
      <c r="AE238" s="3198"/>
      <c r="AF238" s="3171"/>
      <c r="AG238" s="3198"/>
      <c r="AH238" s="3198"/>
      <c r="AI238" s="3198"/>
      <c r="AJ238" s="3198"/>
      <c r="AK238" s="3198"/>
      <c r="AL238" s="3198"/>
      <c r="AM238" s="3198"/>
      <c r="AN238" s="3198"/>
      <c r="AO238" s="3198"/>
      <c r="AP238" s="3198"/>
      <c r="AQ238" s="3198"/>
      <c r="AR238" s="3198"/>
      <c r="AS238" s="3198"/>
      <c r="AT238" s="3218"/>
      <c r="AU238" s="3219"/>
      <c r="AV238" s="488">
        <f t="shared" si="153"/>
        <v>0</v>
      </c>
      <c r="AW238" s="488">
        <f t="shared" si="154"/>
        <v>0</v>
      </c>
      <c r="AX238" s="488">
        <f t="shared" si="155"/>
        <v>0</v>
      </c>
      <c r="AY238" s="3235">
        <f t="shared" si="156"/>
        <v>0</v>
      </c>
      <c r="AZ238" s="3166">
        <f t="shared" si="157"/>
        <v>0</v>
      </c>
      <c r="BA238" s="3166">
        <f t="shared" si="158"/>
        <v>0</v>
      </c>
      <c r="BB238" s="3166">
        <f t="shared" si="159"/>
        <v>0</v>
      </c>
      <c r="BC238" s="3166">
        <f t="shared" si="160"/>
        <v>0</v>
      </c>
      <c r="BD238" s="3166">
        <f t="shared" si="161"/>
        <v>0</v>
      </c>
      <c r="BE238" s="3166">
        <f t="shared" si="162"/>
        <v>0</v>
      </c>
      <c r="BF238" s="3166">
        <f t="shared" si="163"/>
        <v>0</v>
      </c>
      <c r="BG238" s="3166">
        <f t="shared" si="164"/>
        <v>0</v>
      </c>
      <c r="BH238" s="3166">
        <f t="shared" si="165"/>
        <v>0</v>
      </c>
      <c r="BI238" s="3166">
        <f t="shared" si="166"/>
        <v>0</v>
      </c>
      <c r="BJ238" s="3166">
        <f t="shared" si="167"/>
        <v>0</v>
      </c>
      <c r="BK238" s="3166">
        <f t="shared" si="168"/>
        <v>0</v>
      </c>
      <c r="BL238" s="3166">
        <f t="shared" si="169"/>
        <v>0</v>
      </c>
      <c r="BM238" s="3166">
        <f t="shared" si="170"/>
        <v>0</v>
      </c>
      <c r="BN238" s="3166">
        <f t="shared" si="171"/>
        <v>0</v>
      </c>
      <c r="BO238" s="3166">
        <f t="shared" si="172"/>
        <v>0</v>
      </c>
      <c r="BP238" s="3166">
        <f t="shared" si="173"/>
        <v>0</v>
      </c>
      <c r="BQ238" s="3166">
        <f t="shared" si="174"/>
        <v>0</v>
      </c>
      <c r="BR238" s="3166">
        <f t="shared" si="175"/>
        <v>0</v>
      </c>
      <c r="BS238" s="3166">
        <f t="shared" si="176"/>
        <v>0</v>
      </c>
      <c r="BT238" s="3240">
        <f t="shared" si="177"/>
        <v>0</v>
      </c>
    </row>
    <row r="239" spans="1:72">
      <c r="A239" s="3163"/>
      <c r="B239" s="3174"/>
      <c r="C239" s="3175"/>
      <c r="D239" s="3172"/>
      <c r="E239" s="3166">
        <f t="shared" si="149"/>
        <v>0</v>
      </c>
      <c r="F239" s="3167"/>
      <c r="G239" s="3168">
        <f t="shared" si="150"/>
        <v>0</v>
      </c>
      <c r="H239" s="3169">
        <f t="shared" si="151"/>
        <v>0</v>
      </c>
      <c r="I239" s="3171"/>
      <c r="J239" s="3187"/>
      <c r="K239" s="3171"/>
      <c r="L239" s="3187"/>
      <c r="M239" s="3171"/>
      <c r="N239" s="3187"/>
      <c r="O239" s="3187"/>
      <c r="P239" s="3187"/>
      <c r="Q239" s="3187"/>
      <c r="R239" s="3187"/>
      <c r="S239" s="3187"/>
      <c r="T239" s="3187"/>
      <c r="U239" s="3187"/>
      <c r="V239" s="3187"/>
      <c r="W239" s="3187"/>
      <c r="X239" s="3187"/>
      <c r="Y239" s="3187"/>
      <c r="Z239" s="3187"/>
      <c r="AA239" s="3187"/>
      <c r="AB239" s="3187"/>
      <c r="AC239" s="3166">
        <f t="shared" si="152"/>
        <v>0</v>
      </c>
      <c r="AD239" s="3198"/>
      <c r="AE239" s="3198"/>
      <c r="AF239" s="3171"/>
      <c r="AG239" s="3198"/>
      <c r="AH239" s="3198"/>
      <c r="AI239" s="3198"/>
      <c r="AJ239" s="3198"/>
      <c r="AK239" s="3198"/>
      <c r="AL239" s="3198"/>
      <c r="AM239" s="3198"/>
      <c r="AN239" s="3198"/>
      <c r="AO239" s="3198"/>
      <c r="AP239" s="3198"/>
      <c r="AQ239" s="3198"/>
      <c r="AR239" s="3198"/>
      <c r="AS239" s="3198"/>
      <c r="AT239" s="3218"/>
      <c r="AU239" s="3219"/>
      <c r="AV239" s="488">
        <f t="shared" si="153"/>
        <v>0</v>
      </c>
      <c r="AW239" s="488">
        <f t="shared" si="154"/>
        <v>0</v>
      </c>
      <c r="AX239" s="488">
        <f t="shared" si="155"/>
        <v>0</v>
      </c>
      <c r="AY239" s="3235">
        <f t="shared" si="156"/>
        <v>0</v>
      </c>
      <c r="AZ239" s="3166">
        <f t="shared" si="157"/>
        <v>0</v>
      </c>
      <c r="BA239" s="3166">
        <f t="shared" si="158"/>
        <v>0</v>
      </c>
      <c r="BB239" s="3166">
        <f t="shared" si="159"/>
        <v>0</v>
      </c>
      <c r="BC239" s="3166">
        <f t="shared" si="160"/>
        <v>0</v>
      </c>
      <c r="BD239" s="3166">
        <f t="shared" si="161"/>
        <v>0</v>
      </c>
      <c r="BE239" s="3166">
        <f t="shared" si="162"/>
        <v>0</v>
      </c>
      <c r="BF239" s="3166">
        <f t="shared" si="163"/>
        <v>0</v>
      </c>
      <c r="BG239" s="3166">
        <f t="shared" si="164"/>
        <v>0</v>
      </c>
      <c r="BH239" s="3166">
        <f t="shared" si="165"/>
        <v>0</v>
      </c>
      <c r="BI239" s="3166">
        <f t="shared" si="166"/>
        <v>0</v>
      </c>
      <c r="BJ239" s="3166">
        <f t="shared" si="167"/>
        <v>0</v>
      </c>
      <c r="BK239" s="3166">
        <f t="shared" si="168"/>
        <v>0</v>
      </c>
      <c r="BL239" s="3166">
        <f t="shared" si="169"/>
        <v>0</v>
      </c>
      <c r="BM239" s="3166">
        <f t="shared" si="170"/>
        <v>0</v>
      </c>
      <c r="BN239" s="3166">
        <f t="shared" si="171"/>
        <v>0</v>
      </c>
      <c r="BO239" s="3166">
        <f t="shared" si="172"/>
        <v>0</v>
      </c>
      <c r="BP239" s="3166">
        <f t="shared" si="173"/>
        <v>0</v>
      </c>
      <c r="BQ239" s="3166">
        <f t="shared" si="174"/>
        <v>0</v>
      </c>
      <c r="BR239" s="3166">
        <f t="shared" si="175"/>
        <v>0</v>
      </c>
      <c r="BS239" s="3166">
        <f t="shared" si="176"/>
        <v>0</v>
      </c>
      <c r="BT239" s="3240">
        <f t="shared" si="177"/>
        <v>0</v>
      </c>
    </row>
    <row r="240" spans="1:72">
      <c r="A240" s="3163"/>
      <c r="B240" s="3164"/>
      <c r="C240" s="3164"/>
      <c r="D240" s="3176"/>
      <c r="E240" s="3166">
        <f t="shared" si="149"/>
        <v>0</v>
      </c>
      <c r="F240" s="3167"/>
      <c r="G240" s="3168">
        <f t="shared" si="150"/>
        <v>0</v>
      </c>
      <c r="H240" s="3169">
        <f t="shared" si="151"/>
        <v>0</v>
      </c>
      <c r="I240" s="3187"/>
      <c r="J240" s="3187"/>
      <c r="K240" s="3187"/>
      <c r="L240" s="3187"/>
      <c r="M240" s="3187"/>
      <c r="N240" s="3187"/>
      <c r="O240" s="3187"/>
      <c r="P240" s="3187"/>
      <c r="Q240" s="3187"/>
      <c r="R240" s="3187"/>
      <c r="S240" s="3187"/>
      <c r="T240" s="3187"/>
      <c r="U240" s="3187"/>
      <c r="V240" s="3187"/>
      <c r="W240" s="3187"/>
      <c r="X240" s="3187"/>
      <c r="Y240" s="3187"/>
      <c r="Z240" s="3187"/>
      <c r="AA240" s="3187"/>
      <c r="AB240" s="3187"/>
      <c r="AC240" s="3166">
        <f t="shared" si="152"/>
        <v>0</v>
      </c>
      <c r="AD240" s="3198"/>
      <c r="AE240" s="3198"/>
      <c r="AF240" s="3198"/>
      <c r="AG240" s="3198"/>
      <c r="AH240" s="3198"/>
      <c r="AI240" s="3198"/>
      <c r="AJ240" s="3198"/>
      <c r="AK240" s="3198"/>
      <c r="AL240" s="3198"/>
      <c r="AM240" s="3198"/>
      <c r="AN240" s="3198"/>
      <c r="AO240" s="3198"/>
      <c r="AP240" s="3198"/>
      <c r="AQ240" s="3198"/>
      <c r="AR240" s="3198"/>
      <c r="AS240" s="3198"/>
      <c r="AT240" s="3218"/>
      <c r="AU240" s="3219"/>
      <c r="AV240" s="488">
        <f t="shared" si="153"/>
        <v>0</v>
      </c>
      <c r="AW240" s="488">
        <f t="shared" si="154"/>
        <v>0</v>
      </c>
      <c r="AX240" s="488">
        <f t="shared" si="155"/>
        <v>0</v>
      </c>
      <c r="AY240" s="3235">
        <f t="shared" si="156"/>
        <v>0</v>
      </c>
      <c r="AZ240" s="3166">
        <f t="shared" si="157"/>
        <v>0</v>
      </c>
      <c r="BA240" s="3166">
        <f t="shared" si="158"/>
        <v>0</v>
      </c>
      <c r="BB240" s="3166">
        <f t="shared" si="159"/>
        <v>0</v>
      </c>
      <c r="BC240" s="3166">
        <f t="shared" si="160"/>
        <v>0</v>
      </c>
      <c r="BD240" s="3166">
        <f t="shared" si="161"/>
        <v>0</v>
      </c>
      <c r="BE240" s="3166">
        <f t="shared" si="162"/>
        <v>0</v>
      </c>
      <c r="BF240" s="3166">
        <f t="shared" si="163"/>
        <v>0</v>
      </c>
      <c r="BG240" s="3166">
        <f t="shared" si="164"/>
        <v>0</v>
      </c>
      <c r="BH240" s="3166">
        <f t="shared" si="165"/>
        <v>0</v>
      </c>
      <c r="BI240" s="3166">
        <f t="shared" si="166"/>
        <v>0</v>
      </c>
      <c r="BJ240" s="3166">
        <f t="shared" si="167"/>
        <v>0</v>
      </c>
      <c r="BK240" s="3166">
        <f t="shared" si="168"/>
        <v>0</v>
      </c>
      <c r="BL240" s="3166">
        <f t="shared" si="169"/>
        <v>0</v>
      </c>
      <c r="BM240" s="3166">
        <f t="shared" si="170"/>
        <v>0</v>
      </c>
      <c r="BN240" s="3166">
        <f t="shared" si="171"/>
        <v>0</v>
      </c>
      <c r="BO240" s="3166">
        <f t="shared" si="172"/>
        <v>0</v>
      </c>
      <c r="BP240" s="3166">
        <f t="shared" si="173"/>
        <v>0</v>
      </c>
      <c r="BQ240" s="3166">
        <f t="shared" si="174"/>
        <v>0</v>
      </c>
      <c r="BR240" s="3166">
        <f t="shared" si="175"/>
        <v>0</v>
      </c>
      <c r="BS240" s="3166">
        <f t="shared" si="176"/>
        <v>0</v>
      </c>
      <c r="BT240" s="3240">
        <f t="shared" si="177"/>
        <v>0</v>
      </c>
    </row>
    <row r="241" spans="1:72">
      <c r="A241" s="3163"/>
      <c r="B241" s="3164"/>
      <c r="C241" s="3164"/>
      <c r="D241" s="3176"/>
      <c r="E241" s="3166">
        <f t="shared" si="149"/>
        <v>0</v>
      </c>
      <c r="F241" s="3167"/>
      <c r="G241" s="3168">
        <f t="shared" si="150"/>
        <v>0</v>
      </c>
      <c r="H241" s="3169">
        <f t="shared" si="151"/>
        <v>0</v>
      </c>
      <c r="I241" s="3187"/>
      <c r="J241" s="3187"/>
      <c r="K241" s="3187"/>
      <c r="L241" s="3187"/>
      <c r="M241" s="3187"/>
      <c r="N241" s="3187"/>
      <c r="O241" s="3187"/>
      <c r="P241" s="3187"/>
      <c r="Q241" s="3187"/>
      <c r="R241" s="3187"/>
      <c r="S241" s="3187"/>
      <c r="T241" s="3187"/>
      <c r="U241" s="3187"/>
      <c r="V241" s="3187"/>
      <c r="W241" s="3187"/>
      <c r="X241" s="3187"/>
      <c r="Y241" s="3187"/>
      <c r="Z241" s="3187"/>
      <c r="AA241" s="3187"/>
      <c r="AB241" s="3187"/>
      <c r="AC241" s="3166">
        <f t="shared" si="152"/>
        <v>0</v>
      </c>
      <c r="AD241" s="3198"/>
      <c r="AE241" s="3198"/>
      <c r="AF241" s="3198"/>
      <c r="AG241" s="3198"/>
      <c r="AH241" s="3198"/>
      <c r="AI241" s="3198"/>
      <c r="AJ241" s="3198"/>
      <c r="AK241" s="3198"/>
      <c r="AL241" s="3198"/>
      <c r="AM241" s="3198"/>
      <c r="AN241" s="3198"/>
      <c r="AO241" s="3198"/>
      <c r="AP241" s="3198"/>
      <c r="AQ241" s="3198"/>
      <c r="AR241" s="3198"/>
      <c r="AS241" s="3198"/>
      <c r="AT241" s="3218"/>
      <c r="AU241" s="3219"/>
      <c r="AV241" s="488">
        <f t="shared" si="153"/>
        <v>0</v>
      </c>
      <c r="AW241" s="488">
        <f t="shared" si="154"/>
        <v>0</v>
      </c>
      <c r="AX241" s="488">
        <f t="shared" si="155"/>
        <v>0</v>
      </c>
      <c r="AY241" s="3235">
        <f t="shared" si="156"/>
        <v>0</v>
      </c>
      <c r="AZ241" s="3166">
        <f t="shared" si="157"/>
        <v>0</v>
      </c>
      <c r="BA241" s="3166">
        <f t="shared" si="158"/>
        <v>0</v>
      </c>
      <c r="BB241" s="3166">
        <f t="shared" si="159"/>
        <v>0</v>
      </c>
      <c r="BC241" s="3166">
        <f t="shared" si="160"/>
        <v>0</v>
      </c>
      <c r="BD241" s="3166">
        <f t="shared" si="161"/>
        <v>0</v>
      </c>
      <c r="BE241" s="3166">
        <f t="shared" si="162"/>
        <v>0</v>
      </c>
      <c r="BF241" s="3166">
        <f t="shared" si="163"/>
        <v>0</v>
      </c>
      <c r="BG241" s="3166">
        <f t="shared" si="164"/>
        <v>0</v>
      </c>
      <c r="BH241" s="3166">
        <f t="shared" si="165"/>
        <v>0</v>
      </c>
      <c r="BI241" s="3166">
        <f t="shared" si="166"/>
        <v>0</v>
      </c>
      <c r="BJ241" s="3166">
        <f t="shared" si="167"/>
        <v>0</v>
      </c>
      <c r="BK241" s="3166">
        <f t="shared" si="168"/>
        <v>0</v>
      </c>
      <c r="BL241" s="3166">
        <f t="shared" si="169"/>
        <v>0</v>
      </c>
      <c r="BM241" s="3166">
        <f t="shared" si="170"/>
        <v>0</v>
      </c>
      <c r="BN241" s="3166">
        <f t="shared" si="171"/>
        <v>0</v>
      </c>
      <c r="BO241" s="3166">
        <f t="shared" si="172"/>
        <v>0</v>
      </c>
      <c r="BP241" s="3166">
        <f t="shared" si="173"/>
        <v>0</v>
      </c>
      <c r="BQ241" s="3166">
        <f t="shared" si="174"/>
        <v>0</v>
      </c>
      <c r="BR241" s="3166">
        <f t="shared" si="175"/>
        <v>0</v>
      </c>
      <c r="BS241" s="3166">
        <f t="shared" si="176"/>
        <v>0</v>
      </c>
      <c r="BT241" s="3240">
        <f t="shared" si="177"/>
        <v>0</v>
      </c>
    </row>
    <row r="242" spans="1:72">
      <c r="A242" s="3163"/>
      <c r="B242" s="3164"/>
      <c r="C242" s="3164"/>
      <c r="D242" s="3176"/>
      <c r="E242" s="3166">
        <f t="shared" si="149"/>
        <v>0</v>
      </c>
      <c r="F242" s="3167"/>
      <c r="G242" s="3168">
        <f t="shared" si="150"/>
        <v>0</v>
      </c>
      <c r="H242" s="3169">
        <f t="shared" si="151"/>
        <v>0</v>
      </c>
      <c r="I242" s="3187"/>
      <c r="J242" s="3187"/>
      <c r="K242" s="3187"/>
      <c r="L242" s="3187"/>
      <c r="M242" s="3187"/>
      <c r="N242" s="3187"/>
      <c r="O242" s="3187"/>
      <c r="P242" s="3187"/>
      <c r="Q242" s="3187"/>
      <c r="R242" s="3187"/>
      <c r="S242" s="3187"/>
      <c r="T242" s="3187"/>
      <c r="U242" s="3187"/>
      <c r="V242" s="3187"/>
      <c r="W242" s="3187"/>
      <c r="X242" s="3187"/>
      <c r="Y242" s="3187"/>
      <c r="Z242" s="3187"/>
      <c r="AA242" s="3187"/>
      <c r="AB242" s="3187"/>
      <c r="AC242" s="3166">
        <f t="shared" si="152"/>
        <v>0</v>
      </c>
      <c r="AD242" s="3198"/>
      <c r="AE242" s="3198"/>
      <c r="AF242" s="3198"/>
      <c r="AG242" s="3198"/>
      <c r="AH242" s="3198"/>
      <c r="AI242" s="3198"/>
      <c r="AJ242" s="3198"/>
      <c r="AK242" s="3198"/>
      <c r="AL242" s="3198"/>
      <c r="AM242" s="3198"/>
      <c r="AN242" s="3198"/>
      <c r="AO242" s="3198"/>
      <c r="AP242" s="3198"/>
      <c r="AQ242" s="3198"/>
      <c r="AR242" s="3198"/>
      <c r="AS242" s="3198"/>
      <c r="AT242" s="3218"/>
      <c r="AU242" s="3219"/>
      <c r="AV242" s="488">
        <f t="shared" si="153"/>
        <v>0</v>
      </c>
      <c r="AW242" s="488">
        <f t="shared" si="154"/>
        <v>0</v>
      </c>
      <c r="AX242" s="488">
        <f t="shared" si="155"/>
        <v>0</v>
      </c>
      <c r="AY242" s="3235">
        <f t="shared" si="156"/>
        <v>0</v>
      </c>
      <c r="AZ242" s="3166">
        <f t="shared" si="157"/>
        <v>0</v>
      </c>
      <c r="BA242" s="3166">
        <f t="shared" si="158"/>
        <v>0</v>
      </c>
      <c r="BB242" s="3166">
        <f t="shared" si="159"/>
        <v>0</v>
      </c>
      <c r="BC242" s="3166">
        <f t="shared" si="160"/>
        <v>0</v>
      </c>
      <c r="BD242" s="3166">
        <f t="shared" si="161"/>
        <v>0</v>
      </c>
      <c r="BE242" s="3166">
        <f t="shared" si="162"/>
        <v>0</v>
      </c>
      <c r="BF242" s="3166">
        <f t="shared" si="163"/>
        <v>0</v>
      </c>
      <c r="BG242" s="3166">
        <f t="shared" si="164"/>
        <v>0</v>
      </c>
      <c r="BH242" s="3166">
        <f t="shared" si="165"/>
        <v>0</v>
      </c>
      <c r="BI242" s="3166">
        <f t="shared" si="166"/>
        <v>0</v>
      </c>
      <c r="BJ242" s="3166">
        <f t="shared" si="167"/>
        <v>0</v>
      </c>
      <c r="BK242" s="3166">
        <f t="shared" si="168"/>
        <v>0</v>
      </c>
      <c r="BL242" s="3166">
        <f t="shared" si="169"/>
        <v>0</v>
      </c>
      <c r="BM242" s="3166">
        <f t="shared" si="170"/>
        <v>0</v>
      </c>
      <c r="BN242" s="3166">
        <f t="shared" si="171"/>
        <v>0</v>
      </c>
      <c r="BO242" s="3166">
        <f t="shared" si="172"/>
        <v>0</v>
      </c>
      <c r="BP242" s="3166">
        <f t="shared" si="173"/>
        <v>0</v>
      </c>
      <c r="BQ242" s="3166">
        <f t="shared" si="174"/>
        <v>0</v>
      </c>
      <c r="BR242" s="3166">
        <f t="shared" si="175"/>
        <v>0</v>
      </c>
      <c r="BS242" s="3166">
        <f t="shared" si="176"/>
        <v>0</v>
      </c>
      <c r="BT242" s="3240">
        <f t="shared" si="177"/>
        <v>0</v>
      </c>
    </row>
    <row r="243" spans="1:72">
      <c r="A243" s="3163"/>
      <c r="B243" s="3164"/>
      <c r="C243" s="3164"/>
      <c r="D243" s="3176"/>
      <c r="E243" s="3166">
        <f t="shared" si="149"/>
        <v>0</v>
      </c>
      <c r="F243" s="3167"/>
      <c r="G243" s="3168">
        <f t="shared" si="150"/>
        <v>0</v>
      </c>
      <c r="H243" s="3169">
        <f t="shared" si="151"/>
        <v>0</v>
      </c>
      <c r="I243" s="3187"/>
      <c r="J243" s="3187"/>
      <c r="K243" s="3187"/>
      <c r="L243" s="3187"/>
      <c r="M243" s="3187"/>
      <c r="N243" s="3187"/>
      <c r="O243" s="3187"/>
      <c r="P243" s="3187"/>
      <c r="Q243" s="3187"/>
      <c r="R243" s="3187"/>
      <c r="S243" s="3187"/>
      <c r="T243" s="3187"/>
      <c r="U243" s="3187"/>
      <c r="V243" s="3187"/>
      <c r="W243" s="3187"/>
      <c r="X243" s="3187"/>
      <c r="Y243" s="3187"/>
      <c r="Z243" s="3187"/>
      <c r="AA243" s="3187"/>
      <c r="AB243" s="3187"/>
      <c r="AC243" s="3166">
        <f t="shared" si="152"/>
        <v>0</v>
      </c>
      <c r="AD243" s="3198"/>
      <c r="AE243" s="3198"/>
      <c r="AF243" s="3198"/>
      <c r="AG243" s="3198"/>
      <c r="AH243" s="3198"/>
      <c r="AI243" s="3198"/>
      <c r="AJ243" s="3198"/>
      <c r="AK243" s="3198"/>
      <c r="AL243" s="3198"/>
      <c r="AM243" s="3198"/>
      <c r="AN243" s="3198"/>
      <c r="AO243" s="3198"/>
      <c r="AP243" s="3198"/>
      <c r="AQ243" s="3198"/>
      <c r="AR243" s="3198"/>
      <c r="AS243" s="3198"/>
      <c r="AT243" s="3218"/>
      <c r="AU243" s="3219"/>
      <c r="AV243" s="488">
        <f t="shared" si="153"/>
        <v>0</v>
      </c>
      <c r="AW243" s="488">
        <f t="shared" si="154"/>
        <v>0</v>
      </c>
      <c r="AX243" s="488">
        <f t="shared" si="155"/>
        <v>0</v>
      </c>
      <c r="AY243" s="3235">
        <f t="shared" si="156"/>
        <v>0</v>
      </c>
      <c r="AZ243" s="3166">
        <f t="shared" si="157"/>
        <v>0</v>
      </c>
      <c r="BA243" s="3166">
        <f t="shared" si="158"/>
        <v>0</v>
      </c>
      <c r="BB243" s="3166">
        <f t="shared" si="159"/>
        <v>0</v>
      </c>
      <c r="BC243" s="3166">
        <f t="shared" si="160"/>
        <v>0</v>
      </c>
      <c r="BD243" s="3166">
        <f t="shared" si="161"/>
        <v>0</v>
      </c>
      <c r="BE243" s="3166">
        <f t="shared" si="162"/>
        <v>0</v>
      </c>
      <c r="BF243" s="3166">
        <f t="shared" si="163"/>
        <v>0</v>
      </c>
      <c r="BG243" s="3166">
        <f t="shared" si="164"/>
        <v>0</v>
      </c>
      <c r="BH243" s="3166">
        <f t="shared" si="165"/>
        <v>0</v>
      </c>
      <c r="BI243" s="3166">
        <f t="shared" si="166"/>
        <v>0</v>
      </c>
      <c r="BJ243" s="3166">
        <f t="shared" si="167"/>
        <v>0</v>
      </c>
      <c r="BK243" s="3166">
        <f t="shared" si="168"/>
        <v>0</v>
      </c>
      <c r="BL243" s="3166">
        <f t="shared" si="169"/>
        <v>0</v>
      </c>
      <c r="BM243" s="3166">
        <f t="shared" si="170"/>
        <v>0</v>
      </c>
      <c r="BN243" s="3166">
        <f t="shared" si="171"/>
        <v>0</v>
      </c>
      <c r="BO243" s="3166">
        <f t="shared" si="172"/>
        <v>0</v>
      </c>
      <c r="BP243" s="3166">
        <f t="shared" si="173"/>
        <v>0</v>
      </c>
      <c r="BQ243" s="3166">
        <f t="shared" si="174"/>
        <v>0</v>
      </c>
      <c r="BR243" s="3166">
        <f t="shared" si="175"/>
        <v>0</v>
      </c>
      <c r="BS243" s="3166">
        <f t="shared" si="176"/>
        <v>0</v>
      </c>
      <c r="BT243" s="3240">
        <f t="shared" si="177"/>
        <v>0</v>
      </c>
    </row>
    <row r="244" spans="1:72">
      <c r="A244" s="3163"/>
      <c r="B244" s="3164"/>
      <c r="C244" s="3164"/>
      <c r="D244" s="3176"/>
      <c r="E244" s="3166">
        <f t="shared" si="149"/>
        <v>0</v>
      </c>
      <c r="F244" s="3167"/>
      <c r="G244" s="3168">
        <f t="shared" si="150"/>
        <v>0</v>
      </c>
      <c r="H244" s="3169">
        <f t="shared" si="151"/>
        <v>0</v>
      </c>
      <c r="I244" s="3187"/>
      <c r="J244" s="3187"/>
      <c r="K244" s="3187"/>
      <c r="L244" s="3187"/>
      <c r="M244" s="3187"/>
      <c r="N244" s="3187"/>
      <c r="O244" s="3187"/>
      <c r="P244" s="3187"/>
      <c r="Q244" s="3187"/>
      <c r="R244" s="3187"/>
      <c r="S244" s="3187"/>
      <c r="T244" s="3187"/>
      <c r="U244" s="3187"/>
      <c r="V244" s="3187"/>
      <c r="W244" s="3187"/>
      <c r="X244" s="3187"/>
      <c r="Y244" s="3187"/>
      <c r="Z244" s="3187"/>
      <c r="AA244" s="3187"/>
      <c r="AB244" s="3187"/>
      <c r="AC244" s="3166">
        <f t="shared" si="152"/>
        <v>0</v>
      </c>
      <c r="AD244" s="3198"/>
      <c r="AE244" s="3198"/>
      <c r="AF244" s="3198"/>
      <c r="AG244" s="3198"/>
      <c r="AH244" s="3198"/>
      <c r="AI244" s="3198"/>
      <c r="AJ244" s="3198"/>
      <c r="AK244" s="3198"/>
      <c r="AL244" s="3198"/>
      <c r="AM244" s="3198"/>
      <c r="AN244" s="3198"/>
      <c r="AO244" s="3198"/>
      <c r="AP244" s="3198"/>
      <c r="AQ244" s="3198"/>
      <c r="AR244" s="3198"/>
      <c r="AS244" s="3198"/>
      <c r="AT244" s="3218"/>
      <c r="AU244" s="3219"/>
      <c r="AV244" s="488">
        <f t="shared" si="153"/>
        <v>0</v>
      </c>
      <c r="AW244" s="488">
        <f t="shared" si="154"/>
        <v>0</v>
      </c>
      <c r="AX244" s="488">
        <f t="shared" si="155"/>
        <v>0</v>
      </c>
      <c r="AY244" s="3235">
        <f t="shared" si="156"/>
        <v>0</v>
      </c>
      <c r="AZ244" s="3166">
        <f t="shared" si="157"/>
        <v>0</v>
      </c>
      <c r="BA244" s="3166">
        <f t="shared" si="158"/>
        <v>0</v>
      </c>
      <c r="BB244" s="3166">
        <f t="shared" si="159"/>
        <v>0</v>
      </c>
      <c r="BC244" s="3166">
        <f t="shared" si="160"/>
        <v>0</v>
      </c>
      <c r="BD244" s="3166">
        <f t="shared" si="161"/>
        <v>0</v>
      </c>
      <c r="BE244" s="3166">
        <f t="shared" si="162"/>
        <v>0</v>
      </c>
      <c r="BF244" s="3166">
        <f t="shared" si="163"/>
        <v>0</v>
      </c>
      <c r="BG244" s="3166">
        <f t="shared" si="164"/>
        <v>0</v>
      </c>
      <c r="BH244" s="3166">
        <f t="shared" si="165"/>
        <v>0</v>
      </c>
      <c r="BI244" s="3166">
        <f t="shared" si="166"/>
        <v>0</v>
      </c>
      <c r="BJ244" s="3166">
        <f t="shared" si="167"/>
        <v>0</v>
      </c>
      <c r="BK244" s="3166">
        <f t="shared" si="168"/>
        <v>0</v>
      </c>
      <c r="BL244" s="3166">
        <f t="shared" si="169"/>
        <v>0</v>
      </c>
      <c r="BM244" s="3166">
        <f t="shared" si="170"/>
        <v>0</v>
      </c>
      <c r="BN244" s="3166">
        <f t="shared" si="171"/>
        <v>0</v>
      </c>
      <c r="BO244" s="3166">
        <f t="shared" si="172"/>
        <v>0</v>
      </c>
      <c r="BP244" s="3166">
        <f t="shared" si="173"/>
        <v>0</v>
      </c>
      <c r="BQ244" s="3166">
        <f t="shared" si="174"/>
        <v>0</v>
      </c>
      <c r="BR244" s="3166">
        <f t="shared" si="175"/>
        <v>0</v>
      </c>
      <c r="BS244" s="3166">
        <f t="shared" si="176"/>
        <v>0</v>
      </c>
      <c r="BT244" s="3240">
        <f t="shared" si="177"/>
        <v>0</v>
      </c>
    </row>
    <row r="245" spans="1:72">
      <c r="A245" s="3163"/>
      <c r="B245" s="3164"/>
      <c r="C245" s="3164"/>
      <c r="D245" s="3176"/>
      <c r="E245" s="3166">
        <f t="shared" si="149"/>
        <v>0</v>
      </c>
      <c r="F245" s="3167"/>
      <c r="G245" s="3168">
        <f t="shared" si="150"/>
        <v>0</v>
      </c>
      <c r="H245" s="3169">
        <f t="shared" si="151"/>
        <v>0</v>
      </c>
      <c r="I245" s="3187"/>
      <c r="J245" s="3187"/>
      <c r="K245" s="3187"/>
      <c r="L245" s="3187"/>
      <c r="M245" s="3187"/>
      <c r="N245" s="3187"/>
      <c r="O245" s="3187"/>
      <c r="P245" s="3187"/>
      <c r="Q245" s="3187"/>
      <c r="R245" s="3187"/>
      <c r="S245" s="3187"/>
      <c r="T245" s="3187"/>
      <c r="U245" s="3187"/>
      <c r="V245" s="3187"/>
      <c r="W245" s="3187"/>
      <c r="X245" s="3187"/>
      <c r="Y245" s="3187"/>
      <c r="Z245" s="3187"/>
      <c r="AA245" s="3187"/>
      <c r="AB245" s="3187"/>
      <c r="AC245" s="3166">
        <f t="shared" si="152"/>
        <v>0</v>
      </c>
      <c r="AD245" s="3198"/>
      <c r="AE245" s="3198"/>
      <c r="AF245" s="3198"/>
      <c r="AG245" s="3198"/>
      <c r="AH245" s="3198"/>
      <c r="AI245" s="3198"/>
      <c r="AJ245" s="3198"/>
      <c r="AK245" s="3198"/>
      <c r="AL245" s="3198"/>
      <c r="AM245" s="3198"/>
      <c r="AN245" s="3198"/>
      <c r="AO245" s="3198"/>
      <c r="AP245" s="3198"/>
      <c r="AQ245" s="3198"/>
      <c r="AR245" s="3198"/>
      <c r="AS245" s="3198"/>
      <c r="AT245" s="3218"/>
      <c r="AU245" s="3219"/>
      <c r="AV245" s="488">
        <f t="shared" si="153"/>
        <v>0</v>
      </c>
      <c r="AW245" s="488">
        <f t="shared" si="154"/>
        <v>0</v>
      </c>
      <c r="AX245" s="488">
        <f t="shared" si="155"/>
        <v>0</v>
      </c>
      <c r="AY245" s="3235">
        <f t="shared" si="156"/>
        <v>0</v>
      </c>
      <c r="AZ245" s="3166">
        <f t="shared" si="157"/>
        <v>0</v>
      </c>
      <c r="BA245" s="3166">
        <f t="shared" si="158"/>
        <v>0</v>
      </c>
      <c r="BB245" s="3166">
        <f t="shared" si="159"/>
        <v>0</v>
      </c>
      <c r="BC245" s="3166">
        <f t="shared" si="160"/>
        <v>0</v>
      </c>
      <c r="BD245" s="3166">
        <f t="shared" si="161"/>
        <v>0</v>
      </c>
      <c r="BE245" s="3166">
        <f t="shared" si="162"/>
        <v>0</v>
      </c>
      <c r="BF245" s="3166">
        <f t="shared" si="163"/>
        <v>0</v>
      </c>
      <c r="BG245" s="3166">
        <f t="shared" si="164"/>
        <v>0</v>
      </c>
      <c r="BH245" s="3166">
        <f t="shared" si="165"/>
        <v>0</v>
      </c>
      <c r="BI245" s="3166">
        <f t="shared" si="166"/>
        <v>0</v>
      </c>
      <c r="BJ245" s="3166">
        <f t="shared" si="167"/>
        <v>0</v>
      </c>
      <c r="BK245" s="3166">
        <f t="shared" si="168"/>
        <v>0</v>
      </c>
      <c r="BL245" s="3166">
        <f t="shared" si="169"/>
        <v>0</v>
      </c>
      <c r="BM245" s="3166">
        <f t="shared" si="170"/>
        <v>0</v>
      </c>
      <c r="BN245" s="3166">
        <f t="shared" si="171"/>
        <v>0</v>
      </c>
      <c r="BO245" s="3166">
        <f t="shared" si="172"/>
        <v>0</v>
      </c>
      <c r="BP245" s="3166">
        <f t="shared" si="173"/>
        <v>0</v>
      </c>
      <c r="BQ245" s="3166">
        <f t="shared" si="174"/>
        <v>0</v>
      </c>
      <c r="BR245" s="3166">
        <f t="shared" si="175"/>
        <v>0</v>
      </c>
      <c r="BS245" s="3166">
        <f t="shared" si="176"/>
        <v>0</v>
      </c>
      <c r="BT245" s="3240">
        <f t="shared" si="177"/>
        <v>0</v>
      </c>
    </row>
    <row r="246" spans="1:72">
      <c r="A246" s="3163"/>
      <c r="B246" s="3164"/>
      <c r="C246" s="3164"/>
      <c r="D246" s="3176"/>
      <c r="E246" s="3166">
        <f t="shared" si="149"/>
        <v>0</v>
      </c>
      <c r="F246" s="3167"/>
      <c r="G246" s="3168">
        <f t="shared" si="150"/>
        <v>0</v>
      </c>
      <c r="H246" s="3169">
        <f t="shared" si="151"/>
        <v>0</v>
      </c>
      <c r="I246" s="3187"/>
      <c r="J246" s="3187"/>
      <c r="K246" s="3187"/>
      <c r="L246" s="3187"/>
      <c r="M246" s="3187"/>
      <c r="N246" s="3187"/>
      <c r="O246" s="3187"/>
      <c r="P246" s="3187"/>
      <c r="Q246" s="3187"/>
      <c r="R246" s="3187"/>
      <c r="S246" s="3187"/>
      <c r="T246" s="3187"/>
      <c r="U246" s="3187"/>
      <c r="V246" s="3187"/>
      <c r="W246" s="3187"/>
      <c r="X246" s="3187"/>
      <c r="Y246" s="3187"/>
      <c r="Z246" s="3187"/>
      <c r="AA246" s="3187"/>
      <c r="AB246" s="3187"/>
      <c r="AC246" s="3166">
        <f t="shared" si="152"/>
        <v>0</v>
      </c>
      <c r="AD246" s="3198"/>
      <c r="AE246" s="3198"/>
      <c r="AF246" s="3198"/>
      <c r="AG246" s="3198"/>
      <c r="AH246" s="3198"/>
      <c r="AI246" s="3198"/>
      <c r="AJ246" s="3198"/>
      <c r="AK246" s="3198"/>
      <c r="AL246" s="3198"/>
      <c r="AM246" s="3198"/>
      <c r="AN246" s="3198"/>
      <c r="AO246" s="3198"/>
      <c r="AP246" s="3198"/>
      <c r="AQ246" s="3198"/>
      <c r="AR246" s="3198"/>
      <c r="AS246" s="3198"/>
      <c r="AT246" s="3218"/>
      <c r="AU246" s="3219"/>
      <c r="AV246" s="488">
        <f t="shared" si="153"/>
        <v>0</v>
      </c>
      <c r="AW246" s="488">
        <f t="shared" si="154"/>
        <v>0</v>
      </c>
      <c r="AX246" s="488">
        <f t="shared" si="155"/>
        <v>0</v>
      </c>
      <c r="AY246" s="3235">
        <f t="shared" si="156"/>
        <v>0</v>
      </c>
      <c r="AZ246" s="3166">
        <f t="shared" si="157"/>
        <v>0</v>
      </c>
      <c r="BA246" s="3166">
        <f t="shared" si="158"/>
        <v>0</v>
      </c>
      <c r="BB246" s="3166">
        <f t="shared" si="159"/>
        <v>0</v>
      </c>
      <c r="BC246" s="3166">
        <f t="shared" si="160"/>
        <v>0</v>
      </c>
      <c r="BD246" s="3166">
        <f t="shared" si="161"/>
        <v>0</v>
      </c>
      <c r="BE246" s="3166">
        <f t="shared" si="162"/>
        <v>0</v>
      </c>
      <c r="BF246" s="3166">
        <f t="shared" si="163"/>
        <v>0</v>
      </c>
      <c r="BG246" s="3166">
        <f t="shared" si="164"/>
        <v>0</v>
      </c>
      <c r="BH246" s="3166">
        <f t="shared" si="165"/>
        <v>0</v>
      </c>
      <c r="BI246" s="3166">
        <f t="shared" si="166"/>
        <v>0</v>
      </c>
      <c r="BJ246" s="3166">
        <f t="shared" si="167"/>
        <v>0</v>
      </c>
      <c r="BK246" s="3166">
        <f t="shared" si="168"/>
        <v>0</v>
      </c>
      <c r="BL246" s="3166">
        <f t="shared" si="169"/>
        <v>0</v>
      </c>
      <c r="BM246" s="3166">
        <f t="shared" si="170"/>
        <v>0</v>
      </c>
      <c r="BN246" s="3166">
        <f t="shared" si="171"/>
        <v>0</v>
      </c>
      <c r="BO246" s="3166">
        <f t="shared" si="172"/>
        <v>0</v>
      </c>
      <c r="BP246" s="3166">
        <f t="shared" si="173"/>
        <v>0</v>
      </c>
      <c r="BQ246" s="3166">
        <f t="shared" si="174"/>
        <v>0</v>
      </c>
      <c r="BR246" s="3166">
        <f t="shared" si="175"/>
        <v>0</v>
      </c>
      <c r="BS246" s="3166">
        <f t="shared" si="176"/>
        <v>0</v>
      </c>
      <c r="BT246" s="3240">
        <f t="shared" si="177"/>
        <v>0</v>
      </c>
    </row>
    <row r="247" spans="1:72">
      <c r="A247" s="3163"/>
      <c r="B247" s="3164"/>
      <c r="C247" s="3164"/>
      <c r="D247" s="3176"/>
      <c r="E247" s="3166">
        <f t="shared" si="149"/>
        <v>0</v>
      </c>
      <c r="F247" s="3167"/>
      <c r="G247" s="3168">
        <f t="shared" si="150"/>
        <v>0</v>
      </c>
      <c r="H247" s="3169">
        <f t="shared" si="151"/>
        <v>0</v>
      </c>
      <c r="I247" s="3187"/>
      <c r="J247" s="3187"/>
      <c r="K247" s="3187"/>
      <c r="L247" s="3187"/>
      <c r="M247" s="3187"/>
      <c r="N247" s="3187"/>
      <c r="O247" s="3187"/>
      <c r="P247" s="3187"/>
      <c r="Q247" s="3187"/>
      <c r="R247" s="3187"/>
      <c r="S247" s="3187"/>
      <c r="T247" s="3187"/>
      <c r="U247" s="3187"/>
      <c r="V247" s="3187"/>
      <c r="W247" s="3187"/>
      <c r="X247" s="3187"/>
      <c r="Y247" s="3187"/>
      <c r="Z247" s="3187"/>
      <c r="AA247" s="3187"/>
      <c r="AB247" s="3187"/>
      <c r="AC247" s="3166">
        <f t="shared" si="152"/>
        <v>0</v>
      </c>
      <c r="AD247" s="3198"/>
      <c r="AE247" s="3198"/>
      <c r="AF247" s="3198"/>
      <c r="AG247" s="3198"/>
      <c r="AH247" s="3198"/>
      <c r="AI247" s="3198"/>
      <c r="AJ247" s="3198"/>
      <c r="AK247" s="3198"/>
      <c r="AL247" s="3198"/>
      <c r="AM247" s="3198"/>
      <c r="AN247" s="3198"/>
      <c r="AO247" s="3198"/>
      <c r="AP247" s="3198"/>
      <c r="AQ247" s="3198"/>
      <c r="AR247" s="3198"/>
      <c r="AS247" s="3198"/>
      <c r="AT247" s="3218"/>
      <c r="AU247" s="3219"/>
      <c r="AV247" s="488">
        <f t="shared" si="153"/>
        <v>0</v>
      </c>
      <c r="AW247" s="488">
        <f t="shared" si="154"/>
        <v>0</v>
      </c>
      <c r="AX247" s="488">
        <f t="shared" si="155"/>
        <v>0</v>
      </c>
      <c r="AY247" s="3235">
        <f t="shared" si="156"/>
        <v>0</v>
      </c>
      <c r="AZ247" s="3166">
        <f t="shared" si="157"/>
        <v>0</v>
      </c>
      <c r="BA247" s="3166">
        <f t="shared" si="158"/>
        <v>0</v>
      </c>
      <c r="BB247" s="3166">
        <f t="shared" si="159"/>
        <v>0</v>
      </c>
      <c r="BC247" s="3166">
        <f t="shared" si="160"/>
        <v>0</v>
      </c>
      <c r="BD247" s="3166">
        <f t="shared" si="161"/>
        <v>0</v>
      </c>
      <c r="BE247" s="3166">
        <f t="shared" si="162"/>
        <v>0</v>
      </c>
      <c r="BF247" s="3166">
        <f t="shared" si="163"/>
        <v>0</v>
      </c>
      <c r="BG247" s="3166">
        <f t="shared" si="164"/>
        <v>0</v>
      </c>
      <c r="BH247" s="3166">
        <f t="shared" si="165"/>
        <v>0</v>
      </c>
      <c r="BI247" s="3166">
        <f t="shared" si="166"/>
        <v>0</v>
      </c>
      <c r="BJ247" s="3166">
        <f t="shared" si="167"/>
        <v>0</v>
      </c>
      <c r="BK247" s="3166">
        <f t="shared" si="168"/>
        <v>0</v>
      </c>
      <c r="BL247" s="3166">
        <f t="shared" si="169"/>
        <v>0</v>
      </c>
      <c r="BM247" s="3166">
        <f t="shared" si="170"/>
        <v>0</v>
      </c>
      <c r="BN247" s="3166">
        <f t="shared" si="171"/>
        <v>0</v>
      </c>
      <c r="BO247" s="3166">
        <f t="shared" si="172"/>
        <v>0</v>
      </c>
      <c r="BP247" s="3166">
        <f t="shared" si="173"/>
        <v>0</v>
      </c>
      <c r="BQ247" s="3166">
        <f t="shared" si="174"/>
        <v>0</v>
      </c>
      <c r="BR247" s="3166">
        <f t="shared" si="175"/>
        <v>0</v>
      </c>
      <c r="BS247" s="3166">
        <f t="shared" si="176"/>
        <v>0</v>
      </c>
      <c r="BT247" s="3240">
        <f t="shared" si="177"/>
        <v>0</v>
      </c>
    </row>
    <row r="248" spans="1:72">
      <c r="A248" s="3163"/>
      <c r="B248" s="3164"/>
      <c r="C248" s="3164"/>
      <c r="D248" s="3176"/>
      <c r="E248" s="3166">
        <f t="shared" si="149"/>
        <v>0</v>
      </c>
      <c r="F248" s="3167"/>
      <c r="G248" s="3168">
        <f t="shared" si="150"/>
        <v>0</v>
      </c>
      <c r="H248" s="3169">
        <f t="shared" si="151"/>
        <v>0</v>
      </c>
      <c r="I248" s="3187"/>
      <c r="J248" s="3187"/>
      <c r="K248" s="3187"/>
      <c r="L248" s="3187"/>
      <c r="M248" s="3187"/>
      <c r="N248" s="3187"/>
      <c r="O248" s="3187"/>
      <c r="P248" s="3187"/>
      <c r="Q248" s="3187"/>
      <c r="R248" s="3187"/>
      <c r="S248" s="3187"/>
      <c r="T248" s="3187"/>
      <c r="U248" s="3187"/>
      <c r="V248" s="3187"/>
      <c r="W248" s="3187"/>
      <c r="X248" s="3187"/>
      <c r="Y248" s="3187"/>
      <c r="Z248" s="3187"/>
      <c r="AA248" s="3187"/>
      <c r="AB248" s="3187"/>
      <c r="AC248" s="3166">
        <f t="shared" si="152"/>
        <v>0</v>
      </c>
      <c r="AD248" s="3198"/>
      <c r="AE248" s="3198"/>
      <c r="AF248" s="3198"/>
      <c r="AG248" s="3198"/>
      <c r="AH248" s="3198"/>
      <c r="AI248" s="3198"/>
      <c r="AJ248" s="3198"/>
      <c r="AK248" s="3198"/>
      <c r="AL248" s="3198"/>
      <c r="AM248" s="3198"/>
      <c r="AN248" s="3198"/>
      <c r="AO248" s="3198"/>
      <c r="AP248" s="3198"/>
      <c r="AQ248" s="3198"/>
      <c r="AR248" s="3198"/>
      <c r="AS248" s="3198"/>
      <c r="AT248" s="3218"/>
      <c r="AU248" s="3219"/>
      <c r="AV248" s="488">
        <f t="shared" si="153"/>
        <v>0</v>
      </c>
      <c r="AW248" s="488">
        <f t="shared" si="154"/>
        <v>0</v>
      </c>
      <c r="AX248" s="488">
        <f t="shared" si="155"/>
        <v>0</v>
      </c>
      <c r="AY248" s="3235">
        <f t="shared" si="156"/>
        <v>0</v>
      </c>
      <c r="AZ248" s="3166">
        <f t="shared" si="157"/>
        <v>0</v>
      </c>
      <c r="BA248" s="3166">
        <f t="shared" si="158"/>
        <v>0</v>
      </c>
      <c r="BB248" s="3166">
        <f t="shared" si="159"/>
        <v>0</v>
      </c>
      <c r="BC248" s="3166">
        <f t="shared" si="160"/>
        <v>0</v>
      </c>
      <c r="BD248" s="3166">
        <f t="shared" si="161"/>
        <v>0</v>
      </c>
      <c r="BE248" s="3166">
        <f t="shared" si="162"/>
        <v>0</v>
      </c>
      <c r="BF248" s="3166">
        <f t="shared" si="163"/>
        <v>0</v>
      </c>
      <c r="BG248" s="3166">
        <f t="shared" si="164"/>
        <v>0</v>
      </c>
      <c r="BH248" s="3166">
        <f t="shared" si="165"/>
        <v>0</v>
      </c>
      <c r="BI248" s="3166">
        <f t="shared" si="166"/>
        <v>0</v>
      </c>
      <c r="BJ248" s="3166">
        <f t="shared" si="167"/>
        <v>0</v>
      </c>
      <c r="BK248" s="3166">
        <f t="shared" si="168"/>
        <v>0</v>
      </c>
      <c r="BL248" s="3166">
        <f t="shared" si="169"/>
        <v>0</v>
      </c>
      <c r="BM248" s="3166">
        <f t="shared" si="170"/>
        <v>0</v>
      </c>
      <c r="BN248" s="3166">
        <f t="shared" si="171"/>
        <v>0</v>
      </c>
      <c r="BO248" s="3166">
        <f t="shared" si="172"/>
        <v>0</v>
      </c>
      <c r="BP248" s="3166">
        <f t="shared" si="173"/>
        <v>0</v>
      </c>
      <c r="BQ248" s="3166">
        <f t="shared" si="174"/>
        <v>0</v>
      </c>
      <c r="BR248" s="3166">
        <f t="shared" si="175"/>
        <v>0</v>
      </c>
      <c r="BS248" s="3166">
        <f t="shared" si="176"/>
        <v>0</v>
      </c>
      <c r="BT248" s="3240">
        <f t="shared" si="177"/>
        <v>0</v>
      </c>
    </row>
    <row r="249" spans="1:72">
      <c r="A249" s="3163"/>
      <c r="B249" s="3164"/>
      <c r="C249" s="3164"/>
      <c r="D249" s="3176"/>
      <c r="E249" s="3166">
        <f t="shared" si="149"/>
        <v>0</v>
      </c>
      <c r="F249" s="3167"/>
      <c r="G249" s="3168">
        <f t="shared" si="150"/>
        <v>0</v>
      </c>
      <c r="H249" s="3169">
        <f t="shared" si="151"/>
        <v>0</v>
      </c>
      <c r="I249" s="3187"/>
      <c r="J249" s="3187"/>
      <c r="K249" s="3187"/>
      <c r="L249" s="3187"/>
      <c r="M249" s="3187"/>
      <c r="N249" s="3187"/>
      <c r="O249" s="3187"/>
      <c r="P249" s="3187"/>
      <c r="Q249" s="3187"/>
      <c r="R249" s="3187"/>
      <c r="S249" s="3187"/>
      <c r="T249" s="3187"/>
      <c r="U249" s="3187"/>
      <c r="V249" s="3187"/>
      <c r="W249" s="3187"/>
      <c r="X249" s="3187"/>
      <c r="Y249" s="3187"/>
      <c r="Z249" s="3187"/>
      <c r="AA249" s="3187"/>
      <c r="AB249" s="3187"/>
      <c r="AC249" s="3166">
        <f t="shared" si="152"/>
        <v>0</v>
      </c>
      <c r="AD249" s="3198"/>
      <c r="AE249" s="3198"/>
      <c r="AF249" s="3198"/>
      <c r="AG249" s="3198"/>
      <c r="AH249" s="3198"/>
      <c r="AI249" s="3198"/>
      <c r="AJ249" s="3198"/>
      <c r="AK249" s="3198"/>
      <c r="AL249" s="3198"/>
      <c r="AM249" s="3198"/>
      <c r="AN249" s="3198"/>
      <c r="AO249" s="3198"/>
      <c r="AP249" s="3198"/>
      <c r="AQ249" s="3198"/>
      <c r="AR249" s="3198"/>
      <c r="AS249" s="3198"/>
      <c r="AT249" s="3218"/>
      <c r="AU249" s="3219"/>
      <c r="AV249" s="488">
        <f t="shared" si="153"/>
        <v>0</v>
      </c>
      <c r="AW249" s="488">
        <f t="shared" si="154"/>
        <v>0</v>
      </c>
      <c r="AX249" s="488">
        <f t="shared" si="155"/>
        <v>0</v>
      </c>
      <c r="AY249" s="3235">
        <f t="shared" si="156"/>
        <v>0</v>
      </c>
      <c r="AZ249" s="3166">
        <f t="shared" si="157"/>
        <v>0</v>
      </c>
      <c r="BA249" s="3166">
        <f t="shared" si="158"/>
        <v>0</v>
      </c>
      <c r="BB249" s="3166">
        <f t="shared" si="159"/>
        <v>0</v>
      </c>
      <c r="BC249" s="3166">
        <f t="shared" si="160"/>
        <v>0</v>
      </c>
      <c r="BD249" s="3166">
        <f t="shared" si="161"/>
        <v>0</v>
      </c>
      <c r="BE249" s="3166">
        <f t="shared" si="162"/>
        <v>0</v>
      </c>
      <c r="BF249" s="3166">
        <f t="shared" si="163"/>
        <v>0</v>
      </c>
      <c r="BG249" s="3166">
        <f t="shared" si="164"/>
        <v>0</v>
      </c>
      <c r="BH249" s="3166">
        <f t="shared" si="165"/>
        <v>0</v>
      </c>
      <c r="BI249" s="3166">
        <f t="shared" si="166"/>
        <v>0</v>
      </c>
      <c r="BJ249" s="3166">
        <f t="shared" si="167"/>
        <v>0</v>
      </c>
      <c r="BK249" s="3166">
        <f t="shared" si="168"/>
        <v>0</v>
      </c>
      <c r="BL249" s="3166">
        <f t="shared" si="169"/>
        <v>0</v>
      </c>
      <c r="BM249" s="3166">
        <f t="shared" si="170"/>
        <v>0</v>
      </c>
      <c r="BN249" s="3166">
        <f t="shared" si="171"/>
        <v>0</v>
      </c>
      <c r="BO249" s="3166">
        <f t="shared" si="172"/>
        <v>0</v>
      </c>
      <c r="BP249" s="3166">
        <f t="shared" si="173"/>
        <v>0</v>
      </c>
      <c r="BQ249" s="3166">
        <f t="shared" si="174"/>
        <v>0</v>
      </c>
      <c r="BR249" s="3166">
        <f t="shared" si="175"/>
        <v>0</v>
      </c>
      <c r="BS249" s="3166">
        <f t="shared" si="176"/>
        <v>0</v>
      </c>
      <c r="BT249" s="3240">
        <f t="shared" si="177"/>
        <v>0</v>
      </c>
    </row>
    <row r="250" spans="1:72">
      <c r="A250" s="3163"/>
      <c r="B250" s="3164"/>
      <c r="C250" s="3164"/>
      <c r="D250" s="3176"/>
      <c r="E250" s="3166">
        <f t="shared" si="149"/>
        <v>0</v>
      </c>
      <c r="F250" s="3167"/>
      <c r="G250" s="3168">
        <f t="shared" si="150"/>
        <v>0</v>
      </c>
      <c r="H250" s="3169">
        <f t="shared" si="151"/>
        <v>0</v>
      </c>
      <c r="I250" s="3187"/>
      <c r="J250" s="3187"/>
      <c r="K250" s="3187"/>
      <c r="L250" s="3187"/>
      <c r="M250" s="3187"/>
      <c r="N250" s="3187"/>
      <c r="O250" s="3187"/>
      <c r="P250" s="3187"/>
      <c r="Q250" s="3187"/>
      <c r="R250" s="3187"/>
      <c r="S250" s="3187"/>
      <c r="T250" s="3187"/>
      <c r="U250" s="3187"/>
      <c r="V250" s="3187"/>
      <c r="W250" s="3187"/>
      <c r="X250" s="3187"/>
      <c r="Y250" s="3187"/>
      <c r="Z250" s="3187"/>
      <c r="AA250" s="3187"/>
      <c r="AB250" s="3187"/>
      <c r="AC250" s="3166">
        <f t="shared" si="152"/>
        <v>0</v>
      </c>
      <c r="AD250" s="3198"/>
      <c r="AE250" s="3198"/>
      <c r="AF250" s="3198"/>
      <c r="AG250" s="3198"/>
      <c r="AH250" s="3198"/>
      <c r="AI250" s="3198"/>
      <c r="AJ250" s="3198"/>
      <c r="AK250" s="3198"/>
      <c r="AL250" s="3198"/>
      <c r="AM250" s="3198"/>
      <c r="AN250" s="3198"/>
      <c r="AO250" s="3198"/>
      <c r="AP250" s="3198"/>
      <c r="AQ250" s="3198"/>
      <c r="AR250" s="3198"/>
      <c r="AS250" s="3198"/>
      <c r="AT250" s="3218"/>
      <c r="AU250" s="3219"/>
      <c r="AV250" s="488">
        <f t="shared" si="153"/>
        <v>0</v>
      </c>
      <c r="AW250" s="488">
        <f t="shared" si="154"/>
        <v>0</v>
      </c>
      <c r="AX250" s="488">
        <f t="shared" si="155"/>
        <v>0</v>
      </c>
      <c r="AY250" s="3235">
        <f t="shared" si="156"/>
        <v>0</v>
      </c>
      <c r="AZ250" s="3166">
        <f t="shared" si="157"/>
        <v>0</v>
      </c>
      <c r="BA250" s="3166">
        <f t="shared" si="158"/>
        <v>0</v>
      </c>
      <c r="BB250" s="3166">
        <f t="shared" si="159"/>
        <v>0</v>
      </c>
      <c r="BC250" s="3166">
        <f t="shared" si="160"/>
        <v>0</v>
      </c>
      <c r="BD250" s="3166">
        <f t="shared" si="161"/>
        <v>0</v>
      </c>
      <c r="BE250" s="3166">
        <f t="shared" si="162"/>
        <v>0</v>
      </c>
      <c r="BF250" s="3166">
        <f t="shared" si="163"/>
        <v>0</v>
      </c>
      <c r="BG250" s="3166">
        <f t="shared" si="164"/>
        <v>0</v>
      </c>
      <c r="BH250" s="3166">
        <f t="shared" si="165"/>
        <v>0</v>
      </c>
      <c r="BI250" s="3166">
        <f t="shared" si="166"/>
        <v>0</v>
      </c>
      <c r="BJ250" s="3166">
        <f t="shared" si="167"/>
        <v>0</v>
      </c>
      <c r="BK250" s="3166">
        <f t="shared" si="168"/>
        <v>0</v>
      </c>
      <c r="BL250" s="3166">
        <f t="shared" si="169"/>
        <v>0</v>
      </c>
      <c r="BM250" s="3166">
        <f t="shared" si="170"/>
        <v>0</v>
      </c>
      <c r="BN250" s="3166">
        <f t="shared" si="171"/>
        <v>0</v>
      </c>
      <c r="BO250" s="3166">
        <f t="shared" si="172"/>
        <v>0</v>
      </c>
      <c r="BP250" s="3166">
        <f t="shared" si="173"/>
        <v>0</v>
      </c>
      <c r="BQ250" s="3166">
        <f t="shared" si="174"/>
        <v>0</v>
      </c>
      <c r="BR250" s="3166">
        <f t="shared" si="175"/>
        <v>0</v>
      </c>
      <c r="BS250" s="3166">
        <f t="shared" si="176"/>
        <v>0</v>
      </c>
      <c r="BT250" s="3240">
        <f t="shared" si="177"/>
        <v>0</v>
      </c>
    </row>
    <row r="251" spans="1:72">
      <c r="A251" s="3163"/>
      <c r="B251" s="3164"/>
      <c r="C251" s="3164"/>
      <c r="D251" s="3176"/>
      <c r="E251" s="3166">
        <f t="shared" si="149"/>
        <v>0</v>
      </c>
      <c r="F251" s="3167"/>
      <c r="G251" s="3168">
        <f t="shared" si="150"/>
        <v>0</v>
      </c>
      <c r="H251" s="3169">
        <f t="shared" si="151"/>
        <v>0</v>
      </c>
      <c r="I251" s="3187"/>
      <c r="J251" s="3187"/>
      <c r="K251" s="3187"/>
      <c r="L251" s="3187"/>
      <c r="M251" s="3187"/>
      <c r="N251" s="3187"/>
      <c r="O251" s="3187"/>
      <c r="P251" s="3187"/>
      <c r="Q251" s="3187"/>
      <c r="R251" s="3187"/>
      <c r="S251" s="3187"/>
      <c r="T251" s="3187"/>
      <c r="U251" s="3187"/>
      <c r="V251" s="3187"/>
      <c r="W251" s="3187"/>
      <c r="X251" s="3187"/>
      <c r="Y251" s="3187"/>
      <c r="Z251" s="3187"/>
      <c r="AA251" s="3187"/>
      <c r="AB251" s="3187"/>
      <c r="AC251" s="3166">
        <f t="shared" si="152"/>
        <v>0</v>
      </c>
      <c r="AD251" s="3198"/>
      <c r="AE251" s="3198"/>
      <c r="AF251" s="3198"/>
      <c r="AG251" s="3198"/>
      <c r="AH251" s="3198"/>
      <c r="AI251" s="3198"/>
      <c r="AJ251" s="3198"/>
      <c r="AK251" s="3198"/>
      <c r="AL251" s="3198"/>
      <c r="AM251" s="3198"/>
      <c r="AN251" s="3198"/>
      <c r="AO251" s="3198"/>
      <c r="AP251" s="3198"/>
      <c r="AQ251" s="3198"/>
      <c r="AR251" s="3198"/>
      <c r="AS251" s="3198"/>
      <c r="AT251" s="3218"/>
      <c r="AU251" s="3219"/>
      <c r="AV251" s="488">
        <f t="shared" si="153"/>
        <v>0</v>
      </c>
      <c r="AW251" s="488">
        <f t="shared" si="154"/>
        <v>0</v>
      </c>
      <c r="AX251" s="488">
        <f t="shared" si="155"/>
        <v>0</v>
      </c>
      <c r="AY251" s="3235">
        <f t="shared" si="156"/>
        <v>0</v>
      </c>
      <c r="AZ251" s="3166">
        <f t="shared" si="157"/>
        <v>0</v>
      </c>
      <c r="BA251" s="3166">
        <f t="shared" si="158"/>
        <v>0</v>
      </c>
      <c r="BB251" s="3166">
        <f t="shared" si="159"/>
        <v>0</v>
      </c>
      <c r="BC251" s="3166">
        <f t="shared" si="160"/>
        <v>0</v>
      </c>
      <c r="BD251" s="3166">
        <f t="shared" si="161"/>
        <v>0</v>
      </c>
      <c r="BE251" s="3166">
        <f t="shared" si="162"/>
        <v>0</v>
      </c>
      <c r="BF251" s="3166">
        <f t="shared" si="163"/>
        <v>0</v>
      </c>
      <c r="BG251" s="3166">
        <f t="shared" si="164"/>
        <v>0</v>
      </c>
      <c r="BH251" s="3166">
        <f t="shared" si="165"/>
        <v>0</v>
      </c>
      <c r="BI251" s="3166">
        <f t="shared" si="166"/>
        <v>0</v>
      </c>
      <c r="BJ251" s="3166">
        <f t="shared" si="167"/>
        <v>0</v>
      </c>
      <c r="BK251" s="3166">
        <f t="shared" si="168"/>
        <v>0</v>
      </c>
      <c r="BL251" s="3166">
        <f t="shared" si="169"/>
        <v>0</v>
      </c>
      <c r="BM251" s="3166">
        <f t="shared" si="170"/>
        <v>0</v>
      </c>
      <c r="BN251" s="3166">
        <f t="shared" si="171"/>
        <v>0</v>
      </c>
      <c r="BO251" s="3166">
        <f t="shared" si="172"/>
        <v>0</v>
      </c>
      <c r="BP251" s="3166">
        <f t="shared" si="173"/>
        <v>0</v>
      </c>
      <c r="BQ251" s="3166">
        <f t="shared" si="174"/>
        <v>0</v>
      </c>
      <c r="BR251" s="3166">
        <f t="shared" si="175"/>
        <v>0</v>
      </c>
      <c r="BS251" s="3166">
        <f t="shared" si="176"/>
        <v>0</v>
      </c>
      <c r="BT251" s="3240">
        <f t="shared" si="177"/>
        <v>0</v>
      </c>
    </row>
    <row r="252" spans="1:72">
      <c r="A252" s="3163"/>
      <c r="B252" s="3164"/>
      <c r="C252" s="3164"/>
      <c r="D252" s="3176"/>
      <c r="E252" s="3166">
        <f t="shared" si="149"/>
        <v>0</v>
      </c>
      <c r="F252" s="3167"/>
      <c r="G252" s="3168">
        <f t="shared" si="150"/>
        <v>0</v>
      </c>
      <c r="H252" s="3169">
        <f t="shared" si="151"/>
        <v>0</v>
      </c>
      <c r="I252" s="3187"/>
      <c r="J252" s="3187"/>
      <c r="K252" s="3187"/>
      <c r="L252" s="3187"/>
      <c r="M252" s="3187"/>
      <c r="N252" s="3187"/>
      <c r="O252" s="3187"/>
      <c r="P252" s="3187"/>
      <c r="Q252" s="3187"/>
      <c r="R252" s="3187"/>
      <c r="S252" s="3187"/>
      <c r="T252" s="3187"/>
      <c r="U252" s="3187"/>
      <c r="V252" s="3187"/>
      <c r="W252" s="3187"/>
      <c r="X252" s="3187"/>
      <c r="Y252" s="3187"/>
      <c r="Z252" s="3187"/>
      <c r="AA252" s="3187"/>
      <c r="AB252" s="3187"/>
      <c r="AC252" s="3166">
        <f t="shared" si="152"/>
        <v>0</v>
      </c>
      <c r="AD252" s="3198"/>
      <c r="AE252" s="3198"/>
      <c r="AF252" s="3198"/>
      <c r="AG252" s="3198"/>
      <c r="AH252" s="3198"/>
      <c r="AI252" s="3198"/>
      <c r="AJ252" s="3198"/>
      <c r="AK252" s="3198"/>
      <c r="AL252" s="3198"/>
      <c r="AM252" s="3198"/>
      <c r="AN252" s="3198"/>
      <c r="AO252" s="3198"/>
      <c r="AP252" s="3198"/>
      <c r="AQ252" s="3198"/>
      <c r="AR252" s="3198"/>
      <c r="AS252" s="3198"/>
      <c r="AT252" s="3218"/>
      <c r="AU252" s="3219"/>
      <c r="AV252" s="488">
        <f t="shared" si="153"/>
        <v>0</v>
      </c>
      <c r="AW252" s="488">
        <f t="shared" si="154"/>
        <v>0</v>
      </c>
      <c r="AX252" s="488">
        <f t="shared" si="155"/>
        <v>0</v>
      </c>
      <c r="AY252" s="3235">
        <f t="shared" si="156"/>
        <v>0</v>
      </c>
      <c r="AZ252" s="3166">
        <f t="shared" si="157"/>
        <v>0</v>
      </c>
      <c r="BA252" s="3166">
        <f t="shared" si="158"/>
        <v>0</v>
      </c>
      <c r="BB252" s="3166">
        <f t="shared" si="159"/>
        <v>0</v>
      </c>
      <c r="BC252" s="3166">
        <f t="shared" si="160"/>
        <v>0</v>
      </c>
      <c r="BD252" s="3166">
        <f t="shared" si="161"/>
        <v>0</v>
      </c>
      <c r="BE252" s="3166">
        <f t="shared" si="162"/>
        <v>0</v>
      </c>
      <c r="BF252" s="3166">
        <f t="shared" si="163"/>
        <v>0</v>
      </c>
      <c r="BG252" s="3166">
        <f t="shared" si="164"/>
        <v>0</v>
      </c>
      <c r="BH252" s="3166">
        <f t="shared" si="165"/>
        <v>0</v>
      </c>
      <c r="BI252" s="3166">
        <f t="shared" si="166"/>
        <v>0</v>
      </c>
      <c r="BJ252" s="3166">
        <f t="shared" si="167"/>
        <v>0</v>
      </c>
      <c r="BK252" s="3166">
        <f t="shared" si="168"/>
        <v>0</v>
      </c>
      <c r="BL252" s="3166">
        <f t="shared" si="169"/>
        <v>0</v>
      </c>
      <c r="BM252" s="3166">
        <f t="shared" si="170"/>
        <v>0</v>
      </c>
      <c r="BN252" s="3166">
        <f t="shared" si="171"/>
        <v>0</v>
      </c>
      <c r="BO252" s="3166">
        <f t="shared" si="172"/>
        <v>0</v>
      </c>
      <c r="BP252" s="3166">
        <f t="shared" si="173"/>
        <v>0</v>
      </c>
      <c r="BQ252" s="3166">
        <f t="shared" si="174"/>
        <v>0</v>
      </c>
      <c r="BR252" s="3166">
        <f t="shared" si="175"/>
        <v>0</v>
      </c>
      <c r="BS252" s="3166">
        <f t="shared" si="176"/>
        <v>0</v>
      </c>
      <c r="BT252" s="3240">
        <f t="shared" si="177"/>
        <v>0</v>
      </c>
    </row>
    <row r="253" spans="1:72">
      <c r="A253" s="3163"/>
      <c r="B253" s="3164"/>
      <c r="C253" s="3164"/>
      <c r="D253" s="3176"/>
      <c r="E253" s="3166">
        <f t="shared" si="149"/>
        <v>0</v>
      </c>
      <c r="F253" s="3167"/>
      <c r="G253" s="3168">
        <f t="shared" si="150"/>
        <v>0</v>
      </c>
      <c r="H253" s="3169">
        <f t="shared" si="151"/>
        <v>0</v>
      </c>
      <c r="I253" s="3187"/>
      <c r="J253" s="3187"/>
      <c r="K253" s="3187"/>
      <c r="L253" s="3187"/>
      <c r="M253" s="3187"/>
      <c r="N253" s="3187"/>
      <c r="O253" s="3187"/>
      <c r="P253" s="3187"/>
      <c r="Q253" s="3187"/>
      <c r="R253" s="3187"/>
      <c r="S253" s="3187"/>
      <c r="T253" s="3187"/>
      <c r="U253" s="3187"/>
      <c r="V253" s="3187"/>
      <c r="W253" s="3187"/>
      <c r="X253" s="3187"/>
      <c r="Y253" s="3187"/>
      <c r="Z253" s="3187"/>
      <c r="AA253" s="3187"/>
      <c r="AB253" s="3187"/>
      <c r="AC253" s="3166">
        <f t="shared" si="152"/>
        <v>0</v>
      </c>
      <c r="AD253" s="3198"/>
      <c r="AE253" s="3198"/>
      <c r="AF253" s="3198"/>
      <c r="AG253" s="3198"/>
      <c r="AH253" s="3198"/>
      <c r="AI253" s="3198"/>
      <c r="AJ253" s="3198"/>
      <c r="AK253" s="3198"/>
      <c r="AL253" s="3198"/>
      <c r="AM253" s="3198"/>
      <c r="AN253" s="3198"/>
      <c r="AO253" s="3198"/>
      <c r="AP253" s="3198"/>
      <c r="AQ253" s="3198"/>
      <c r="AR253" s="3198"/>
      <c r="AS253" s="3198"/>
      <c r="AT253" s="3218"/>
      <c r="AU253" s="3219"/>
      <c r="AV253" s="488">
        <f t="shared" si="153"/>
        <v>0</v>
      </c>
      <c r="AW253" s="488">
        <f t="shared" si="154"/>
        <v>0</v>
      </c>
      <c r="AX253" s="488">
        <f t="shared" si="155"/>
        <v>0</v>
      </c>
      <c r="AY253" s="3235">
        <f t="shared" si="156"/>
        <v>0</v>
      </c>
      <c r="AZ253" s="3166">
        <f t="shared" si="157"/>
        <v>0</v>
      </c>
      <c r="BA253" s="3166">
        <f t="shared" si="158"/>
        <v>0</v>
      </c>
      <c r="BB253" s="3166">
        <f t="shared" si="159"/>
        <v>0</v>
      </c>
      <c r="BC253" s="3166">
        <f t="shared" si="160"/>
        <v>0</v>
      </c>
      <c r="BD253" s="3166">
        <f t="shared" si="161"/>
        <v>0</v>
      </c>
      <c r="BE253" s="3166">
        <f t="shared" si="162"/>
        <v>0</v>
      </c>
      <c r="BF253" s="3166">
        <f t="shared" si="163"/>
        <v>0</v>
      </c>
      <c r="BG253" s="3166">
        <f t="shared" si="164"/>
        <v>0</v>
      </c>
      <c r="BH253" s="3166">
        <f t="shared" si="165"/>
        <v>0</v>
      </c>
      <c r="BI253" s="3166">
        <f t="shared" si="166"/>
        <v>0</v>
      </c>
      <c r="BJ253" s="3166">
        <f t="shared" si="167"/>
        <v>0</v>
      </c>
      <c r="BK253" s="3166">
        <f t="shared" si="168"/>
        <v>0</v>
      </c>
      <c r="BL253" s="3166">
        <f t="shared" si="169"/>
        <v>0</v>
      </c>
      <c r="BM253" s="3166">
        <f t="shared" si="170"/>
        <v>0</v>
      </c>
      <c r="BN253" s="3166">
        <f t="shared" si="171"/>
        <v>0</v>
      </c>
      <c r="BO253" s="3166">
        <f t="shared" si="172"/>
        <v>0</v>
      </c>
      <c r="BP253" s="3166">
        <f t="shared" si="173"/>
        <v>0</v>
      </c>
      <c r="BQ253" s="3166">
        <f t="shared" si="174"/>
        <v>0</v>
      </c>
      <c r="BR253" s="3166">
        <f t="shared" si="175"/>
        <v>0</v>
      </c>
      <c r="BS253" s="3166">
        <f t="shared" si="176"/>
        <v>0</v>
      </c>
      <c r="BT253" s="3240">
        <f t="shared" si="177"/>
        <v>0</v>
      </c>
    </row>
    <row r="254" spans="1:72">
      <c r="A254" s="3163"/>
      <c r="B254" s="3164"/>
      <c r="C254" s="3164"/>
      <c r="D254" s="3176"/>
      <c r="E254" s="3166">
        <f t="shared" si="149"/>
        <v>0</v>
      </c>
      <c r="F254" s="3167"/>
      <c r="G254" s="3168">
        <f t="shared" si="150"/>
        <v>0</v>
      </c>
      <c r="H254" s="3169">
        <f t="shared" si="151"/>
        <v>0</v>
      </c>
      <c r="I254" s="3187"/>
      <c r="J254" s="3187"/>
      <c r="K254" s="3187"/>
      <c r="L254" s="3187"/>
      <c r="M254" s="3187"/>
      <c r="N254" s="3187"/>
      <c r="O254" s="3187"/>
      <c r="P254" s="3187"/>
      <c r="Q254" s="3187"/>
      <c r="R254" s="3187"/>
      <c r="S254" s="3187"/>
      <c r="T254" s="3187"/>
      <c r="U254" s="3187"/>
      <c r="V254" s="3187"/>
      <c r="W254" s="3187"/>
      <c r="X254" s="3187"/>
      <c r="Y254" s="3187"/>
      <c r="Z254" s="3187"/>
      <c r="AA254" s="3187"/>
      <c r="AB254" s="3187"/>
      <c r="AC254" s="3166">
        <f t="shared" si="152"/>
        <v>0</v>
      </c>
      <c r="AD254" s="3198"/>
      <c r="AE254" s="3198"/>
      <c r="AF254" s="3198"/>
      <c r="AG254" s="3198"/>
      <c r="AH254" s="3198"/>
      <c r="AI254" s="3198"/>
      <c r="AJ254" s="3198"/>
      <c r="AK254" s="3198"/>
      <c r="AL254" s="3198"/>
      <c r="AM254" s="3198"/>
      <c r="AN254" s="3198"/>
      <c r="AO254" s="3198"/>
      <c r="AP254" s="3198"/>
      <c r="AQ254" s="3198"/>
      <c r="AR254" s="3198"/>
      <c r="AS254" s="3198"/>
      <c r="AT254" s="3218"/>
      <c r="AU254" s="3219"/>
      <c r="AV254" s="488">
        <f t="shared" si="153"/>
        <v>0</v>
      </c>
      <c r="AW254" s="488">
        <f t="shared" si="154"/>
        <v>0</v>
      </c>
      <c r="AX254" s="488">
        <f t="shared" si="155"/>
        <v>0</v>
      </c>
      <c r="AY254" s="3235">
        <f t="shared" si="156"/>
        <v>0</v>
      </c>
      <c r="AZ254" s="3166">
        <f t="shared" si="157"/>
        <v>0</v>
      </c>
      <c r="BA254" s="3166">
        <f t="shared" si="158"/>
        <v>0</v>
      </c>
      <c r="BB254" s="3166">
        <f t="shared" si="159"/>
        <v>0</v>
      </c>
      <c r="BC254" s="3166">
        <f t="shared" si="160"/>
        <v>0</v>
      </c>
      <c r="BD254" s="3166">
        <f t="shared" si="161"/>
        <v>0</v>
      </c>
      <c r="BE254" s="3166">
        <f t="shared" si="162"/>
        <v>0</v>
      </c>
      <c r="BF254" s="3166">
        <f t="shared" si="163"/>
        <v>0</v>
      </c>
      <c r="BG254" s="3166">
        <f t="shared" si="164"/>
        <v>0</v>
      </c>
      <c r="BH254" s="3166">
        <f t="shared" si="165"/>
        <v>0</v>
      </c>
      <c r="BI254" s="3166">
        <f t="shared" si="166"/>
        <v>0</v>
      </c>
      <c r="BJ254" s="3166">
        <f t="shared" si="167"/>
        <v>0</v>
      </c>
      <c r="BK254" s="3166">
        <f t="shared" si="168"/>
        <v>0</v>
      </c>
      <c r="BL254" s="3166">
        <f t="shared" si="169"/>
        <v>0</v>
      </c>
      <c r="BM254" s="3166">
        <f t="shared" si="170"/>
        <v>0</v>
      </c>
      <c r="BN254" s="3166">
        <f t="shared" si="171"/>
        <v>0</v>
      </c>
      <c r="BO254" s="3166">
        <f t="shared" si="172"/>
        <v>0</v>
      </c>
      <c r="BP254" s="3166">
        <f t="shared" si="173"/>
        <v>0</v>
      </c>
      <c r="BQ254" s="3166">
        <f t="shared" si="174"/>
        <v>0</v>
      </c>
      <c r="BR254" s="3166">
        <f t="shared" si="175"/>
        <v>0</v>
      </c>
      <c r="BS254" s="3166">
        <f t="shared" si="176"/>
        <v>0</v>
      </c>
      <c r="BT254" s="3240">
        <f t="shared" si="177"/>
        <v>0</v>
      </c>
    </row>
    <row r="255" spans="1:72">
      <c r="A255" s="3163"/>
      <c r="B255" s="3164"/>
      <c r="C255" s="3164"/>
      <c r="D255" s="3176"/>
      <c r="E255" s="3166">
        <f t="shared" si="149"/>
        <v>0</v>
      </c>
      <c r="F255" s="3167"/>
      <c r="G255" s="3168">
        <f t="shared" si="150"/>
        <v>0</v>
      </c>
      <c r="H255" s="3169">
        <f t="shared" si="151"/>
        <v>0</v>
      </c>
      <c r="I255" s="3187"/>
      <c r="J255" s="3187"/>
      <c r="K255" s="3187"/>
      <c r="L255" s="3187"/>
      <c r="M255" s="3187"/>
      <c r="N255" s="3187"/>
      <c r="O255" s="3187"/>
      <c r="P255" s="3187"/>
      <c r="Q255" s="3187"/>
      <c r="R255" s="3187"/>
      <c r="S255" s="3187"/>
      <c r="T255" s="3187"/>
      <c r="U255" s="3187"/>
      <c r="V255" s="3187"/>
      <c r="W255" s="3187"/>
      <c r="X255" s="3187"/>
      <c r="Y255" s="3187"/>
      <c r="Z255" s="3187"/>
      <c r="AA255" s="3187"/>
      <c r="AB255" s="3187"/>
      <c r="AC255" s="3166">
        <f t="shared" si="152"/>
        <v>0</v>
      </c>
      <c r="AD255" s="3198"/>
      <c r="AE255" s="3198"/>
      <c r="AF255" s="3198"/>
      <c r="AG255" s="3198"/>
      <c r="AH255" s="3198"/>
      <c r="AI255" s="3198"/>
      <c r="AJ255" s="3198"/>
      <c r="AK255" s="3198"/>
      <c r="AL255" s="3198"/>
      <c r="AM255" s="3198"/>
      <c r="AN255" s="3198"/>
      <c r="AO255" s="3198"/>
      <c r="AP255" s="3198"/>
      <c r="AQ255" s="3198"/>
      <c r="AR255" s="3198"/>
      <c r="AS255" s="3198"/>
      <c r="AT255" s="3218"/>
      <c r="AU255" s="3219"/>
      <c r="AV255" s="488">
        <f t="shared" si="153"/>
        <v>0</v>
      </c>
      <c r="AW255" s="488">
        <f t="shared" si="154"/>
        <v>0</v>
      </c>
      <c r="AX255" s="488">
        <f t="shared" si="155"/>
        <v>0</v>
      </c>
      <c r="AY255" s="3235">
        <f t="shared" si="156"/>
        <v>0</v>
      </c>
      <c r="AZ255" s="3166">
        <f t="shared" si="157"/>
        <v>0</v>
      </c>
      <c r="BA255" s="3166">
        <f t="shared" si="158"/>
        <v>0</v>
      </c>
      <c r="BB255" s="3166">
        <f t="shared" si="159"/>
        <v>0</v>
      </c>
      <c r="BC255" s="3166">
        <f t="shared" si="160"/>
        <v>0</v>
      </c>
      <c r="BD255" s="3166">
        <f t="shared" si="161"/>
        <v>0</v>
      </c>
      <c r="BE255" s="3166">
        <f t="shared" si="162"/>
        <v>0</v>
      </c>
      <c r="BF255" s="3166">
        <f t="shared" si="163"/>
        <v>0</v>
      </c>
      <c r="BG255" s="3166">
        <f t="shared" si="164"/>
        <v>0</v>
      </c>
      <c r="BH255" s="3166">
        <f t="shared" si="165"/>
        <v>0</v>
      </c>
      <c r="BI255" s="3166">
        <f t="shared" si="166"/>
        <v>0</v>
      </c>
      <c r="BJ255" s="3166">
        <f t="shared" si="167"/>
        <v>0</v>
      </c>
      <c r="BK255" s="3166">
        <f t="shared" si="168"/>
        <v>0</v>
      </c>
      <c r="BL255" s="3166">
        <f t="shared" si="169"/>
        <v>0</v>
      </c>
      <c r="BM255" s="3166">
        <f t="shared" si="170"/>
        <v>0</v>
      </c>
      <c r="BN255" s="3166">
        <f t="shared" si="171"/>
        <v>0</v>
      </c>
      <c r="BO255" s="3166">
        <f t="shared" si="172"/>
        <v>0</v>
      </c>
      <c r="BP255" s="3166">
        <f t="shared" si="173"/>
        <v>0</v>
      </c>
      <c r="BQ255" s="3166">
        <f t="shared" si="174"/>
        <v>0</v>
      </c>
      <c r="BR255" s="3166">
        <f t="shared" si="175"/>
        <v>0</v>
      </c>
      <c r="BS255" s="3166">
        <f t="shared" si="176"/>
        <v>0</v>
      </c>
      <c r="BT255" s="3240">
        <f t="shared" si="177"/>
        <v>0</v>
      </c>
    </row>
    <row r="256" spans="1:72">
      <c r="A256" s="3163"/>
      <c r="B256" s="3164"/>
      <c r="C256" s="3164"/>
      <c r="D256" s="3176"/>
      <c r="E256" s="3166">
        <f t="shared" si="149"/>
        <v>0</v>
      </c>
      <c r="F256" s="3167"/>
      <c r="G256" s="3168">
        <f t="shared" si="150"/>
        <v>0</v>
      </c>
      <c r="H256" s="3169">
        <f t="shared" si="151"/>
        <v>0</v>
      </c>
      <c r="I256" s="3187"/>
      <c r="J256" s="3187"/>
      <c r="K256" s="3187"/>
      <c r="L256" s="3187"/>
      <c r="M256" s="3187"/>
      <c r="N256" s="3187"/>
      <c r="O256" s="3187"/>
      <c r="P256" s="3187"/>
      <c r="Q256" s="3187"/>
      <c r="R256" s="3187"/>
      <c r="S256" s="3187"/>
      <c r="T256" s="3187"/>
      <c r="U256" s="3187"/>
      <c r="V256" s="3187"/>
      <c r="W256" s="3187"/>
      <c r="X256" s="3187"/>
      <c r="Y256" s="3187"/>
      <c r="Z256" s="3187"/>
      <c r="AA256" s="3187"/>
      <c r="AB256" s="3187"/>
      <c r="AC256" s="3166">
        <f t="shared" si="152"/>
        <v>0</v>
      </c>
      <c r="AD256" s="3198"/>
      <c r="AE256" s="3198"/>
      <c r="AF256" s="3198"/>
      <c r="AG256" s="3198"/>
      <c r="AH256" s="3198"/>
      <c r="AI256" s="3198"/>
      <c r="AJ256" s="3198"/>
      <c r="AK256" s="3198"/>
      <c r="AL256" s="3198"/>
      <c r="AM256" s="3198"/>
      <c r="AN256" s="3198"/>
      <c r="AO256" s="3198"/>
      <c r="AP256" s="3198"/>
      <c r="AQ256" s="3198"/>
      <c r="AR256" s="3198"/>
      <c r="AS256" s="3198"/>
      <c r="AT256" s="3218"/>
      <c r="AU256" s="3219"/>
      <c r="AV256" s="488">
        <f t="shared" si="153"/>
        <v>0</v>
      </c>
      <c r="AW256" s="488">
        <f t="shared" si="154"/>
        <v>0</v>
      </c>
      <c r="AX256" s="488">
        <f t="shared" si="155"/>
        <v>0</v>
      </c>
      <c r="AY256" s="3235">
        <f t="shared" si="156"/>
        <v>0</v>
      </c>
      <c r="AZ256" s="3166">
        <f t="shared" si="157"/>
        <v>0</v>
      </c>
      <c r="BA256" s="3166">
        <f t="shared" si="158"/>
        <v>0</v>
      </c>
      <c r="BB256" s="3166">
        <f t="shared" si="159"/>
        <v>0</v>
      </c>
      <c r="BC256" s="3166">
        <f t="shared" si="160"/>
        <v>0</v>
      </c>
      <c r="BD256" s="3166">
        <f t="shared" si="161"/>
        <v>0</v>
      </c>
      <c r="BE256" s="3166">
        <f t="shared" si="162"/>
        <v>0</v>
      </c>
      <c r="BF256" s="3166">
        <f t="shared" si="163"/>
        <v>0</v>
      </c>
      <c r="BG256" s="3166">
        <f t="shared" si="164"/>
        <v>0</v>
      </c>
      <c r="BH256" s="3166">
        <f t="shared" si="165"/>
        <v>0</v>
      </c>
      <c r="BI256" s="3166">
        <f t="shared" si="166"/>
        <v>0</v>
      </c>
      <c r="BJ256" s="3166">
        <f t="shared" si="167"/>
        <v>0</v>
      </c>
      <c r="BK256" s="3166">
        <f t="shared" si="168"/>
        <v>0</v>
      </c>
      <c r="BL256" s="3166">
        <f t="shared" si="169"/>
        <v>0</v>
      </c>
      <c r="BM256" s="3166">
        <f t="shared" si="170"/>
        <v>0</v>
      </c>
      <c r="BN256" s="3166">
        <f t="shared" si="171"/>
        <v>0</v>
      </c>
      <c r="BO256" s="3166">
        <f t="shared" si="172"/>
        <v>0</v>
      </c>
      <c r="BP256" s="3166">
        <f t="shared" si="173"/>
        <v>0</v>
      </c>
      <c r="BQ256" s="3166">
        <f t="shared" si="174"/>
        <v>0</v>
      </c>
      <c r="BR256" s="3166">
        <f t="shared" si="175"/>
        <v>0</v>
      </c>
      <c r="BS256" s="3166">
        <f t="shared" si="176"/>
        <v>0</v>
      </c>
      <c r="BT256" s="3240">
        <f t="shared" si="177"/>
        <v>0</v>
      </c>
    </row>
    <row r="257" spans="1:72">
      <c r="A257" s="3163"/>
      <c r="B257" s="3164"/>
      <c r="C257" s="3164"/>
      <c r="D257" s="3176"/>
      <c r="E257" s="3166">
        <f t="shared" si="149"/>
        <v>0</v>
      </c>
      <c r="F257" s="3167"/>
      <c r="G257" s="3168">
        <f t="shared" si="150"/>
        <v>0</v>
      </c>
      <c r="H257" s="3169">
        <f t="shared" si="151"/>
        <v>0</v>
      </c>
      <c r="I257" s="3187"/>
      <c r="J257" s="3187"/>
      <c r="K257" s="3187"/>
      <c r="L257" s="3187"/>
      <c r="M257" s="3187"/>
      <c r="N257" s="3187"/>
      <c r="O257" s="3187"/>
      <c r="P257" s="3187"/>
      <c r="Q257" s="3187"/>
      <c r="R257" s="3187"/>
      <c r="S257" s="3187"/>
      <c r="T257" s="3187"/>
      <c r="U257" s="3187"/>
      <c r="V257" s="3187"/>
      <c r="W257" s="3187"/>
      <c r="X257" s="3187"/>
      <c r="Y257" s="3187"/>
      <c r="Z257" s="3187"/>
      <c r="AA257" s="3187"/>
      <c r="AB257" s="3187"/>
      <c r="AC257" s="3166">
        <f t="shared" si="152"/>
        <v>0</v>
      </c>
      <c r="AD257" s="3198"/>
      <c r="AE257" s="3198"/>
      <c r="AF257" s="3198"/>
      <c r="AG257" s="3198"/>
      <c r="AH257" s="3198"/>
      <c r="AI257" s="3198"/>
      <c r="AJ257" s="3198"/>
      <c r="AK257" s="3198"/>
      <c r="AL257" s="3198"/>
      <c r="AM257" s="3198"/>
      <c r="AN257" s="3198"/>
      <c r="AO257" s="3198"/>
      <c r="AP257" s="3198"/>
      <c r="AQ257" s="3198"/>
      <c r="AR257" s="3198"/>
      <c r="AS257" s="3198"/>
      <c r="AT257" s="3218"/>
      <c r="AU257" s="3219"/>
      <c r="AV257" s="488">
        <f t="shared" si="153"/>
        <v>0</v>
      </c>
      <c r="AW257" s="488">
        <f t="shared" si="154"/>
        <v>0</v>
      </c>
      <c r="AX257" s="488">
        <f t="shared" si="155"/>
        <v>0</v>
      </c>
      <c r="AY257" s="3235">
        <f t="shared" si="156"/>
        <v>0</v>
      </c>
      <c r="AZ257" s="3166">
        <f t="shared" si="157"/>
        <v>0</v>
      </c>
      <c r="BA257" s="3166">
        <f t="shared" si="158"/>
        <v>0</v>
      </c>
      <c r="BB257" s="3166">
        <f t="shared" si="159"/>
        <v>0</v>
      </c>
      <c r="BC257" s="3166">
        <f t="shared" si="160"/>
        <v>0</v>
      </c>
      <c r="BD257" s="3166">
        <f t="shared" si="161"/>
        <v>0</v>
      </c>
      <c r="BE257" s="3166">
        <f t="shared" si="162"/>
        <v>0</v>
      </c>
      <c r="BF257" s="3166">
        <f t="shared" si="163"/>
        <v>0</v>
      </c>
      <c r="BG257" s="3166">
        <f t="shared" si="164"/>
        <v>0</v>
      </c>
      <c r="BH257" s="3166">
        <f t="shared" si="165"/>
        <v>0</v>
      </c>
      <c r="BI257" s="3166">
        <f t="shared" si="166"/>
        <v>0</v>
      </c>
      <c r="BJ257" s="3166">
        <f t="shared" si="167"/>
        <v>0</v>
      </c>
      <c r="BK257" s="3166">
        <f t="shared" si="168"/>
        <v>0</v>
      </c>
      <c r="BL257" s="3166">
        <f t="shared" si="169"/>
        <v>0</v>
      </c>
      <c r="BM257" s="3166">
        <f t="shared" si="170"/>
        <v>0</v>
      </c>
      <c r="BN257" s="3166">
        <f t="shared" si="171"/>
        <v>0</v>
      </c>
      <c r="BO257" s="3166">
        <f t="shared" si="172"/>
        <v>0</v>
      </c>
      <c r="BP257" s="3166">
        <f t="shared" si="173"/>
        <v>0</v>
      </c>
      <c r="BQ257" s="3166">
        <f t="shared" si="174"/>
        <v>0</v>
      </c>
      <c r="BR257" s="3166">
        <f t="shared" si="175"/>
        <v>0</v>
      </c>
      <c r="BS257" s="3166">
        <f t="shared" si="176"/>
        <v>0</v>
      </c>
      <c r="BT257" s="3240">
        <f t="shared" si="177"/>
        <v>0</v>
      </c>
    </row>
    <row r="258" spans="1:72">
      <c r="A258" s="3163"/>
      <c r="B258" s="3164"/>
      <c r="C258" s="3164"/>
      <c r="D258" s="3176"/>
      <c r="E258" s="3166">
        <f t="shared" si="149"/>
        <v>0</v>
      </c>
      <c r="F258" s="3167"/>
      <c r="G258" s="3168">
        <f t="shared" si="150"/>
        <v>0</v>
      </c>
      <c r="H258" s="3169">
        <f t="shared" si="151"/>
        <v>0</v>
      </c>
      <c r="I258" s="3187"/>
      <c r="J258" s="3187"/>
      <c r="K258" s="3187"/>
      <c r="L258" s="3187"/>
      <c r="M258" s="3187"/>
      <c r="N258" s="3187"/>
      <c r="O258" s="3187"/>
      <c r="P258" s="3187"/>
      <c r="Q258" s="3187"/>
      <c r="R258" s="3187"/>
      <c r="S258" s="3187"/>
      <c r="T258" s="3187"/>
      <c r="U258" s="3187"/>
      <c r="V258" s="3187"/>
      <c r="W258" s="3187"/>
      <c r="X258" s="3187"/>
      <c r="Y258" s="3187"/>
      <c r="Z258" s="3187"/>
      <c r="AA258" s="3187"/>
      <c r="AB258" s="3187"/>
      <c r="AC258" s="3166">
        <f t="shared" si="152"/>
        <v>0</v>
      </c>
      <c r="AD258" s="3198"/>
      <c r="AE258" s="3198"/>
      <c r="AF258" s="3198"/>
      <c r="AG258" s="3198"/>
      <c r="AH258" s="3198"/>
      <c r="AI258" s="3198"/>
      <c r="AJ258" s="3198"/>
      <c r="AK258" s="3198"/>
      <c r="AL258" s="3198"/>
      <c r="AM258" s="3198"/>
      <c r="AN258" s="3198"/>
      <c r="AO258" s="3198"/>
      <c r="AP258" s="3198"/>
      <c r="AQ258" s="3198"/>
      <c r="AR258" s="3198"/>
      <c r="AS258" s="3198"/>
      <c r="AT258" s="3218"/>
      <c r="AU258" s="3219"/>
      <c r="AV258" s="488">
        <f t="shared" si="153"/>
        <v>0</v>
      </c>
      <c r="AW258" s="488">
        <f t="shared" si="154"/>
        <v>0</v>
      </c>
      <c r="AX258" s="488">
        <f t="shared" si="155"/>
        <v>0</v>
      </c>
      <c r="AY258" s="3235">
        <f t="shared" si="156"/>
        <v>0</v>
      </c>
      <c r="AZ258" s="3166">
        <f t="shared" si="157"/>
        <v>0</v>
      </c>
      <c r="BA258" s="3166">
        <f t="shared" si="158"/>
        <v>0</v>
      </c>
      <c r="BB258" s="3166">
        <f t="shared" si="159"/>
        <v>0</v>
      </c>
      <c r="BC258" s="3166">
        <f t="shared" si="160"/>
        <v>0</v>
      </c>
      <c r="BD258" s="3166">
        <f t="shared" si="161"/>
        <v>0</v>
      </c>
      <c r="BE258" s="3166">
        <f t="shared" si="162"/>
        <v>0</v>
      </c>
      <c r="BF258" s="3166">
        <f t="shared" si="163"/>
        <v>0</v>
      </c>
      <c r="BG258" s="3166">
        <f t="shared" si="164"/>
        <v>0</v>
      </c>
      <c r="BH258" s="3166">
        <f t="shared" si="165"/>
        <v>0</v>
      </c>
      <c r="BI258" s="3166">
        <f t="shared" si="166"/>
        <v>0</v>
      </c>
      <c r="BJ258" s="3166">
        <f t="shared" si="167"/>
        <v>0</v>
      </c>
      <c r="BK258" s="3166">
        <f t="shared" si="168"/>
        <v>0</v>
      </c>
      <c r="BL258" s="3166">
        <f t="shared" si="169"/>
        <v>0</v>
      </c>
      <c r="BM258" s="3166">
        <f t="shared" si="170"/>
        <v>0</v>
      </c>
      <c r="BN258" s="3166">
        <f t="shared" si="171"/>
        <v>0</v>
      </c>
      <c r="BO258" s="3166">
        <f t="shared" si="172"/>
        <v>0</v>
      </c>
      <c r="BP258" s="3166">
        <f t="shared" si="173"/>
        <v>0</v>
      </c>
      <c r="BQ258" s="3166">
        <f t="shared" si="174"/>
        <v>0</v>
      </c>
      <c r="BR258" s="3166">
        <f t="shared" si="175"/>
        <v>0</v>
      </c>
      <c r="BS258" s="3166">
        <f t="shared" si="176"/>
        <v>0</v>
      </c>
      <c r="BT258" s="3240">
        <f t="shared" si="177"/>
        <v>0</v>
      </c>
    </row>
    <row r="259" spans="1:72">
      <c r="A259" s="3163"/>
      <c r="B259" s="3164"/>
      <c r="C259" s="3164"/>
      <c r="D259" s="3176"/>
      <c r="E259" s="3166">
        <f t="shared" si="149"/>
        <v>0</v>
      </c>
      <c r="F259" s="3167"/>
      <c r="G259" s="3168">
        <f t="shared" si="150"/>
        <v>0</v>
      </c>
      <c r="H259" s="3169">
        <f t="shared" si="151"/>
        <v>0</v>
      </c>
      <c r="I259" s="3187"/>
      <c r="J259" s="3187"/>
      <c r="K259" s="3187"/>
      <c r="L259" s="3187"/>
      <c r="M259" s="3187"/>
      <c r="N259" s="3187"/>
      <c r="O259" s="3187"/>
      <c r="P259" s="3187"/>
      <c r="Q259" s="3187"/>
      <c r="R259" s="3187"/>
      <c r="S259" s="3187"/>
      <c r="T259" s="3187"/>
      <c r="U259" s="3187"/>
      <c r="V259" s="3187"/>
      <c r="W259" s="3187"/>
      <c r="X259" s="3187"/>
      <c r="Y259" s="3187"/>
      <c r="Z259" s="3187"/>
      <c r="AA259" s="3187"/>
      <c r="AB259" s="3187"/>
      <c r="AC259" s="3166">
        <f t="shared" si="152"/>
        <v>0</v>
      </c>
      <c r="AD259" s="3198"/>
      <c r="AE259" s="3198"/>
      <c r="AF259" s="3198"/>
      <c r="AG259" s="3198"/>
      <c r="AH259" s="3198"/>
      <c r="AI259" s="3198"/>
      <c r="AJ259" s="3198"/>
      <c r="AK259" s="3198"/>
      <c r="AL259" s="3198"/>
      <c r="AM259" s="3198"/>
      <c r="AN259" s="3198"/>
      <c r="AO259" s="3198"/>
      <c r="AP259" s="3198"/>
      <c r="AQ259" s="3198"/>
      <c r="AR259" s="3198"/>
      <c r="AS259" s="3198"/>
      <c r="AT259" s="3218"/>
      <c r="AU259" s="3219"/>
      <c r="AV259" s="488">
        <f t="shared" si="153"/>
        <v>0</v>
      </c>
      <c r="AW259" s="488">
        <f t="shared" si="154"/>
        <v>0</v>
      </c>
      <c r="AX259" s="488">
        <f t="shared" si="155"/>
        <v>0</v>
      </c>
      <c r="AY259" s="3235">
        <f t="shared" si="156"/>
        <v>0</v>
      </c>
      <c r="AZ259" s="3166">
        <f t="shared" si="157"/>
        <v>0</v>
      </c>
      <c r="BA259" s="3166">
        <f t="shared" si="158"/>
        <v>0</v>
      </c>
      <c r="BB259" s="3166">
        <f t="shared" si="159"/>
        <v>0</v>
      </c>
      <c r="BC259" s="3166">
        <f t="shared" si="160"/>
        <v>0</v>
      </c>
      <c r="BD259" s="3166">
        <f t="shared" si="161"/>
        <v>0</v>
      </c>
      <c r="BE259" s="3166">
        <f t="shared" si="162"/>
        <v>0</v>
      </c>
      <c r="BF259" s="3166">
        <f t="shared" si="163"/>
        <v>0</v>
      </c>
      <c r="BG259" s="3166">
        <f t="shared" si="164"/>
        <v>0</v>
      </c>
      <c r="BH259" s="3166">
        <f t="shared" si="165"/>
        <v>0</v>
      </c>
      <c r="BI259" s="3166">
        <f t="shared" si="166"/>
        <v>0</v>
      </c>
      <c r="BJ259" s="3166">
        <f t="shared" si="167"/>
        <v>0</v>
      </c>
      <c r="BK259" s="3166">
        <f t="shared" si="168"/>
        <v>0</v>
      </c>
      <c r="BL259" s="3166">
        <f t="shared" si="169"/>
        <v>0</v>
      </c>
      <c r="BM259" s="3166">
        <f t="shared" si="170"/>
        <v>0</v>
      </c>
      <c r="BN259" s="3166">
        <f t="shared" si="171"/>
        <v>0</v>
      </c>
      <c r="BO259" s="3166">
        <f t="shared" si="172"/>
        <v>0</v>
      </c>
      <c r="BP259" s="3166">
        <f t="shared" si="173"/>
        <v>0</v>
      </c>
      <c r="BQ259" s="3166">
        <f t="shared" si="174"/>
        <v>0</v>
      </c>
      <c r="BR259" s="3166">
        <f t="shared" si="175"/>
        <v>0</v>
      </c>
      <c r="BS259" s="3166">
        <f t="shared" si="176"/>
        <v>0</v>
      </c>
      <c r="BT259" s="3240">
        <f t="shared" si="177"/>
        <v>0</v>
      </c>
    </row>
    <row r="260" spans="1:72">
      <c r="A260" s="3163"/>
      <c r="B260" s="3164"/>
      <c r="C260" s="3164"/>
      <c r="D260" s="3176"/>
      <c r="E260" s="3166">
        <f t="shared" si="149"/>
        <v>0</v>
      </c>
      <c r="F260" s="3167"/>
      <c r="G260" s="3168">
        <f t="shared" si="150"/>
        <v>0</v>
      </c>
      <c r="H260" s="3169">
        <f t="shared" si="151"/>
        <v>0</v>
      </c>
      <c r="I260" s="3187"/>
      <c r="J260" s="3187"/>
      <c r="K260" s="3187"/>
      <c r="L260" s="3187"/>
      <c r="M260" s="3187"/>
      <c r="N260" s="3187"/>
      <c r="O260" s="3187"/>
      <c r="P260" s="3187"/>
      <c r="Q260" s="3187"/>
      <c r="R260" s="3187"/>
      <c r="S260" s="3187"/>
      <c r="T260" s="3187"/>
      <c r="U260" s="3187"/>
      <c r="V260" s="3187"/>
      <c r="W260" s="3187"/>
      <c r="X260" s="3187"/>
      <c r="Y260" s="3187"/>
      <c r="Z260" s="3187"/>
      <c r="AA260" s="3187"/>
      <c r="AB260" s="3187"/>
      <c r="AC260" s="3166">
        <f t="shared" si="152"/>
        <v>0</v>
      </c>
      <c r="AD260" s="3198"/>
      <c r="AE260" s="3198"/>
      <c r="AF260" s="3198"/>
      <c r="AG260" s="3198"/>
      <c r="AH260" s="3198"/>
      <c r="AI260" s="3198"/>
      <c r="AJ260" s="3198"/>
      <c r="AK260" s="3198"/>
      <c r="AL260" s="3198"/>
      <c r="AM260" s="3198"/>
      <c r="AN260" s="3198"/>
      <c r="AO260" s="3198"/>
      <c r="AP260" s="3198"/>
      <c r="AQ260" s="3198"/>
      <c r="AR260" s="3198"/>
      <c r="AS260" s="3198"/>
      <c r="AT260" s="3218"/>
      <c r="AU260" s="3219"/>
      <c r="AV260" s="488">
        <f t="shared" si="153"/>
        <v>0</v>
      </c>
      <c r="AW260" s="488">
        <f t="shared" si="154"/>
        <v>0</v>
      </c>
      <c r="AX260" s="488">
        <f t="shared" si="155"/>
        <v>0</v>
      </c>
      <c r="AY260" s="3235">
        <f t="shared" si="156"/>
        <v>0</v>
      </c>
      <c r="AZ260" s="3166">
        <f t="shared" si="157"/>
        <v>0</v>
      </c>
      <c r="BA260" s="3166">
        <f t="shared" si="158"/>
        <v>0</v>
      </c>
      <c r="BB260" s="3166">
        <f t="shared" si="159"/>
        <v>0</v>
      </c>
      <c r="BC260" s="3166">
        <f t="shared" si="160"/>
        <v>0</v>
      </c>
      <c r="BD260" s="3166">
        <f t="shared" si="161"/>
        <v>0</v>
      </c>
      <c r="BE260" s="3166">
        <f t="shared" si="162"/>
        <v>0</v>
      </c>
      <c r="BF260" s="3166">
        <f t="shared" si="163"/>
        <v>0</v>
      </c>
      <c r="BG260" s="3166">
        <f t="shared" si="164"/>
        <v>0</v>
      </c>
      <c r="BH260" s="3166">
        <f t="shared" si="165"/>
        <v>0</v>
      </c>
      <c r="BI260" s="3166">
        <f t="shared" si="166"/>
        <v>0</v>
      </c>
      <c r="BJ260" s="3166">
        <f t="shared" si="167"/>
        <v>0</v>
      </c>
      <c r="BK260" s="3166">
        <f t="shared" si="168"/>
        <v>0</v>
      </c>
      <c r="BL260" s="3166">
        <f t="shared" si="169"/>
        <v>0</v>
      </c>
      <c r="BM260" s="3166">
        <f t="shared" si="170"/>
        <v>0</v>
      </c>
      <c r="BN260" s="3166">
        <f t="shared" si="171"/>
        <v>0</v>
      </c>
      <c r="BO260" s="3166">
        <f t="shared" si="172"/>
        <v>0</v>
      </c>
      <c r="BP260" s="3166">
        <f t="shared" si="173"/>
        <v>0</v>
      </c>
      <c r="BQ260" s="3166">
        <f t="shared" si="174"/>
        <v>0</v>
      </c>
      <c r="BR260" s="3166">
        <f t="shared" si="175"/>
        <v>0</v>
      </c>
      <c r="BS260" s="3166">
        <f t="shared" si="176"/>
        <v>0</v>
      </c>
      <c r="BT260" s="3240">
        <f t="shared" si="177"/>
        <v>0</v>
      </c>
    </row>
    <row r="261" spans="1:72">
      <c r="A261" s="3163"/>
      <c r="B261" s="3164"/>
      <c r="C261" s="3164"/>
      <c r="D261" s="3176"/>
      <c r="E261" s="3166">
        <f t="shared" si="149"/>
        <v>0</v>
      </c>
      <c r="F261" s="3167"/>
      <c r="G261" s="3168">
        <f t="shared" si="150"/>
        <v>0</v>
      </c>
      <c r="H261" s="3169">
        <f t="shared" si="151"/>
        <v>0</v>
      </c>
      <c r="I261" s="3187"/>
      <c r="J261" s="3187"/>
      <c r="K261" s="3187"/>
      <c r="L261" s="3187"/>
      <c r="M261" s="3187"/>
      <c r="N261" s="3187"/>
      <c r="O261" s="3187"/>
      <c r="P261" s="3187"/>
      <c r="Q261" s="3187"/>
      <c r="R261" s="3187"/>
      <c r="S261" s="3187"/>
      <c r="T261" s="3187"/>
      <c r="U261" s="3187"/>
      <c r="V261" s="3187"/>
      <c r="W261" s="3187"/>
      <c r="X261" s="3187"/>
      <c r="Y261" s="3187"/>
      <c r="Z261" s="3187"/>
      <c r="AA261" s="3187"/>
      <c r="AB261" s="3187"/>
      <c r="AC261" s="3166">
        <f t="shared" si="152"/>
        <v>0</v>
      </c>
      <c r="AD261" s="3198"/>
      <c r="AE261" s="3198"/>
      <c r="AF261" s="3198"/>
      <c r="AG261" s="3198"/>
      <c r="AH261" s="3198"/>
      <c r="AI261" s="3198"/>
      <c r="AJ261" s="3198"/>
      <c r="AK261" s="3198"/>
      <c r="AL261" s="3198"/>
      <c r="AM261" s="3198"/>
      <c r="AN261" s="3198"/>
      <c r="AO261" s="3198"/>
      <c r="AP261" s="3198"/>
      <c r="AQ261" s="3198"/>
      <c r="AR261" s="3198"/>
      <c r="AS261" s="3198"/>
      <c r="AT261" s="3218"/>
      <c r="AU261" s="3219"/>
      <c r="AV261" s="488">
        <f t="shared" si="153"/>
        <v>0</v>
      </c>
      <c r="AW261" s="488">
        <f t="shared" si="154"/>
        <v>0</v>
      </c>
      <c r="AX261" s="488">
        <f t="shared" si="155"/>
        <v>0</v>
      </c>
      <c r="AY261" s="3235">
        <f t="shared" si="156"/>
        <v>0</v>
      </c>
      <c r="AZ261" s="3166">
        <f t="shared" si="157"/>
        <v>0</v>
      </c>
      <c r="BA261" s="3166">
        <f t="shared" si="158"/>
        <v>0</v>
      </c>
      <c r="BB261" s="3166">
        <f t="shared" si="159"/>
        <v>0</v>
      </c>
      <c r="BC261" s="3166">
        <f t="shared" si="160"/>
        <v>0</v>
      </c>
      <c r="BD261" s="3166">
        <f t="shared" si="161"/>
        <v>0</v>
      </c>
      <c r="BE261" s="3166">
        <f t="shared" si="162"/>
        <v>0</v>
      </c>
      <c r="BF261" s="3166">
        <f t="shared" si="163"/>
        <v>0</v>
      </c>
      <c r="BG261" s="3166">
        <f t="shared" si="164"/>
        <v>0</v>
      </c>
      <c r="BH261" s="3166">
        <f t="shared" si="165"/>
        <v>0</v>
      </c>
      <c r="BI261" s="3166">
        <f t="shared" si="166"/>
        <v>0</v>
      </c>
      <c r="BJ261" s="3166">
        <f t="shared" si="167"/>
        <v>0</v>
      </c>
      <c r="BK261" s="3166">
        <f t="shared" si="168"/>
        <v>0</v>
      </c>
      <c r="BL261" s="3166">
        <f t="shared" si="169"/>
        <v>0</v>
      </c>
      <c r="BM261" s="3166">
        <f t="shared" si="170"/>
        <v>0</v>
      </c>
      <c r="BN261" s="3166">
        <f t="shared" si="171"/>
        <v>0</v>
      </c>
      <c r="BO261" s="3166">
        <f t="shared" si="172"/>
        <v>0</v>
      </c>
      <c r="BP261" s="3166">
        <f t="shared" si="173"/>
        <v>0</v>
      </c>
      <c r="BQ261" s="3166">
        <f t="shared" si="174"/>
        <v>0</v>
      </c>
      <c r="BR261" s="3166">
        <f t="shared" si="175"/>
        <v>0</v>
      </c>
      <c r="BS261" s="3166">
        <f t="shared" si="176"/>
        <v>0</v>
      </c>
      <c r="BT261" s="3240">
        <f t="shared" si="177"/>
        <v>0</v>
      </c>
    </row>
    <row r="262" spans="1:72">
      <c r="A262" s="3163"/>
      <c r="B262" s="3164"/>
      <c r="C262" s="3164"/>
      <c r="D262" s="3176"/>
      <c r="E262" s="3166">
        <f t="shared" si="149"/>
        <v>0</v>
      </c>
      <c r="F262" s="3167"/>
      <c r="G262" s="3168">
        <f t="shared" si="150"/>
        <v>0</v>
      </c>
      <c r="H262" s="3169">
        <f t="shared" si="151"/>
        <v>0</v>
      </c>
      <c r="I262" s="3187"/>
      <c r="J262" s="3187"/>
      <c r="K262" s="3187"/>
      <c r="L262" s="3187"/>
      <c r="M262" s="3187"/>
      <c r="N262" s="3187"/>
      <c r="O262" s="3187"/>
      <c r="P262" s="3187"/>
      <c r="Q262" s="3187"/>
      <c r="R262" s="3187"/>
      <c r="S262" s="3187"/>
      <c r="T262" s="3187"/>
      <c r="U262" s="3187"/>
      <c r="V262" s="3187"/>
      <c r="W262" s="3187"/>
      <c r="X262" s="3187"/>
      <c r="Y262" s="3187"/>
      <c r="Z262" s="3187"/>
      <c r="AA262" s="3187"/>
      <c r="AB262" s="3187"/>
      <c r="AC262" s="3166">
        <f t="shared" si="152"/>
        <v>0</v>
      </c>
      <c r="AD262" s="3198"/>
      <c r="AE262" s="3198"/>
      <c r="AF262" s="3198"/>
      <c r="AG262" s="3198"/>
      <c r="AH262" s="3198"/>
      <c r="AI262" s="3198"/>
      <c r="AJ262" s="3198"/>
      <c r="AK262" s="3198"/>
      <c r="AL262" s="3198"/>
      <c r="AM262" s="3198"/>
      <c r="AN262" s="3198"/>
      <c r="AO262" s="3198"/>
      <c r="AP262" s="3198"/>
      <c r="AQ262" s="3198"/>
      <c r="AR262" s="3198"/>
      <c r="AS262" s="3198"/>
      <c r="AT262" s="3218"/>
      <c r="AU262" s="3219"/>
      <c r="AV262" s="488">
        <f t="shared" si="153"/>
        <v>0</v>
      </c>
      <c r="AW262" s="488">
        <f t="shared" si="154"/>
        <v>0</v>
      </c>
      <c r="AX262" s="488">
        <f t="shared" si="155"/>
        <v>0</v>
      </c>
      <c r="AY262" s="3235">
        <f t="shared" si="156"/>
        <v>0</v>
      </c>
      <c r="AZ262" s="3166">
        <f t="shared" si="157"/>
        <v>0</v>
      </c>
      <c r="BA262" s="3166">
        <f t="shared" si="158"/>
        <v>0</v>
      </c>
      <c r="BB262" s="3166">
        <f t="shared" si="159"/>
        <v>0</v>
      </c>
      <c r="BC262" s="3166">
        <f t="shared" si="160"/>
        <v>0</v>
      </c>
      <c r="BD262" s="3166">
        <f t="shared" si="161"/>
        <v>0</v>
      </c>
      <c r="BE262" s="3166">
        <f t="shared" si="162"/>
        <v>0</v>
      </c>
      <c r="BF262" s="3166">
        <f t="shared" si="163"/>
        <v>0</v>
      </c>
      <c r="BG262" s="3166">
        <f t="shared" si="164"/>
        <v>0</v>
      </c>
      <c r="BH262" s="3166">
        <f t="shared" si="165"/>
        <v>0</v>
      </c>
      <c r="BI262" s="3166">
        <f t="shared" si="166"/>
        <v>0</v>
      </c>
      <c r="BJ262" s="3166">
        <f t="shared" si="167"/>
        <v>0</v>
      </c>
      <c r="BK262" s="3166">
        <f t="shared" si="168"/>
        <v>0</v>
      </c>
      <c r="BL262" s="3166">
        <f t="shared" si="169"/>
        <v>0</v>
      </c>
      <c r="BM262" s="3166">
        <f t="shared" si="170"/>
        <v>0</v>
      </c>
      <c r="BN262" s="3166">
        <f t="shared" si="171"/>
        <v>0</v>
      </c>
      <c r="BO262" s="3166">
        <f t="shared" si="172"/>
        <v>0</v>
      </c>
      <c r="BP262" s="3166">
        <f t="shared" si="173"/>
        <v>0</v>
      </c>
      <c r="BQ262" s="3166">
        <f t="shared" si="174"/>
        <v>0</v>
      </c>
      <c r="BR262" s="3166">
        <f t="shared" si="175"/>
        <v>0</v>
      </c>
      <c r="BS262" s="3166">
        <f t="shared" si="176"/>
        <v>0</v>
      </c>
      <c r="BT262" s="3240">
        <f t="shared" si="177"/>
        <v>0</v>
      </c>
    </row>
    <row r="263" spans="1:72">
      <c r="A263" s="3163"/>
      <c r="B263" s="3164"/>
      <c r="C263" s="3164"/>
      <c r="D263" s="3176"/>
      <c r="E263" s="3166">
        <f t="shared" si="149"/>
        <v>0</v>
      </c>
      <c r="F263" s="3167"/>
      <c r="G263" s="3168">
        <f t="shared" si="150"/>
        <v>0</v>
      </c>
      <c r="H263" s="3169">
        <f t="shared" si="151"/>
        <v>0</v>
      </c>
      <c r="I263" s="3187"/>
      <c r="J263" s="3187"/>
      <c r="K263" s="3187"/>
      <c r="L263" s="3187"/>
      <c r="M263" s="3187"/>
      <c r="N263" s="3187"/>
      <c r="O263" s="3187"/>
      <c r="P263" s="3187"/>
      <c r="Q263" s="3187"/>
      <c r="R263" s="3187"/>
      <c r="S263" s="3187"/>
      <c r="T263" s="3187"/>
      <c r="U263" s="3187"/>
      <c r="V263" s="3187"/>
      <c r="W263" s="3187"/>
      <c r="X263" s="3187"/>
      <c r="Y263" s="3187"/>
      <c r="Z263" s="3187"/>
      <c r="AA263" s="3187"/>
      <c r="AB263" s="3187"/>
      <c r="AC263" s="3166">
        <f t="shared" si="152"/>
        <v>0</v>
      </c>
      <c r="AD263" s="3198"/>
      <c r="AE263" s="3198"/>
      <c r="AF263" s="3198"/>
      <c r="AG263" s="3198"/>
      <c r="AH263" s="3198"/>
      <c r="AI263" s="3198"/>
      <c r="AJ263" s="3198"/>
      <c r="AK263" s="3198"/>
      <c r="AL263" s="3198"/>
      <c r="AM263" s="3198"/>
      <c r="AN263" s="3198"/>
      <c r="AO263" s="3198"/>
      <c r="AP263" s="3198"/>
      <c r="AQ263" s="3198"/>
      <c r="AR263" s="3198"/>
      <c r="AS263" s="3198"/>
      <c r="AT263" s="3218"/>
      <c r="AU263" s="3219"/>
      <c r="AV263" s="488">
        <f t="shared" si="153"/>
        <v>0</v>
      </c>
      <c r="AW263" s="488">
        <f t="shared" si="154"/>
        <v>0</v>
      </c>
      <c r="AX263" s="488">
        <f t="shared" si="155"/>
        <v>0</v>
      </c>
      <c r="AY263" s="3235">
        <f t="shared" si="156"/>
        <v>0</v>
      </c>
      <c r="AZ263" s="3166">
        <f t="shared" si="157"/>
        <v>0</v>
      </c>
      <c r="BA263" s="3166">
        <f t="shared" si="158"/>
        <v>0</v>
      </c>
      <c r="BB263" s="3166">
        <f t="shared" si="159"/>
        <v>0</v>
      </c>
      <c r="BC263" s="3166">
        <f t="shared" si="160"/>
        <v>0</v>
      </c>
      <c r="BD263" s="3166">
        <f t="shared" si="161"/>
        <v>0</v>
      </c>
      <c r="BE263" s="3166">
        <f t="shared" si="162"/>
        <v>0</v>
      </c>
      <c r="BF263" s="3166">
        <f t="shared" si="163"/>
        <v>0</v>
      </c>
      <c r="BG263" s="3166">
        <f t="shared" si="164"/>
        <v>0</v>
      </c>
      <c r="BH263" s="3166">
        <f t="shared" si="165"/>
        <v>0</v>
      </c>
      <c r="BI263" s="3166">
        <f t="shared" si="166"/>
        <v>0</v>
      </c>
      <c r="BJ263" s="3166">
        <f t="shared" si="167"/>
        <v>0</v>
      </c>
      <c r="BK263" s="3166">
        <f t="shared" si="168"/>
        <v>0</v>
      </c>
      <c r="BL263" s="3166">
        <f t="shared" si="169"/>
        <v>0</v>
      </c>
      <c r="BM263" s="3166">
        <f t="shared" si="170"/>
        <v>0</v>
      </c>
      <c r="BN263" s="3166">
        <f t="shared" si="171"/>
        <v>0</v>
      </c>
      <c r="BO263" s="3166">
        <f t="shared" si="172"/>
        <v>0</v>
      </c>
      <c r="BP263" s="3166">
        <f t="shared" si="173"/>
        <v>0</v>
      </c>
      <c r="BQ263" s="3166">
        <f t="shared" si="174"/>
        <v>0</v>
      </c>
      <c r="BR263" s="3166">
        <f t="shared" si="175"/>
        <v>0</v>
      </c>
      <c r="BS263" s="3166">
        <f t="shared" si="176"/>
        <v>0</v>
      </c>
      <c r="BT263" s="3240">
        <f t="shared" si="177"/>
        <v>0</v>
      </c>
    </row>
    <row r="264" spans="1:72">
      <c r="A264" s="3163"/>
      <c r="B264" s="3164"/>
      <c r="C264" s="3164"/>
      <c r="D264" s="3176"/>
      <c r="E264" s="3166">
        <f t="shared" si="149"/>
        <v>0</v>
      </c>
      <c r="F264" s="3167"/>
      <c r="G264" s="3168">
        <f t="shared" si="150"/>
        <v>0</v>
      </c>
      <c r="H264" s="3169">
        <f t="shared" si="151"/>
        <v>0</v>
      </c>
      <c r="I264" s="3187"/>
      <c r="J264" s="3187"/>
      <c r="K264" s="3187"/>
      <c r="L264" s="3187"/>
      <c r="M264" s="3187"/>
      <c r="N264" s="3187"/>
      <c r="O264" s="3187"/>
      <c r="P264" s="3187"/>
      <c r="Q264" s="3187"/>
      <c r="R264" s="3187"/>
      <c r="S264" s="3187"/>
      <c r="T264" s="3187"/>
      <c r="U264" s="3187"/>
      <c r="V264" s="3187"/>
      <c r="W264" s="3187"/>
      <c r="X264" s="3187"/>
      <c r="Y264" s="3187"/>
      <c r="Z264" s="3187"/>
      <c r="AA264" s="3187"/>
      <c r="AB264" s="3187"/>
      <c r="AC264" s="3166">
        <f t="shared" si="152"/>
        <v>0</v>
      </c>
      <c r="AD264" s="3198"/>
      <c r="AE264" s="3198"/>
      <c r="AF264" s="3198"/>
      <c r="AG264" s="3198"/>
      <c r="AH264" s="3198"/>
      <c r="AI264" s="3198"/>
      <c r="AJ264" s="3198"/>
      <c r="AK264" s="3198"/>
      <c r="AL264" s="3198"/>
      <c r="AM264" s="3198"/>
      <c r="AN264" s="3198"/>
      <c r="AO264" s="3198"/>
      <c r="AP264" s="3198"/>
      <c r="AQ264" s="3198"/>
      <c r="AR264" s="3198"/>
      <c r="AS264" s="3198"/>
      <c r="AT264" s="3218"/>
      <c r="AU264" s="3219"/>
      <c r="AV264" s="488">
        <f t="shared" si="153"/>
        <v>0</v>
      </c>
      <c r="AW264" s="488">
        <f t="shared" si="154"/>
        <v>0</v>
      </c>
      <c r="AX264" s="488">
        <f t="shared" si="155"/>
        <v>0</v>
      </c>
      <c r="AY264" s="3235">
        <f t="shared" si="156"/>
        <v>0</v>
      </c>
      <c r="AZ264" s="3166">
        <f t="shared" si="157"/>
        <v>0</v>
      </c>
      <c r="BA264" s="3166">
        <f t="shared" si="158"/>
        <v>0</v>
      </c>
      <c r="BB264" s="3166">
        <f t="shared" si="159"/>
        <v>0</v>
      </c>
      <c r="BC264" s="3166">
        <f t="shared" si="160"/>
        <v>0</v>
      </c>
      <c r="BD264" s="3166">
        <f t="shared" si="161"/>
        <v>0</v>
      </c>
      <c r="BE264" s="3166">
        <f t="shared" si="162"/>
        <v>0</v>
      </c>
      <c r="BF264" s="3166">
        <f t="shared" si="163"/>
        <v>0</v>
      </c>
      <c r="BG264" s="3166">
        <f t="shared" si="164"/>
        <v>0</v>
      </c>
      <c r="BH264" s="3166">
        <f t="shared" si="165"/>
        <v>0</v>
      </c>
      <c r="BI264" s="3166">
        <f t="shared" si="166"/>
        <v>0</v>
      </c>
      <c r="BJ264" s="3166">
        <f t="shared" si="167"/>
        <v>0</v>
      </c>
      <c r="BK264" s="3166">
        <f t="shared" si="168"/>
        <v>0</v>
      </c>
      <c r="BL264" s="3166">
        <f t="shared" si="169"/>
        <v>0</v>
      </c>
      <c r="BM264" s="3166">
        <f t="shared" si="170"/>
        <v>0</v>
      </c>
      <c r="BN264" s="3166">
        <f t="shared" si="171"/>
        <v>0</v>
      </c>
      <c r="BO264" s="3166">
        <f t="shared" si="172"/>
        <v>0</v>
      </c>
      <c r="BP264" s="3166">
        <f t="shared" si="173"/>
        <v>0</v>
      </c>
      <c r="BQ264" s="3166">
        <f t="shared" si="174"/>
        <v>0</v>
      </c>
      <c r="BR264" s="3166">
        <f t="shared" si="175"/>
        <v>0</v>
      </c>
      <c r="BS264" s="3166">
        <f t="shared" si="176"/>
        <v>0</v>
      </c>
      <c r="BT264" s="3240">
        <f t="shared" si="177"/>
        <v>0</v>
      </c>
    </row>
    <row r="265" spans="1:72">
      <c r="A265" s="3163"/>
      <c r="B265" s="3164"/>
      <c r="C265" s="3164"/>
      <c r="D265" s="3176"/>
      <c r="E265" s="3166">
        <f t="shared" si="149"/>
        <v>0</v>
      </c>
      <c r="F265" s="3167"/>
      <c r="G265" s="3168">
        <f t="shared" si="150"/>
        <v>0</v>
      </c>
      <c r="H265" s="3169">
        <f t="shared" si="151"/>
        <v>0</v>
      </c>
      <c r="I265" s="3187"/>
      <c r="J265" s="3187"/>
      <c r="K265" s="3187"/>
      <c r="L265" s="3187"/>
      <c r="M265" s="3187"/>
      <c r="N265" s="3187"/>
      <c r="O265" s="3187"/>
      <c r="P265" s="3187"/>
      <c r="Q265" s="3187"/>
      <c r="R265" s="3187"/>
      <c r="S265" s="3187"/>
      <c r="T265" s="3187"/>
      <c r="U265" s="3187"/>
      <c r="V265" s="3187"/>
      <c r="W265" s="3187"/>
      <c r="X265" s="3187"/>
      <c r="Y265" s="3187"/>
      <c r="Z265" s="3187"/>
      <c r="AA265" s="3187"/>
      <c r="AB265" s="3187"/>
      <c r="AC265" s="3166">
        <f t="shared" si="152"/>
        <v>0</v>
      </c>
      <c r="AD265" s="3198"/>
      <c r="AE265" s="3198"/>
      <c r="AF265" s="3198"/>
      <c r="AG265" s="3198"/>
      <c r="AH265" s="3198"/>
      <c r="AI265" s="3198"/>
      <c r="AJ265" s="3198"/>
      <c r="AK265" s="3198"/>
      <c r="AL265" s="3198"/>
      <c r="AM265" s="3198"/>
      <c r="AN265" s="3198"/>
      <c r="AO265" s="3198"/>
      <c r="AP265" s="3198"/>
      <c r="AQ265" s="3198"/>
      <c r="AR265" s="3198"/>
      <c r="AS265" s="3198"/>
      <c r="AT265" s="3218"/>
      <c r="AU265" s="3219"/>
      <c r="AV265" s="488">
        <f t="shared" si="153"/>
        <v>0</v>
      </c>
      <c r="AW265" s="488">
        <f t="shared" si="154"/>
        <v>0</v>
      </c>
      <c r="AX265" s="488">
        <f t="shared" si="155"/>
        <v>0</v>
      </c>
      <c r="AY265" s="3235">
        <f t="shared" si="156"/>
        <v>0</v>
      </c>
      <c r="AZ265" s="3166">
        <f t="shared" si="157"/>
        <v>0</v>
      </c>
      <c r="BA265" s="3166">
        <f t="shared" si="158"/>
        <v>0</v>
      </c>
      <c r="BB265" s="3166">
        <f t="shared" si="159"/>
        <v>0</v>
      </c>
      <c r="BC265" s="3166">
        <f t="shared" si="160"/>
        <v>0</v>
      </c>
      <c r="BD265" s="3166">
        <f t="shared" si="161"/>
        <v>0</v>
      </c>
      <c r="BE265" s="3166">
        <f t="shared" si="162"/>
        <v>0</v>
      </c>
      <c r="BF265" s="3166">
        <f t="shared" si="163"/>
        <v>0</v>
      </c>
      <c r="BG265" s="3166">
        <f t="shared" si="164"/>
        <v>0</v>
      </c>
      <c r="BH265" s="3166">
        <f t="shared" si="165"/>
        <v>0</v>
      </c>
      <c r="BI265" s="3166">
        <f t="shared" si="166"/>
        <v>0</v>
      </c>
      <c r="BJ265" s="3166">
        <f t="shared" si="167"/>
        <v>0</v>
      </c>
      <c r="BK265" s="3166">
        <f t="shared" si="168"/>
        <v>0</v>
      </c>
      <c r="BL265" s="3166">
        <f t="shared" si="169"/>
        <v>0</v>
      </c>
      <c r="BM265" s="3166">
        <f t="shared" si="170"/>
        <v>0</v>
      </c>
      <c r="BN265" s="3166">
        <f t="shared" si="171"/>
        <v>0</v>
      </c>
      <c r="BO265" s="3166">
        <f t="shared" si="172"/>
        <v>0</v>
      </c>
      <c r="BP265" s="3166">
        <f t="shared" si="173"/>
        <v>0</v>
      </c>
      <c r="BQ265" s="3166">
        <f t="shared" si="174"/>
        <v>0</v>
      </c>
      <c r="BR265" s="3166">
        <f t="shared" si="175"/>
        <v>0</v>
      </c>
      <c r="BS265" s="3166">
        <f t="shared" si="176"/>
        <v>0</v>
      </c>
      <c r="BT265" s="3240">
        <f t="shared" si="177"/>
        <v>0</v>
      </c>
    </row>
    <row r="266" spans="1:72">
      <c r="A266" s="3163"/>
      <c r="B266" s="3164"/>
      <c r="C266" s="3164"/>
      <c r="D266" s="3176"/>
      <c r="E266" s="3166">
        <f t="shared" si="149"/>
        <v>0</v>
      </c>
      <c r="F266" s="3167"/>
      <c r="G266" s="3168">
        <f t="shared" si="150"/>
        <v>0</v>
      </c>
      <c r="H266" s="3169">
        <f t="shared" si="151"/>
        <v>0</v>
      </c>
      <c r="I266" s="3187"/>
      <c r="J266" s="3187"/>
      <c r="K266" s="3187"/>
      <c r="L266" s="3187"/>
      <c r="M266" s="3187"/>
      <c r="N266" s="3187"/>
      <c r="O266" s="3187"/>
      <c r="P266" s="3187"/>
      <c r="Q266" s="3187"/>
      <c r="R266" s="3187"/>
      <c r="S266" s="3187"/>
      <c r="T266" s="3187"/>
      <c r="U266" s="3187"/>
      <c r="V266" s="3187"/>
      <c r="W266" s="3187"/>
      <c r="X266" s="3187"/>
      <c r="Y266" s="3187"/>
      <c r="Z266" s="3187"/>
      <c r="AA266" s="3187"/>
      <c r="AB266" s="3187"/>
      <c r="AC266" s="3166">
        <f t="shared" si="152"/>
        <v>0</v>
      </c>
      <c r="AD266" s="3198"/>
      <c r="AE266" s="3198"/>
      <c r="AF266" s="3198"/>
      <c r="AG266" s="3198"/>
      <c r="AH266" s="3198"/>
      <c r="AI266" s="3198"/>
      <c r="AJ266" s="3198"/>
      <c r="AK266" s="3198"/>
      <c r="AL266" s="3198"/>
      <c r="AM266" s="3198"/>
      <c r="AN266" s="3198"/>
      <c r="AO266" s="3198"/>
      <c r="AP266" s="3198"/>
      <c r="AQ266" s="3198"/>
      <c r="AR266" s="3198"/>
      <c r="AS266" s="3198"/>
      <c r="AT266" s="3218"/>
      <c r="AU266" s="3219"/>
      <c r="AV266" s="488">
        <f t="shared" si="153"/>
        <v>0</v>
      </c>
      <c r="AW266" s="488">
        <f t="shared" si="154"/>
        <v>0</v>
      </c>
      <c r="AX266" s="488">
        <f t="shared" si="155"/>
        <v>0</v>
      </c>
      <c r="AY266" s="3235">
        <f t="shared" si="156"/>
        <v>0</v>
      </c>
      <c r="AZ266" s="3166">
        <f t="shared" si="157"/>
        <v>0</v>
      </c>
      <c r="BA266" s="3166">
        <f t="shared" si="158"/>
        <v>0</v>
      </c>
      <c r="BB266" s="3166">
        <f t="shared" si="159"/>
        <v>0</v>
      </c>
      <c r="BC266" s="3166">
        <f t="shared" si="160"/>
        <v>0</v>
      </c>
      <c r="BD266" s="3166">
        <f t="shared" si="161"/>
        <v>0</v>
      </c>
      <c r="BE266" s="3166">
        <f t="shared" si="162"/>
        <v>0</v>
      </c>
      <c r="BF266" s="3166">
        <f t="shared" si="163"/>
        <v>0</v>
      </c>
      <c r="BG266" s="3166">
        <f t="shared" si="164"/>
        <v>0</v>
      </c>
      <c r="BH266" s="3166">
        <f t="shared" si="165"/>
        <v>0</v>
      </c>
      <c r="BI266" s="3166">
        <f t="shared" si="166"/>
        <v>0</v>
      </c>
      <c r="BJ266" s="3166">
        <f t="shared" si="167"/>
        <v>0</v>
      </c>
      <c r="BK266" s="3166">
        <f t="shared" si="168"/>
        <v>0</v>
      </c>
      <c r="BL266" s="3166">
        <f t="shared" si="169"/>
        <v>0</v>
      </c>
      <c r="BM266" s="3166">
        <f t="shared" si="170"/>
        <v>0</v>
      </c>
      <c r="BN266" s="3166">
        <f t="shared" si="171"/>
        <v>0</v>
      </c>
      <c r="BO266" s="3166">
        <f t="shared" si="172"/>
        <v>0</v>
      </c>
      <c r="BP266" s="3166">
        <f t="shared" si="173"/>
        <v>0</v>
      </c>
      <c r="BQ266" s="3166">
        <f t="shared" si="174"/>
        <v>0</v>
      </c>
      <c r="BR266" s="3166">
        <f t="shared" si="175"/>
        <v>0</v>
      </c>
      <c r="BS266" s="3166">
        <f t="shared" si="176"/>
        <v>0</v>
      </c>
      <c r="BT266" s="3240">
        <f t="shared" si="177"/>
        <v>0</v>
      </c>
    </row>
    <row r="267" spans="1:72">
      <c r="A267" s="3163"/>
      <c r="B267" s="3164"/>
      <c r="C267" s="3164"/>
      <c r="D267" s="3176"/>
      <c r="E267" s="3166">
        <f t="shared" si="149"/>
        <v>0</v>
      </c>
      <c r="F267" s="3167"/>
      <c r="G267" s="3168">
        <f t="shared" si="150"/>
        <v>0</v>
      </c>
      <c r="H267" s="3169">
        <f t="shared" si="151"/>
        <v>0</v>
      </c>
      <c r="I267" s="3187"/>
      <c r="J267" s="3187"/>
      <c r="K267" s="3187"/>
      <c r="L267" s="3187"/>
      <c r="M267" s="3187"/>
      <c r="N267" s="3187"/>
      <c r="O267" s="3187"/>
      <c r="P267" s="3187"/>
      <c r="Q267" s="3187"/>
      <c r="R267" s="3187"/>
      <c r="S267" s="3187"/>
      <c r="T267" s="3187"/>
      <c r="U267" s="3187"/>
      <c r="V267" s="3187"/>
      <c r="W267" s="3187"/>
      <c r="X267" s="3187"/>
      <c r="Y267" s="3187"/>
      <c r="Z267" s="3187"/>
      <c r="AA267" s="3187"/>
      <c r="AB267" s="3187"/>
      <c r="AC267" s="3166">
        <f t="shared" si="152"/>
        <v>0</v>
      </c>
      <c r="AD267" s="3198"/>
      <c r="AE267" s="3198"/>
      <c r="AF267" s="3198"/>
      <c r="AG267" s="3198"/>
      <c r="AH267" s="3198"/>
      <c r="AI267" s="3198"/>
      <c r="AJ267" s="3198"/>
      <c r="AK267" s="3198"/>
      <c r="AL267" s="3198"/>
      <c r="AM267" s="3198"/>
      <c r="AN267" s="3198"/>
      <c r="AO267" s="3198"/>
      <c r="AP267" s="3198"/>
      <c r="AQ267" s="3198"/>
      <c r="AR267" s="3198"/>
      <c r="AS267" s="3198"/>
      <c r="AT267" s="3218"/>
      <c r="AU267" s="3219"/>
      <c r="AV267" s="488">
        <f t="shared" si="153"/>
        <v>0</v>
      </c>
      <c r="AW267" s="488">
        <f t="shared" si="154"/>
        <v>0</v>
      </c>
      <c r="AX267" s="488">
        <f t="shared" si="155"/>
        <v>0</v>
      </c>
      <c r="AY267" s="3235">
        <f t="shared" si="156"/>
        <v>0</v>
      </c>
      <c r="AZ267" s="3166">
        <f t="shared" si="157"/>
        <v>0</v>
      </c>
      <c r="BA267" s="3166">
        <f t="shared" si="158"/>
        <v>0</v>
      </c>
      <c r="BB267" s="3166">
        <f t="shared" si="159"/>
        <v>0</v>
      </c>
      <c r="BC267" s="3166">
        <f t="shared" si="160"/>
        <v>0</v>
      </c>
      <c r="BD267" s="3166">
        <f t="shared" si="161"/>
        <v>0</v>
      </c>
      <c r="BE267" s="3166">
        <f t="shared" si="162"/>
        <v>0</v>
      </c>
      <c r="BF267" s="3166">
        <f t="shared" si="163"/>
        <v>0</v>
      </c>
      <c r="BG267" s="3166">
        <f t="shared" si="164"/>
        <v>0</v>
      </c>
      <c r="BH267" s="3166">
        <f t="shared" si="165"/>
        <v>0</v>
      </c>
      <c r="BI267" s="3166">
        <f t="shared" si="166"/>
        <v>0</v>
      </c>
      <c r="BJ267" s="3166">
        <f t="shared" si="167"/>
        <v>0</v>
      </c>
      <c r="BK267" s="3166">
        <f t="shared" si="168"/>
        <v>0</v>
      </c>
      <c r="BL267" s="3166">
        <f t="shared" si="169"/>
        <v>0</v>
      </c>
      <c r="BM267" s="3166">
        <f t="shared" si="170"/>
        <v>0</v>
      </c>
      <c r="BN267" s="3166">
        <f t="shared" si="171"/>
        <v>0</v>
      </c>
      <c r="BO267" s="3166">
        <f t="shared" si="172"/>
        <v>0</v>
      </c>
      <c r="BP267" s="3166">
        <f t="shared" si="173"/>
        <v>0</v>
      </c>
      <c r="BQ267" s="3166">
        <f t="shared" si="174"/>
        <v>0</v>
      </c>
      <c r="BR267" s="3166">
        <f t="shared" si="175"/>
        <v>0</v>
      </c>
      <c r="BS267" s="3166">
        <f t="shared" si="176"/>
        <v>0</v>
      </c>
      <c r="BT267" s="3240">
        <f t="shared" si="177"/>
        <v>0</v>
      </c>
    </row>
    <row r="268" spans="1:72">
      <c r="A268" s="3163"/>
      <c r="B268" s="3164"/>
      <c r="C268" s="3164"/>
      <c r="D268" s="3176"/>
      <c r="E268" s="3166">
        <f t="shared" si="149"/>
        <v>0</v>
      </c>
      <c r="F268" s="3167"/>
      <c r="G268" s="3168">
        <f t="shared" si="150"/>
        <v>0</v>
      </c>
      <c r="H268" s="3169">
        <f t="shared" si="151"/>
        <v>0</v>
      </c>
      <c r="I268" s="3187"/>
      <c r="J268" s="3187"/>
      <c r="K268" s="3187"/>
      <c r="L268" s="3187"/>
      <c r="M268" s="3187"/>
      <c r="N268" s="3187"/>
      <c r="O268" s="3187"/>
      <c r="P268" s="3187"/>
      <c r="Q268" s="3187"/>
      <c r="R268" s="3187"/>
      <c r="S268" s="3187"/>
      <c r="T268" s="3187"/>
      <c r="U268" s="3187"/>
      <c r="V268" s="3187"/>
      <c r="W268" s="3187"/>
      <c r="X268" s="3187"/>
      <c r="Y268" s="3187"/>
      <c r="Z268" s="3187"/>
      <c r="AA268" s="3187"/>
      <c r="AB268" s="3187"/>
      <c r="AC268" s="3166">
        <f t="shared" si="152"/>
        <v>0</v>
      </c>
      <c r="AD268" s="3198"/>
      <c r="AE268" s="3198"/>
      <c r="AF268" s="3198"/>
      <c r="AG268" s="3198"/>
      <c r="AH268" s="3198"/>
      <c r="AI268" s="3198"/>
      <c r="AJ268" s="3198"/>
      <c r="AK268" s="3198"/>
      <c r="AL268" s="3198"/>
      <c r="AM268" s="3198"/>
      <c r="AN268" s="3198"/>
      <c r="AO268" s="3198"/>
      <c r="AP268" s="3198"/>
      <c r="AQ268" s="3198"/>
      <c r="AR268" s="3198"/>
      <c r="AS268" s="3198"/>
      <c r="AT268" s="3218"/>
      <c r="AU268" s="3219"/>
      <c r="AV268" s="488">
        <f t="shared" si="153"/>
        <v>0</v>
      </c>
      <c r="AW268" s="488">
        <f t="shared" si="154"/>
        <v>0</v>
      </c>
      <c r="AX268" s="488">
        <f t="shared" si="155"/>
        <v>0</v>
      </c>
      <c r="AY268" s="3235">
        <f t="shared" si="156"/>
        <v>0</v>
      </c>
      <c r="AZ268" s="3166">
        <f t="shared" si="157"/>
        <v>0</v>
      </c>
      <c r="BA268" s="3166">
        <f t="shared" si="158"/>
        <v>0</v>
      </c>
      <c r="BB268" s="3166">
        <f t="shared" si="159"/>
        <v>0</v>
      </c>
      <c r="BC268" s="3166">
        <f t="shared" si="160"/>
        <v>0</v>
      </c>
      <c r="BD268" s="3166">
        <f t="shared" si="161"/>
        <v>0</v>
      </c>
      <c r="BE268" s="3166">
        <f t="shared" si="162"/>
        <v>0</v>
      </c>
      <c r="BF268" s="3166">
        <f t="shared" si="163"/>
        <v>0</v>
      </c>
      <c r="BG268" s="3166">
        <f t="shared" si="164"/>
        <v>0</v>
      </c>
      <c r="BH268" s="3166">
        <f t="shared" si="165"/>
        <v>0</v>
      </c>
      <c r="BI268" s="3166">
        <f t="shared" si="166"/>
        <v>0</v>
      </c>
      <c r="BJ268" s="3166">
        <f t="shared" si="167"/>
        <v>0</v>
      </c>
      <c r="BK268" s="3166">
        <f t="shared" si="168"/>
        <v>0</v>
      </c>
      <c r="BL268" s="3166">
        <f t="shared" si="169"/>
        <v>0</v>
      </c>
      <c r="BM268" s="3166">
        <f t="shared" si="170"/>
        <v>0</v>
      </c>
      <c r="BN268" s="3166">
        <f t="shared" si="171"/>
        <v>0</v>
      </c>
      <c r="BO268" s="3166">
        <f t="shared" si="172"/>
        <v>0</v>
      </c>
      <c r="BP268" s="3166">
        <f t="shared" si="173"/>
        <v>0</v>
      </c>
      <c r="BQ268" s="3166">
        <f t="shared" si="174"/>
        <v>0</v>
      </c>
      <c r="BR268" s="3166">
        <f t="shared" si="175"/>
        <v>0</v>
      </c>
      <c r="BS268" s="3166">
        <f t="shared" si="176"/>
        <v>0</v>
      </c>
      <c r="BT268" s="3240">
        <f t="shared" si="177"/>
        <v>0</v>
      </c>
    </row>
    <row r="269" spans="1:72">
      <c r="A269" s="3163"/>
      <c r="B269" s="3164"/>
      <c r="C269" s="3164"/>
      <c r="D269" s="3176"/>
      <c r="E269" s="3166">
        <f t="shared" si="149"/>
        <v>0</v>
      </c>
      <c r="F269" s="3167"/>
      <c r="G269" s="3168">
        <f t="shared" si="150"/>
        <v>0</v>
      </c>
      <c r="H269" s="3169">
        <f t="shared" si="151"/>
        <v>0</v>
      </c>
      <c r="I269" s="3187"/>
      <c r="J269" s="3187"/>
      <c r="K269" s="3187"/>
      <c r="L269" s="3187"/>
      <c r="M269" s="3187"/>
      <c r="N269" s="3187"/>
      <c r="O269" s="3187"/>
      <c r="P269" s="3187"/>
      <c r="Q269" s="3187"/>
      <c r="R269" s="3187"/>
      <c r="S269" s="3187"/>
      <c r="T269" s="3187"/>
      <c r="U269" s="3187"/>
      <c r="V269" s="3187"/>
      <c r="W269" s="3187"/>
      <c r="X269" s="3187"/>
      <c r="Y269" s="3187"/>
      <c r="Z269" s="3187"/>
      <c r="AA269" s="3187"/>
      <c r="AB269" s="3187"/>
      <c r="AC269" s="3166">
        <f t="shared" si="152"/>
        <v>0</v>
      </c>
      <c r="AD269" s="3198"/>
      <c r="AE269" s="3198"/>
      <c r="AF269" s="3198"/>
      <c r="AG269" s="3198"/>
      <c r="AH269" s="3198"/>
      <c r="AI269" s="3198"/>
      <c r="AJ269" s="3198"/>
      <c r="AK269" s="3198"/>
      <c r="AL269" s="3198"/>
      <c r="AM269" s="3198"/>
      <c r="AN269" s="3198"/>
      <c r="AO269" s="3198"/>
      <c r="AP269" s="3198"/>
      <c r="AQ269" s="3198"/>
      <c r="AR269" s="3198"/>
      <c r="AS269" s="3198"/>
      <c r="AT269" s="3218"/>
      <c r="AU269" s="3219"/>
      <c r="AV269" s="488">
        <f t="shared" si="153"/>
        <v>0</v>
      </c>
      <c r="AW269" s="488">
        <f t="shared" si="154"/>
        <v>0</v>
      </c>
      <c r="AX269" s="488">
        <f t="shared" si="155"/>
        <v>0</v>
      </c>
      <c r="AY269" s="3235">
        <f t="shared" si="156"/>
        <v>0</v>
      </c>
      <c r="AZ269" s="3166">
        <f t="shared" si="157"/>
        <v>0</v>
      </c>
      <c r="BA269" s="3166">
        <f t="shared" si="158"/>
        <v>0</v>
      </c>
      <c r="BB269" s="3166">
        <f t="shared" si="159"/>
        <v>0</v>
      </c>
      <c r="BC269" s="3166">
        <f t="shared" si="160"/>
        <v>0</v>
      </c>
      <c r="BD269" s="3166">
        <f t="shared" si="161"/>
        <v>0</v>
      </c>
      <c r="BE269" s="3166">
        <f t="shared" si="162"/>
        <v>0</v>
      </c>
      <c r="BF269" s="3166">
        <f t="shared" si="163"/>
        <v>0</v>
      </c>
      <c r="BG269" s="3166">
        <f t="shared" si="164"/>
        <v>0</v>
      </c>
      <c r="BH269" s="3166">
        <f t="shared" si="165"/>
        <v>0</v>
      </c>
      <c r="BI269" s="3166">
        <f t="shared" si="166"/>
        <v>0</v>
      </c>
      <c r="BJ269" s="3166">
        <f t="shared" si="167"/>
        <v>0</v>
      </c>
      <c r="BK269" s="3166">
        <f t="shared" si="168"/>
        <v>0</v>
      </c>
      <c r="BL269" s="3166">
        <f t="shared" si="169"/>
        <v>0</v>
      </c>
      <c r="BM269" s="3166">
        <f t="shared" si="170"/>
        <v>0</v>
      </c>
      <c r="BN269" s="3166">
        <f t="shared" si="171"/>
        <v>0</v>
      </c>
      <c r="BO269" s="3166">
        <f t="shared" si="172"/>
        <v>0</v>
      </c>
      <c r="BP269" s="3166">
        <f t="shared" si="173"/>
        <v>0</v>
      </c>
      <c r="BQ269" s="3166">
        <f t="shared" si="174"/>
        <v>0</v>
      </c>
      <c r="BR269" s="3166">
        <f t="shared" si="175"/>
        <v>0</v>
      </c>
      <c r="BS269" s="3166">
        <f t="shared" si="176"/>
        <v>0</v>
      </c>
      <c r="BT269" s="3240">
        <f t="shared" si="177"/>
        <v>0</v>
      </c>
    </row>
    <row r="270" spans="1:72">
      <c r="A270" s="3163"/>
      <c r="B270" s="3164"/>
      <c r="C270" s="3164"/>
      <c r="D270" s="3176"/>
      <c r="E270" s="3166">
        <f t="shared" si="149"/>
        <v>0</v>
      </c>
      <c r="F270" s="3167"/>
      <c r="G270" s="3168">
        <f t="shared" si="150"/>
        <v>0</v>
      </c>
      <c r="H270" s="3169">
        <f t="shared" si="151"/>
        <v>0</v>
      </c>
      <c r="I270" s="3187"/>
      <c r="J270" s="3187"/>
      <c r="K270" s="3187"/>
      <c r="L270" s="3187"/>
      <c r="M270" s="3187"/>
      <c r="N270" s="3187"/>
      <c r="O270" s="3187"/>
      <c r="P270" s="3187"/>
      <c r="Q270" s="3187"/>
      <c r="R270" s="3187"/>
      <c r="S270" s="3187"/>
      <c r="T270" s="3187"/>
      <c r="U270" s="3187"/>
      <c r="V270" s="3187"/>
      <c r="W270" s="3187"/>
      <c r="X270" s="3187"/>
      <c r="Y270" s="3187"/>
      <c r="Z270" s="3187"/>
      <c r="AA270" s="3187"/>
      <c r="AB270" s="3187"/>
      <c r="AC270" s="3166">
        <f t="shared" si="152"/>
        <v>0</v>
      </c>
      <c r="AD270" s="3198"/>
      <c r="AE270" s="3198"/>
      <c r="AF270" s="3198"/>
      <c r="AG270" s="3198"/>
      <c r="AH270" s="3198"/>
      <c r="AI270" s="3198"/>
      <c r="AJ270" s="3198"/>
      <c r="AK270" s="3198"/>
      <c r="AL270" s="3198"/>
      <c r="AM270" s="3198"/>
      <c r="AN270" s="3198"/>
      <c r="AO270" s="3198"/>
      <c r="AP270" s="3198"/>
      <c r="AQ270" s="3198"/>
      <c r="AR270" s="3198"/>
      <c r="AS270" s="3198"/>
      <c r="AT270" s="3218"/>
      <c r="AU270" s="3219"/>
      <c r="AV270" s="488">
        <f t="shared" si="153"/>
        <v>0</v>
      </c>
      <c r="AW270" s="488">
        <f t="shared" si="154"/>
        <v>0</v>
      </c>
      <c r="AX270" s="488">
        <f t="shared" si="155"/>
        <v>0</v>
      </c>
      <c r="AY270" s="3235">
        <f t="shared" si="156"/>
        <v>0</v>
      </c>
      <c r="AZ270" s="3166">
        <f t="shared" si="157"/>
        <v>0</v>
      </c>
      <c r="BA270" s="3166">
        <f t="shared" si="158"/>
        <v>0</v>
      </c>
      <c r="BB270" s="3166">
        <f t="shared" si="159"/>
        <v>0</v>
      </c>
      <c r="BC270" s="3166">
        <f t="shared" si="160"/>
        <v>0</v>
      </c>
      <c r="BD270" s="3166">
        <f t="shared" si="161"/>
        <v>0</v>
      </c>
      <c r="BE270" s="3166">
        <f t="shared" si="162"/>
        <v>0</v>
      </c>
      <c r="BF270" s="3166">
        <f t="shared" si="163"/>
        <v>0</v>
      </c>
      <c r="BG270" s="3166">
        <f t="shared" si="164"/>
        <v>0</v>
      </c>
      <c r="BH270" s="3166">
        <f t="shared" si="165"/>
        <v>0</v>
      </c>
      <c r="BI270" s="3166">
        <f t="shared" si="166"/>
        <v>0</v>
      </c>
      <c r="BJ270" s="3166">
        <f t="shared" si="167"/>
        <v>0</v>
      </c>
      <c r="BK270" s="3166">
        <f t="shared" si="168"/>
        <v>0</v>
      </c>
      <c r="BL270" s="3166">
        <f t="shared" si="169"/>
        <v>0</v>
      </c>
      <c r="BM270" s="3166">
        <f t="shared" si="170"/>
        <v>0</v>
      </c>
      <c r="BN270" s="3166">
        <f t="shared" si="171"/>
        <v>0</v>
      </c>
      <c r="BO270" s="3166">
        <f t="shared" si="172"/>
        <v>0</v>
      </c>
      <c r="BP270" s="3166">
        <f t="shared" si="173"/>
        <v>0</v>
      </c>
      <c r="BQ270" s="3166">
        <f t="shared" si="174"/>
        <v>0</v>
      </c>
      <c r="BR270" s="3166">
        <f t="shared" si="175"/>
        <v>0</v>
      </c>
      <c r="BS270" s="3166">
        <f t="shared" si="176"/>
        <v>0</v>
      </c>
      <c r="BT270" s="3240">
        <f t="shared" si="177"/>
        <v>0</v>
      </c>
    </row>
    <row r="271" spans="1:72">
      <c r="A271" s="3163"/>
      <c r="B271" s="3164"/>
      <c r="C271" s="3164"/>
      <c r="D271" s="3176"/>
      <c r="E271" s="3166">
        <f t="shared" si="149"/>
        <v>0</v>
      </c>
      <c r="F271" s="3167"/>
      <c r="G271" s="3168">
        <f t="shared" si="150"/>
        <v>0</v>
      </c>
      <c r="H271" s="3169">
        <f t="shared" si="151"/>
        <v>0</v>
      </c>
      <c r="I271" s="3187"/>
      <c r="J271" s="3187"/>
      <c r="K271" s="3187"/>
      <c r="L271" s="3187"/>
      <c r="M271" s="3187"/>
      <c r="N271" s="3187"/>
      <c r="O271" s="3187"/>
      <c r="P271" s="3187"/>
      <c r="Q271" s="3187"/>
      <c r="R271" s="3187"/>
      <c r="S271" s="3187"/>
      <c r="T271" s="3187"/>
      <c r="U271" s="3187"/>
      <c r="V271" s="3187"/>
      <c r="W271" s="3187"/>
      <c r="X271" s="3187"/>
      <c r="Y271" s="3187"/>
      <c r="Z271" s="3187"/>
      <c r="AA271" s="3187"/>
      <c r="AB271" s="3187"/>
      <c r="AC271" s="3166">
        <f t="shared" si="152"/>
        <v>0</v>
      </c>
      <c r="AD271" s="3198"/>
      <c r="AE271" s="3198"/>
      <c r="AF271" s="3198"/>
      <c r="AG271" s="3198"/>
      <c r="AH271" s="3198"/>
      <c r="AI271" s="3198"/>
      <c r="AJ271" s="3198"/>
      <c r="AK271" s="3198"/>
      <c r="AL271" s="3198"/>
      <c r="AM271" s="3198"/>
      <c r="AN271" s="3198"/>
      <c r="AO271" s="3198"/>
      <c r="AP271" s="3198"/>
      <c r="AQ271" s="3198"/>
      <c r="AR271" s="3198"/>
      <c r="AS271" s="3198"/>
      <c r="AT271" s="3218"/>
      <c r="AU271" s="3219"/>
      <c r="AV271" s="488">
        <f t="shared" si="153"/>
        <v>0</v>
      </c>
      <c r="AW271" s="488">
        <f t="shared" si="154"/>
        <v>0</v>
      </c>
      <c r="AX271" s="488">
        <f t="shared" si="155"/>
        <v>0</v>
      </c>
      <c r="AY271" s="3235">
        <f t="shared" si="156"/>
        <v>0</v>
      </c>
      <c r="AZ271" s="3166">
        <f t="shared" si="157"/>
        <v>0</v>
      </c>
      <c r="BA271" s="3166">
        <f t="shared" si="158"/>
        <v>0</v>
      </c>
      <c r="BB271" s="3166">
        <f t="shared" si="159"/>
        <v>0</v>
      </c>
      <c r="BC271" s="3166">
        <f t="shared" si="160"/>
        <v>0</v>
      </c>
      <c r="BD271" s="3166">
        <f t="shared" si="161"/>
        <v>0</v>
      </c>
      <c r="BE271" s="3166">
        <f t="shared" si="162"/>
        <v>0</v>
      </c>
      <c r="BF271" s="3166">
        <f t="shared" si="163"/>
        <v>0</v>
      </c>
      <c r="BG271" s="3166">
        <f t="shared" si="164"/>
        <v>0</v>
      </c>
      <c r="BH271" s="3166">
        <f t="shared" si="165"/>
        <v>0</v>
      </c>
      <c r="BI271" s="3166">
        <f t="shared" si="166"/>
        <v>0</v>
      </c>
      <c r="BJ271" s="3166">
        <f t="shared" si="167"/>
        <v>0</v>
      </c>
      <c r="BK271" s="3166">
        <f t="shared" si="168"/>
        <v>0</v>
      </c>
      <c r="BL271" s="3166">
        <f t="shared" si="169"/>
        <v>0</v>
      </c>
      <c r="BM271" s="3166">
        <f t="shared" si="170"/>
        <v>0</v>
      </c>
      <c r="BN271" s="3166">
        <f t="shared" si="171"/>
        <v>0</v>
      </c>
      <c r="BO271" s="3166">
        <f t="shared" si="172"/>
        <v>0</v>
      </c>
      <c r="BP271" s="3166">
        <f t="shared" si="173"/>
        <v>0</v>
      </c>
      <c r="BQ271" s="3166">
        <f t="shared" si="174"/>
        <v>0</v>
      </c>
      <c r="BR271" s="3166">
        <f t="shared" si="175"/>
        <v>0</v>
      </c>
      <c r="BS271" s="3166">
        <f t="shared" si="176"/>
        <v>0</v>
      </c>
      <c r="BT271" s="3240">
        <f t="shared" si="177"/>
        <v>0</v>
      </c>
    </row>
    <row r="272" spans="1:72">
      <c r="A272" s="3163"/>
      <c r="B272" s="3164"/>
      <c r="C272" s="3164"/>
      <c r="D272" s="3176"/>
      <c r="E272" s="3166">
        <f t="shared" si="149"/>
        <v>0</v>
      </c>
      <c r="F272" s="3167"/>
      <c r="G272" s="3168">
        <f t="shared" si="150"/>
        <v>0</v>
      </c>
      <c r="H272" s="3169">
        <f t="shared" si="151"/>
        <v>0</v>
      </c>
      <c r="I272" s="3187"/>
      <c r="J272" s="3187"/>
      <c r="K272" s="3187"/>
      <c r="L272" s="3187"/>
      <c r="M272" s="3187"/>
      <c r="N272" s="3187"/>
      <c r="O272" s="3187"/>
      <c r="P272" s="3187"/>
      <c r="Q272" s="3187"/>
      <c r="R272" s="3187"/>
      <c r="S272" s="3187"/>
      <c r="T272" s="3187"/>
      <c r="U272" s="3187"/>
      <c r="V272" s="3187"/>
      <c r="W272" s="3187"/>
      <c r="X272" s="3187"/>
      <c r="Y272" s="3187"/>
      <c r="Z272" s="3187"/>
      <c r="AA272" s="3187"/>
      <c r="AB272" s="3187"/>
      <c r="AC272" s="3166">
        <f t="shared" si="152"/>
        <v>0</v>
      </c>
      <c r="AD272" s="3198"/>
      <c r="AE272" s="3198"/>
      <c r="AF272" s="3198"/>
      <c r="AG272" s="3198"/>
      <c r="AH272" s="3198"/>
      <c r="AI272" s="3198"/>
      <c r="AJ272" s="3198"/>
      <c r="AK272" s="3198"/>
      <c r="AL272" s="3198"/>
      <c r="AM272" s="3198"/>
      <c r="AN272" s="3198"/>
      <c r="AO272" s="3198"/>
      <c r="AP272" s="3198"/>
      <c r="AQ272" s="3198"/>
      <c r="AR272" s="3198"/>
      <c r="AS272" s="3198"/>
      <c r="AT272" s="3218"/>
      <c r="AU272" s="3219"/>
      <c r="AV272" s="488">
        <f t="shared" si="153"/>
        <v>0</v>
      </c>
      <c r="AW272" s="488">
        <f t="shared" si="154"/>
        <v>0</v>
      </c>
      <c r="AX272" s="488">
        <f t="shared" si="155"/>
        <v>0</v>
      </c>
      <c r="AY272" s="3235">
        <f t="shared" si="156"/>
        <v>0</v>
      </c>
      <c r="AZ272" s="3166">
        <f t="shared" si="157"/>
        <v>0</v>
      </c>
      <c r="BA272" s="3166">
        <f t="shared" si="158"/>
        <v>0</v>
      </c>
      <c r="BB272" s="3166">
        <f t="shared" si="159"/>
        <v>0</v>
      </c>
      <c r="BC272" s="3166">
        <f t="shared" si="160"/>
        <v>0</v>
      </c>
      <c r="BD272" s="3166">
        <f t="shared" si="161"/>
        <v>0</v>
      </c>
      <c r="BE272" s="3166">
        <f t="shared" si="162"/>
        <v>0</v>
      </c>
      <c r="BF272" s="3166">
        <f t="shared" si="163"/>
        <v>0</v>
      </c>
      <c r="BG272" s="3166">
        <f t="shared" si="164"/>
        <v>0</v>
      </c>
      <c r="BH272" s="3166">
        <f t="shared" si="165"/>
        <v>0</v>
      </c>
      <c r="BI272" s="3166">
        <f t="shared" si="166"/>
        <v>0</v>
      </c>
      <c r="BJ272" s="3166">
        <f t="shared" si="167"/>
        <v>0</v>
      </c>
      <c r="BK272" s="3166">
        <f t="shared" si="168"/>
        <v>0</v>
      </c>
      <c r="BL272" s="3166">
        <f t="shared" si="169"/>
        <v>0</v>
      </c>
      <c r="BM272" s="3166">
        <f t="shared" si="170"/>
        <v>0</v>
      </c>
      <c r="BN272" s="3166">
        <f t="shared" si="171"/>
        <v>0</v>
      </c>
      <c r="BO272" s="3166">
        <f t="shared" si="172"/>
        <v>0</v>
      </c>
      <c r="BP272" s="3166">
        <f t="shared" si="173"/>
        <v>0</v>
      </c>
      <c r="BQ272" s="3166">
        <f t="shared" si="174"/>
        <v>0</v>
      </c>
      <c r="BR272" s="3166">
        <f t="shared" si="175"/>
        <v>0</v>
      </c>
      <c r="BS272" s="3166">
        <f t="shared" si="176"/>
        <v>0</v>
      </c>
      <c r="BT272" s="3240">
        <f t="shared" si="177"/>
        <v>0</v>
      </c>
    </row>
    <row r="273" spans="1:72">
      <c r="A273" s="3163"/>
      <c r="B273" s="3164"/>
      <c r="C273" s="3164"/>
      <c r="D273" s="3176"/>
      <c r="E273" s="3166">
        <f t="shared" si="149"/>
        <v>0</v>
      </c>
      <c r="F273" s="3167"/>
      <c r="G273" s="3168">
        <f t="shared" si="150"/>
        <v>0</v>
      </c>
      <c r="H273" s="3169">
        <f t="shared" si="151"/>
        <v>0</v>
      </c>
      <c r="I273" s="3187"/>
      <c r="J273" s="3187"/>
      <c r="K273" s="3187"/>
      <c r="L273" s="3187"/>
      <c r="M273" s="3187"/>
      <c r="N273" s="3187"/>
      <c r="O273" s="3187"/>
      <c r="P273" s="3187"/>
      <c r="Q273" s="3187"/>
      <c r="R273" s="3187"/>
      <c r="S273" s="3187"/>
      <c r="T273" s="3187"/>
      <c r="U273" s="3187"/>
      <c r="V273" s="3187"/>
      <c r="W273" s="3187"/>
      <c r="X273" s="3187"/>
      <c r="Y273" s="3187"/>
      <c r="Z273" s="3187"/>
      <c r="AA273" s="3187"/>
      <c r="AB273" s="3187"/>
      <c r="AC273" s="3166">
        <f t="shared" si="152"/>
        <v>0</v>
      </c>
      <c r="AD273" s="3198"/>
      <c r="AE273" s="3198"/>
      <c r="AF273" s="3198"/>
      <c r="AG273" s="3198"/>
      <c r="AH273" s="3198"/>
      <c r="AI273" s="3198"/>
      <c r="AJ273" s="3198"/>
      <c r="AK273" s="3198"/>
      <c r="AL273" s="3198"/>
      <c r="AM273" s="3198"/>
      <c r="AN273" s="3198"/>
      <c r="AO273" s="3198"/>
      <c r="AP273" s="3198"/>
      <c r="AQ273" s="3198"/>
      <c r="AR273" s="3198"/>
      <c r="AS273" s="3198"/>
      <c r="AT273" s="3218"/>
      <c r="AU273" s="3219"/>
      <c r="AV273" s="488">
        <f t="shared" si="153"/>
        <v>0</v>
      </c>
      <c r="AW273" s="488">
        <f t="shared" si="154"/>
        <v>0</v>
      </c>
      <c r="AX273" s="488">
        <f t="shared" si="155"/>
        <v>0</v>
      </c>
      <c r="AY273" s="3235">
        <f t="shared" si="156"/>
        <v>0</v>
      </c>
      <c r="AZ273" s="3166">
        <f t="shared" si="157"/>
        <v>0</v>
      </c>
      <c r="BA273" s="3166">
        <f t="shared" si="158"/>
        <v>0</v>
      </c>
      <c r="BB273" s="3166">
        <f t="shared" si="159"/>
        <v>0</v>
      </c>
      <c r="BC273" s="3166">
        <f t="shared" si="160"/>
        <v>0</v>
      </c>
      <c r="BD273" s="3166">
        <f t="shared" si="161"/>
        <v>0</v>
      </c>
      <c r="BE273" s="3166">
        <f t="shared" si="162"/>
        <v>0</v>
      </c>
      <c r="BF273" s="3166">
        <f t="shared" si="163"/>
        <v>0</v>
      </c>
      <c r="BG273" s="3166">
        <f t="shared" si="164"/>
        <v>0</v>
      </c>
      <c r="BH273" s="3166">
        <f t="shared" si="165"/>
        <v>0</v>
      </c>
      <c r="BI273" s="3166">
        <f t="shared" si="166"/>
        <v>0</v>
      </c>
      <c r="BJ273" s="3166">
        <f t="shared" si="167"/>
        <v>0</v>
      </c>
      <c r="BK273" s="3166">
        <f t="shared" si="168"/>
        <v>0</v>
      </c>
      <c r="BL273" s="3166">
        <f t="shared" si="169"/>
        <v>0</v>
      </c>
      <c r="BM273" s="3166">
        <f t="shared" si="170"/>
        <v>0</v>
      </c>
      <c r="BN273" s="3166">
        <f t="shared" si="171"/>
        <v>0</v>
      </c>
      <c r="BO273" s="3166">
        <f t="shared" si="172"/>
        <v>0</v>
      </c>
      <c r="BP273" s="3166">
        <f t="shared" si="173"/>
        <v>0</v>
      </c>
      <c r="BQ273" s="3166">
        <f t="shared" si="174"/>
        <v>0</v>
      </c>
      <c r="BR273" s="3166">
        <f t="shared" si="175"/>
        <v>0</v>
      </c>
      <c r="BS273" s="3166">
        <f t="shared" si="176"/>
        <v>0</v>
      </c>
      <c r="BT273" s="3240">
        <f t="shared" si="177"/>
        <v>0</v>
      </c>
    </row>
    <row r="274" spans="1:72">
      <c r="A274" s="3163"/>
      <c r="B274" s="3164"/>
      <c r="C274" s="3164"/>
      <c r="D274" s="3176"/>
      <c r="E274" s="3166">
        <f t="shared" si="149"/>
        <v>0</v>
      </c>
      <c r="F274" s="3167"/>
      <c r="G274" s="3168">
        <f t="shared" si="150"/>
        <v>0</v>
      </c>
      <c r="H274" s="3169">
        <f t="shared" si="151"/>
        <v>0</v>
      </c>
      <c r="I274" s="3187"/>
      <c r="J274" s="3187"/>
      <c r="K274" s="3187"/>
      <c r="L274" s="3187"/>
      <c r="M274" s="3187"/>
      <c r="N274" s="3187"/>
      <c r="O274" s="3187"/>
      <c r="P274" s="3187"/>
      <c r="Q274" s="3187"/>
      <c r="R274" s="3187"/>
      <c r="S274" s="3187"/>
      <c r="T274" s="3187"/>
      <c r="U274" s="3187"/>
      <c r="V274" s="3187"/>
      <c r="W274" s="3187"/>
      <c r="X274" s="3187"/>
      <c r="Y274" s="3187"/>
      <c r="Z274" s="3187"/>
      <c r="AA274" s="3187"/>
      <c r="AB274" s="3187"/>
      <c r="AC274" s="3166">
        <f t="shared" si="152"/>
        <v>0</v>
      </c>
      <c r="AD274" s="3198"/>
      <c r="AE274" s="3198"/>
      <c r="AF274" s="3198"/>
      <c r="AG274" s="3198"/>
      <c r="AH274" s="3198"/>
      <c r="AI274" s="3198"/>
      <c r="AJ274" s="3198"/>
      <c r="AK274" s="3198"/>
      <c r="AL274" s="3198"/>
      <c r="AM274" s="3198"/>
      <c r="AN274" s="3198"/>
      <c r="AO274" s="3198"/>
      <c r="AP274" s="3198"/>
      <c r="AQ274" s="3198"/>
      <c r="AR274" s="3198"/>
      <c r="AS274" s="3198"/>
      <c r="AT274" s="3218"/>
      <c r="AU274" s="3219"/>
      <c r="AV274" s="488">
        <f t="shared" si="153"/>
        <v>0</v>
      </c>
      <c r="AW274" s="488">
        <f t="shared" si="154"/>
        <v>0</v>
      </c>
      <c r="AX274" s="488">
        <f t="shared" si="155"/>
        <v>0</v>
      </c>
      <c r="AY274" s="3235">
        <f t="shared" si="156"/>
        <v>0</v>
      </c>
      <c r="AZ274" s="3166">
        <f t="shared" si="157"/>
        <v>0</v>
      </c>
      <c r="BA274" s="3166">
        <f t="shared" si="158"/>
        <v>0</v>
      </c>
      <c r="BB274" s="3166">
        <f t="shared" si="159"/>
        <v>0</v>
      </c>
      <c r="BC274" s="3166">
        <f t="shared" si="160"/>
        <v>0</v>
      </c>
      <c r="BD274" s="3166">
        <f t="shared" si="161"/>
        <v>0</v>
      </c>
      <c r="BE274" s="3166">
        <f t="shared" si="162"/>
        <v>0</v>
      </c>
      <c r="BF274" s="3166">
        <f t="shared" si="163"/>
        <v>0</v>
      </c>
      <c r="BG274" s="3166">
        <f t="shared" si="164"/>
        <v>0</v>
      </c>
      <c r="BH274" s="3166">
        <f t="shared" si="165"/>
        <v>0</v>
      </c>
      <c r="BI274" s="3166">
        <f t="shared" si="166"/>
        <v>0</v>
      </c>
      <c r="BJ274" s="3166">
        <f t="shared" si="167"/>
        <v>0</v>
      </c>
      <c r="BK274" s="3166">
        <f t="shared" si="168"/>
        <v>0</v>
      </c>
      <c r="BL274" s="3166">
        <f t="shared" si="169"/>
        <v>0</v>
      </c>
      <c r="BM274" s="3166">
        <f t="shared" si="170"/>
        <v>0</v>
      </c>
      <c r="BN274" s="3166">
        <f t="shared" si="171"/>
        <v>0</v>
      </c>
      <c r="BO274" s="3166">
        <f t="shared" si="172"/>
        <v>0</v>
      </c>
      <c r="BP274" s="3166">
        <f t="shared" si="173"/>
        <v>0</v>
      </c>
      <c r="BQ274" s="3166">
        <f t="shared" si="174"/>
        <v>0</v>
      </c>
      <c r="BR274" s="3166">
        <f t="shared" si="175"/>
        <v>0</v>
      </c>
      <c r="BS274" s="3166">
        <f t="shared" si="176"/>
        <v>0</v>
      </c>
      <c r="BT274" s="3240">
        <f t="shared" si="177"/>
        <v>0</v>
      </c>
    </row>
    <row r="275" spans="1:72">
      <c r="A275" s="3163"/>
      <c r="B275" s="3164"/>
      <c r="C275" s="3164"/>
      <c r="D275" s="3176"/>
      <c r="E275" s="3166">
        <f t="shared" si="149"/>
        <v>0</v>
      </c>
      <c r="F275" s="3167"/>
      <c r="G275" s="3168">
        <f t="shared" si="150"/>
        <v>0</v>
      </c>
      <c r="H275" s="3169">
        <f t="shared" si="151"/>
        <v>0</v>
      </c>
      <c r="I275" s="3187"/>
      <c r="J275" s="3187"/>
      <c r="K275" s="3187"/>
      <c r="L275" s="3187"/>
      <c r="M275" s="3187"/>
      <c r="N275" s="3187"/>
      <c r="O275" s="3187"/>
      <c r="P275" s="3187"/>
      <c r="Q275" s="3187"/>
      <c r="R275" s="3187"/>
      <c r="S275" s="3187"/>
      <c r="T275" s="3187"/>
      <c r="U275" s="3187"/>
      <c r="V275" s="3187"/>
      <c r="W275" s="3187"/>
      <c r="X275" s="3187"/>
      <c r="Y275" s="3187"/>
      <c r="Z275" s="3187"/>
      <c r="AA275" s="3187"/>
      <c r="AB275" s="3187"/>
      <c r="AC275" s="3166">
        <f t="shared" si="152"/>
        <v>0</v>
      </c>
      <c r="AD275" s="3198"/>
      <c r="AE275" s="3198"/>
      <c r="AF275" s="3198"/>
      <c r="AG275" s="3198"/>
      <c r="AH275" s="3198"/>
      <c r="AI275" s="3198"/>
      <c r="AJ275" s="3198"/>
      <c r="AK275" s="3198"/>
      <c r="AL275" s="3198"/>
      <c r="AM275" s="3198"/>
      <c r="AN275" s="3198"/>
      <c r="AO275" s="3198"/>
      <c r="AP275" s="3198"/>
      <c r="AQ275" s="3198"/>
      <c r="AR275" s="3198"/>
      <c r="AS275" s="3198"/>
      <c r="AT275" s="3218"/>
      <c r="AU275" s="3219"/>
      <c r="AV275" s="488">
        <f t="shared" si="153"/>
        <v>0</v>
      </c>
      <c r="AW275" s="488">
        <f t="shared" si="154"/>
        <v>0</v>
      </c>
      <c r="AX275" s="488">
        <f t="shared" si="155"/>
        <v>0</v>
      </c>
      <c r="AY275" s="3235">
        <f t="shared" si="156"/>
        <v>0</v>
      </c>
      <c r="AZ275" s="3166">
        <f t="shared" si="157"/>
        <v>0</v>
      </c>
      <c r="BA275" s="3166">
        <f t="shared" si="158"/>
        <v>0</v>
      </c>
      <c r="BB275" s="3166">
        <f t="shared" si="159"/>
        <v>0</v>
      </c>
      <c r="BC275" s="3166">
        <f t="shared" si="160"/>
        <v>0</v>
      </c>
      <c r="BD275" s="3166">
        <f t="shared" si="161"/>
        <v>0</v>
      </c>
      <c r="BE275" s="3166">
        <f t="shared" si="162"/>
        <v>0</v>
      </c>
      <c r="BF275" s="3166">
        <f t="shared" si="163"/>
        <v>0</v>
      </c>
      <c r="BG275" s="3166">
        <f t="shared" si="164"/>
        <v>0</v>
      </c>
      <c r="BH275" s="3166">
        <f t="shared" si="165"/>
        <v>0</v>
      </c>
      <c r="BI275" s="3166">
        <f t="shared" si="166"/>
        <v>0</v>
      </c>
      <c r="BJ275" s="3166">
        <f t="shared" si="167"/>
        <v>0</v>
      </c>
      <c r="BK275" s="3166">
        <f t="shared" si="168"/>
        <v>0</v>
      </c>
      <c r="BL275" s="3166">
        <f t="shared" si="169"/>
        <v>0</v>
      </c>
      <c r="BM275" s="3166">
        <f t="shared" si="170"/>
        <v>0</v>
      </c>
      <c r="BN275" s="3166">
        <f t="shared" si="171"/>
        <v>0</v>
      </c>
      <c r="BO275" s="3166">
        <f t="shared" si="172"/>
        <v>0</v>
      </c>
      <c r="BP275" s="3166">
        <f t="shared" si="173"/>
        <v>0</v>
      </c>
      <c r="BQ275" s="3166">
        <f t="shared" si="174"/>
        <v>0</v>
      </c>
      <c r="BR275" s="3166">
        <f t="shared" si="175"/>
        <v>0</v>
      </c>
      <c r="BS275" s="3166">
        <f t="shared" si="176"/>
        <v>0</v>
      </c>
      <c r="BT275" s="3240">
        <f t="shared" si="177"/>
        <v>0</v>
      </c>
    </row>
    <row r="276" spans="1:72">
      <c r="A276" s="3163"/>
      <c r="B276" s="3164"/>
      <c r="C276" s="3164"/>
      <c r="D276" s="3176"/>
      <c r="E276" s="3166">
        <f t="shared" si="149"/>
        <v>0</v>
      </c>
      <c r="F276" s="3167"/>
      <c r="G276" s="3168">
        <f t="shared" si="150"/>
        <v>0</v>
      </c>
      <c r="H276" s="3169">
        <f t="shared" si="151"/>
        <v>0</v>
      </c>
      <c r="I276" s="3187"/>
      <c r="J276" s="3187"/>
      <c r="K276" s="3187"/>
      <c r="L276" s="3187"/>
      <c r="M276" s="3187"/>
      <c r="N276" s="3187"/>
      <c r="O276" s="3187"/>
      <c r="P276" s="3187"/>
      <c r="Q276" s="3187"/>
      <c r="R276" s="3187"/>
      <c r="S276" s="3187"/>
      <c r="T276" s="3187"/>
      <c r="U276" s="3187"/>
      <c r="V276" s="3187"/>
      <c r="W276" s="3187"/>
      <c r="X276" s="3187"/>
      <c r="Y276" s="3187"/>
      <c r="Z276" s="3187"/>
      <c r="AA276" s="3187"/>
      <c r="AB276" s="3187"/>
      <c r="AC276" s="3166">
        <f t="shared" si="152"/>
        <v>0</v>
      </c>
      <c r="AD276" s="3198"/>
      <c r="AE276" s="3198"/>
      <c r="AF276" s="3198"/>
      <c r="AG276" s="3198"/>
      <c r="AH276" s="3198"/>
      <c r="AI276" s="3198"/>
      <c r="AJ276" s="3198"/>
      <c r="AK276" s="3198"/>
      <c r="AL276" s="3198"/>
      <c r="AM276" s="3198"/>
      <c r="AN276" s="3198"/>
      <c r="AO276" s="3198"/>
      <c r="AP276" s="3198"/>
      <c r="AQ276" s="3198"/>
      <c r="AR276" s="3198"/>
      <c r="AS276" s="3198"/>
      <c r="AT276" s="3218"/>
      <c r="AU276" s="3219"/>
      <c r="AV276" s="488">
        <f t="shared" si="153"/>
        <v>0</v>
      </c>
      <c r="AW276" s="488">
        <f t="shared" si="154"/>
        <v>0</v>
      </c>
      <c r="AX276" s="488">
        <f t="shared" si="155"/>
        <v>0</v>
      </c>
      <c r="AY276" s="3235">
        <f t="shared" si="156"/>
        <v>0</v>
      </c>
      <c r="AZ276" s="3166">
        <f t="shared" si="157"/>
        <v>0</v>
      </c>
      <c r="BA276" s="3166">
        <f t="shared" si="158"/>
        <v>0</v>
      </c>
      <c r="BB276" s="3166">
        <f t="shared" si="159"/>
        <v>0</v>
      </c>
      <c r="BC276" s="3166">
        <f t="shared" si="160"/>
        <v>0</v>
      </c>
      <c r="BD276" s="3166">
        <f t="shared" si="161"/>
        <v>0</v>
      </c>
      <c r="BE276" s="3166">
        <f t="shared" si="162"/>
        <v>0</v>
      </c>
      <c r="BF276" s="3166">
        <f t="shared" si="163"/>
        <v>0</v>
      </c>
      <c r="BG276" s="3166">
        <f t="shared" si="164"/>
        <v>0</v>
      </c>
      <c r="BH276" s="3166">
        <f t="shared" si="165"/>
        <v>0</v>
      </c>
      <c r="BI276" s="3166">
        <f t="shared" si="166"/>
        <v>0</v>
      </c>
      <c r="BJ276" s="3166">
        <f t="shared" si="167"/>
        <v>0</v>
      </c>
      <c r="BK276" s="3166">
        <f t="shared" si="168"/>
        <v>0</v>
      </c>
      <c r="BL276" s="3166">
        <f t="shared" si="169"/>
        <v>0</v>
      </c>
      <c r="BM276" s="3166">
        <f t="shared" si="170"/>
        <v>0</v>
      </c>
      <c r="BN276" s="3166">
        <f t="shared" si="171"/>
        <v>0</v>
      </c>
      <c r="BO276" s="3166">
        <f t="shared" si="172"/>
        <v>0</v>
      </c>
      <c r="BP276" s="3166">
        <f t="shared" si="173"/>
        <v>0</v>
      </c>
      <c r="BQ276" s="3166">
        <f t="shared" si="174"/>
        <v>0</v>
      </c>
      <c r="BR276" s="3166">
        <f t="shared" si="175"/>
        <v>0</v>
      </c>
      <c r="BS276" s="3166">
        <f t="shared" si="176"/>
        <v>0</v>
      </c>
      <c r="BT276" s="3240">
        <f t="shared" si="177"/>
        <v>0</v>
      </c>
    </row>
    <row r="277" spans="1:72">
      <c r="A277" s="3163"/>
      <c r="B277" s="3164"/>
      <c r="C277" s="3164"/>
      <c r="D277" s="3176"/>
      <c r="E277" s="3166">
        <f t="shared" si="149"/>
        <v>0</v>
      </c>
      <c r="F277" s="3167"/>
      <c r="G277" s="3168">
        <f t="shared" si="150"/>
        <v>0</v>
      </c>
      <c r="H277" s="3169">
        <f t="shared" si="151"/>
        <v>0</v>
      </c>
      <c r="I277" s="3187"/>
      <c r="J277" s="3187"/>
      <c r="K277" s="3187"/>
      <c r="L277" s="3187"/>
      <c r="M277" s="3187"/>
      <c r="N277" s="3187"/>
      <c r="O277" s="3187"/>
      <c r="P277" s="3187"/>
      <c r="Q277" s="3187"/>
      <c r="R277" s="3187"/>
      <c r="S277" s="3187"/>
      <c r="T277" s="3187"/>
      <c r="U277" s="3187"/>
      <c r="V277" s="3187"/>
      <c r="W277" s="3187"/>
      <c r="X277" s="3187"/>
      <c r="Y277" s="3187"/>
      <c r="Z277" s="3187"/>
      <c r="AA277" s="3187"/>
      <c r="AB277" s="3187"/>
      <c r="AC277" s="3166">
        <f t="shared" si="152"/>
        <v>0</v>
      </c>
      <c r="AD277" s="3198"/>
      <c r="AE277" s="3198"/>
      <c r="AF277" s="3198"/>
      <c r="AG277" s="3198"/>
      <c r="AH277" s="3198"/>
      <c r="AI277" s="3198"/>
      <c r="AJ277" s="3198"/>
      <c r="AK277" s="3198"/>
      <c r="AL277" s="3198"/>
      <c r="AM277" s="3198"/>
      <c r="AN277" s="3198"/>
      <c r="AO277" s="3198"/>
      <c r="AP277" s="3198"/>
      <c r="AQ277" s="3198"/>
      <c r="AR277" s="3198"/>
      <c r="AS277" s="3198"/>
      <c r="AT277" s="3218"/>
      <c r="AU277" s="3219"/>
      <c r="AV277" s="488">
        <f t="shared" si="153"/>
        <v>0</v>
      </c>
      <c r="AW277" s="488">
        <f t="shared" si="154"/>
        <v>0</v>
      </c>
      <c r="AX277" s="488">
        <f t="shared" si="155"/>
        <v>0</v>
      </c>
      <c r="AY277" s="3235">
        <f t="shared" si="156"/>
        <v>0</v>
      </c>
      <c r="AZ277" s="3166">
        <f t="shared" si="157"/>
        <v>0</v>
      </c>
      <c r="BA277" s="3166">
        <f t="shared" si="158"/>
        <v>0</v>
      </c>
      <c r="BB277" s="3166">
        <f t="shared" si="159"/>
        <v>0</v>
      </c>
      <c r="BC277" s="3166">
        <f t="shared" si="160"/>
        <v>0</v>
      </c>
      <c r="BD277" s="3166">
        <f t="shared" si="161"/>
        <v>0</v>
      </c>
      <c r="BE277" s="3166">
        <f t="shared" si="162"/>
        <v>0</v>
      </c>
      <c r="BF277" s="3166">
        <f t="shared" si="163"/>
        <v>0</v>
      </c>
      <c r="BG277" s="3166">
        <f t="shared" si="164"/>
        <v>0</v>
      </c>
      <c r="BH277" s="3166">
        <f t="shared" si="165"/>
        <v>0</v>
      </c>
      <c r="BI277" s="3166">
        <f t="shared" si="166"/>
        <v>0</v>
      </c>
      <c r="BJ277" s="3166">
        <f t="shared" si="167"/>
        <v>0</v>
      </c>
      <c r="BK277" s="3166">
        <f t="shared" si="168"/>
        <v>0</v>
      </c>
      <c r="BL277" s="3166">
        <f t="shared" si="169"/>
        <v>0</v>
      </c>
      <c r="BM277" s="3166">
        <f t="shared" si="170"/>
        <v>0</v>
      </c>
      <c r="BN277" s="3166">
        <f t="shared" si="171"/>
        <v>0</v>
      </c>
      <c r="BO277" s="3166">
        <f t="shared" si="172"/>
        <v>0</v>
      </c>
      <c r="BP277" s="3166">
        <f t="shared" si="173"/>
        <v>0</v>
      </c>
      <c r="BQ277" s="3166">
        <f t="shared" si="174"/>
        <v>0</v>
      </c>
      <c r="BR277" s="3166">
        <f t="shared" si="175"/>
        <v>0</v>
      </c>
      <c r="BS277" s="3166">
        <f t="shared" si="176"/>
        <v>0</v>
      </c>
      <c r="BT277" s="3240">
        <f t="shared" si="177"/>
        <v>0</v>
      </c>
    </row>
    <row r="278" spans="1:72">
      <c r="A278" s="3163"/>
      <c r="B278" s="3164"/>
      <c r="C278" s="3164"/>
      <c r="D278" s="3176"/>
      <c r="E278" s="3166">
        <f t="shared" si="149"/>
        <v>0</v>
      </c>
      <c r="F278" s="3167"/>
      <c r="G278" s="3168">
        <f t="shared" si="150"/>
        <v>0</v>
      </c>
      <c r="H278" s="3169">
        <f t="shared" si="151"/>
        <v>0</v>
      </c>
      <c r="I278" s="3187"/>
      <c r="J278" s="3187"/>
      <c r="K278" s="3187"/>
      <c r="L278" s="3187"/>
      <c r="M278" s="3187"/>
      <c r="N278" s="3187"/>
      <c r="O278" s="3187"/>
      <c r="P278" s="3187"/>
      <c r="Q278" s="3187"/>
      <c r="R278" s="3187"/>
      <c r="S278" s="3187"/>
      <c r="T278" s="3187"/>
      <c r="U278" s="3187"/>
      <c r="V278" s="3187"/>
      <c r="W278" s="3187"/>
      <c r="X278" s="3187"/>
      <c r="Y278" s="3187"/>
      <c r="Z278" s="3187"/>
      <c r="AA278" s="3187"/>
      <c r="AB278" s="3187"/>
      <c r="AC278" s="3166">
        <f t="shared" si="152"/>
        <v>0</v>
      </c>
      <c r="AD278" s="3198"/>
      <c r="AE278" s="3198"/>
      <c r="AF278" s="3198"/>
      <c r="AG278" s="3198"/>
      <c r="AH278" s="3198"/>
      <c r="AI278" s="3198"/>
      <c r="AJ278" s="3198"/>
      <c r="AK278" s="3198"/>
      <c r="AL278" s="3198"/>
      <c r="AM278" s="3198"/>
      <c r="AN278" s="3198"/>
      <c r="AO278" s="3198"/>
      <c r="AP278" s="3198"/>
      <c r="AQ278" s="3198"/>
      <c r="AR278" s="3198"/>
      <c r="AS278" s="3198"/>
      <c r="AT278" s="3218"/>
      <c r="AU278" s="3219"/>
      <c r="AV278" s="488">
        <f t="shared" si="153"/>
        <v>0</v>
      </c>
      <c r="AW278" s="488">
        <f t="shared" si="154"/>
        <v>0</v>
      </c>
      <c r="AX278" s="488">
        <f t="shared" si="155"/>
        <v>0</v>
      </c>
      <c r="AY278" s="3235">
        <f t="shared" si="156"/>
        <v>0</v>
      </c>
      <c r="AZ278" s="3166">
        <f t="shared" si="157"/>
        <v>0</v>
      </c>
      <c r="BA278" s="3166">
        <f t="shared" si="158"/>
        <v>0</v>
      </c>
      <c r="BB278" s="3166">
        <f t="shared" si="159"/>
        <v>0</v>
      </c>
      <c r="BC278" s="3166">
        <f t="shared" si="160"/>
        <v>0</v>
      </c>
      <c r="BD278" s="3166">
        <f t="shared" si="161"/>
        <v>0</v>
      </c>
      <c r="BE278" s="3166">
        <f t="shared" si="162"/>
        <v>0</v>
      </c>
      <c r="BF278" s="3166">
        <f t="shared" si="163"/>
        <v>0</v>
      </c>
      <c r="BG278" s="3166">
        <f t="shared" si="164"/>
        <v>0</v>
      </c>
      <c r="BH278" s="3166">
        <f t="shared" si="165"/>
        <v>0</v>
      </c>
      <c r="BI278" s="3166">
        <f t="shared" si="166"/>
        <v>0</v>
      </c>
      <c r="BJ278" s="3166">
        <f t="shared" si="167"/>
        <v>0</v>
      </c>
      <c r="BK278" s="3166">
        <f t="shared" si="168"/>
        <v>0</v>
      </c>
      <c r="BL278" s="3166">
        <f t="shared" si="169"/>
        <v>0</v>
      </c>
      <c r="BM278" s="3166">
        <f t="shared" si="170"/>
        <v>0</v>
      </c>
      <c r="BN278" s="3166">
        <f t="shared" si="171"/>
        <v>0</v>
      </c>
      <c r="BO278" s="3166">
        <f t="shared" si="172"/>
        <v>0</v>
      </c>
      <c r="BP278" s="3166">
        <f t="shared" si="173"/>
        <v>0</v>
      </c>
      <c r="BQ278" s="3166">
        <f t="shared" si="174"/>
        <v>0</v>
      </c>
      <c r="BR278" s="3166">
        <f t="shared" si="175"/>
        <v>0</v>
      </c>
      <c r="BS278" s="3166">
        <f t="shared" si="176"/>
        <v>0</v>
      </c>
      <c r="BT278" s="3240">
        <f t="shared" si="177"/>
        <v>0</v>
      </c>
    </row>
    <row r="279" spans="1:72">
      <c r="A279" s="3163"/>
      <c r="B279" s="3164"/>
      <c r="C279" s="3164"/>
      <c r="D279" s="3176"/>
      <c r="E279" s="3166">
        <f t="shared" si="149"/>
        <v>0</v>
      </c>
      <c r="F279" s="3167"/>
      <c r="G279" s="3168">
        <f t="shared" si="150"/>
        <v>0</v>
      </c>
      <c r="H279" s="3169">
        <f t="shared" si="151"/>
        <v>0</v>
      </c>
      <c r="I279" s="3187"/>
      <c r="J279" s="3187"/>
      <c r="K279" s="3187"/>
      <c r="L279" s="3187"/>
      <c r="M279" s="3187"/>
      <c r="N279" s="3187"/>
      <c r="O279" s="3187"/>
      <c r="P279" s="3187"/>
      <c r="Q279" s="3187"/>
      <c r="R279" s="3187"/>
      <c r="S279" s="3187"/>
      <c r="T279" s="3187"/>
      <c r="U279" s="3187"/>
      <c r="V279" s="3187"/>
      <c r="W279" s="3187"/>
      <c r="X279" s="3187"/>
      <c r="Y279" s="3187"/>
      <c r="Z279" s="3187"/>
      <c r="AA279" s="3187"/>
      <c r="AB279" s="3187"/>
      <c r="AC279" s="3166">
        <f t="shared" si="152"/>
        <v>0</v>
      </c>
      <c r="AD279" s="3198"/>
      <c r="AE279" s="3198"/>
      <c r="AF279" s="3198"/>
      <c r="AG279" s="3198"/>
      <c r="AH279" s="3198"/>
      <c r="AI279" s="3198"/>
      <c r="AJ279" s="3198"/>
      <c r="AK279" s="3198"/>
      <c r="AL279" s="3198"/>
      <c r="AM279" s="3198"/>
      <c r="AN279" s="3198"/>
      <c r="AO279" s="3198"/>
      <c r="AP279" s="3198"/>
      <c r="AQ279" s="3198"/>
      <c r="AR279" s="3198"/>
      <c r="AS279" s="3198"/>
      <c r="AT279" s="3218"/>
      <c r="AU279" s="3219"/>
      <c r="AV279" s="488">
        <f t="shared" si="153"/>
        <v>0</v>
      </c>
      <c r="AW279" s="488">
        <f t="shared" si="154"/>
        <v>0</v>
      </c>
      <c r="AX279" s="488">
        <f t="shared" si="155"/>
        <v>0</v>
      </c>
      <c r="AY279" s="3235">
        <f t="shared" si="156"/>
        <v>0</v>
      </c>
      <c r="AZ279" s="3166">
        <f t="shared" si="157"/>
        <v>0</v>
      </c>
      <c r="BA279" s="3166">
        <f t="shared" si="158"/>
        <v>0</v>
      </c>
      <c r="BB279" s="3166">
        <f t="shared" si="159"/>
        <v>0</v>
      </c>
      <c r="BC279" s="3166">
        <f t="shared" si="160"/>
        <v>0</v>
      </c>
      <c r="BD279" s="3166">
        <f t="shared" si="161"/>
        <v>0</v>
      </c>
      <c r="BE279" s="3166">
        <f t="shared" si="162"/>
        <v>0</v>
      </c>
      <c r="BF279" s="3166">
        <f t="shared" si="163"/>
        <v>0</v>
      </c>
      <c r="BG279" s="3166">
        <f t="shared" si="164"/>
        <v>0</v>
      </c>
      <c r="BH279" s="3166">
        <f t="shared" si="165"/>
        <v>0</v>
      </c>
      <c r="BI279" s="3166">
        <f t="shared" si="166"/>
        <v>0</v>
      </c>
      <c r="BJ279" s="3166">
        <f t="shared" si="167"/>
        <v>0</v>
      </c>
      <c r="BK279" s="3166">
        <f t="shared" si="168"/>
        <v>0</v>
      </c>
      <c r="BL279" s="3166">
        <f t="shared" si="169"/>
        <v>0</v>
      </c>
      <c r="BM279" s="3166">
        <f t="shared" si="170"/>
        <v>0</v>
      </c>
      <c r="BN279" s="3166">
        <f t="shared" si="171"/>
        <v>0</v>
      </c>
      <c r="BO279" s="3166">
        <f t="shared" si="172"/>
        <v>0</v>
      </c>
      <c r="BP279" s="3166">
        <f t="shared" si="173"/>
        <v>0</v>
      </c>
      <c r="BQ279" s="3166">
        <f t="shared" si="174"/>
        <v>0</v>
      </c>
      <c r="BR279" s="3166">
        <f t="shared" si="175"/>
        <v>0</v>
      </c>
      <c r="BS279" s="3166">
        <f t="shared" si="176"/>
        <v>0</v>
      </c>
      <c r="BT279" s="3240">
        <f t="shared" si="177"/>
        <v>0</v>
      </c>
    </row>
    <row r="280" spans="1:72">
      <c r="A280" s="3163"/>
      <c r="B280" s="3164"/>
      <c r="C280" s="3164"/>
      <c r="D280" s="3176"/>
      <c r="E280" s="3166">
        <f t="shared" si="149"/>
        <v>0</v>
      </c>
      <c r="F280" s="3167"/>
      <c r="G280" s="3168">
        <f t="shared" si="150"/>
        <v>0</v>
      </c>
      <c r="H280" s="3169">
        <f t="shared" si="151"/>
        <v>0</v>
      </c>
      <c r="I280" s="3187"/>
      <c r="J280" s="3187"/>
      <c r="K280" s="3187"/>
      <c r="L280" s="3187"/>
      <c r="M280" s="3187"/>
      <c r="N280" s="3187"/>
      <c r="O280" s="3187"/>
      <c r="P280" s="3187"/>
      <c r="Q280" s="3187"/>
      <c r="R280" s="3187"/>
      <c r="S280" s="3187"/>
      <c r="T280" s="3187"/>
      <c r="U280" s="3187"/>
      <c r="V280" s="3187"/>
      <c r="W280" s="3187"/>
      <c r="X280" s="3187"/>
      <c r="Y280" s="3187"/>
      <c r="Z280" s="3187"/>
      <c r="AA280" s="3187"/>
      <c r="AB280" s="3187"/>
      <c r="AC280" s="3166">
        <f t="shared" si="152"/>
        <v>0</v>
      </c>
      <c r="AD280" s="3198"/>
      <c r="AE280" s="3198"/>
      <c r="AF280" s="3198"/>
      <c r="AG280" s="3198"/>
      <c r="AH280" s="3198"/>
      <c r="AI280" s="3198"/>
      <c r="AJ280" s="3198"/>
      <c r="AK280" s="3198"/>
      <c r="AL280" s="3198"/>
      <c r="AM280" s="3198"/>
      <c r="AN280" s="3198"/>
      <c r="AO280" s="3198"/>
      <c r="AP280" s="3198"/>
      <c r="AQ280" s="3198"/>
      <c r="AR280" s="3198"/>
      <c r="AS280" s="3198"/>
      <c r="AT280" s="3218"/>
      <c r="AU280" s="3219"/>
      <c r="AV280" s="488">
        <f t="shared" si="153"/>
        <v>0</v>
      </c>
      <c r="AW280" s="488">
        <f t="shared" si="154"/>
        <v>0</v>
      </c>
      <c r="AX280" s="488">
        <f t="shared" si="155"/>
        <v>0</v>
      </c>
      <c r="AY280" s="3235">
        <f t="shared" si="156"/>
        <v>0</v>
      </c>
      <c r="AZ280" s="3166">
        <f t="shared" si="157"/>
        <v>0</v>
      </c>
      <c r="BA280" s="3166">
        <f t="shared" si="158"/>
        <v>0</v>
      </c>
      <c r="BB280" s="3166">
        <f t="shared" si="159"/>
        <v>0</v>
      </c>
      <c r="BC280" s="3166">
        <f t="shared" si="160"/>
        <v>0</v>
      </c>
      <c r="BD280" s="3166">
        <f t="shared" si="161"/>
        <v>0</v>
      </c>
      <c r="BE280" s="3166">
        <f t="shared" si="162"/>
        <v>0</v>
      </c>
      <c r="BF280" s="3166">
        <f t="shared" si="163"/>
        <v>0</v>
      </c>
      <c r="BG280" s="3166">
        <f t="shared" si="164"/>
        <v>0</v>
      </c>
      <c r="BH280" s="3166">
        <f t="shared" si="165"/>
        <v>0</v>
      </c>
      <c r="BI280" s="3166">
        <f t="shared" si="166"/>
        <v>0</v>
      </c>
      <c r="BJ280" s="3166">
        <f t="shared" si="167"/>
        <v>0</v>
      </c>
      <c r="BK280" s="3166">
        <f t="shared" si="168"/>
        <v>0</v>
      </c>
      <c r="BL280" s="3166">
        <f t="shared" si="169"/>
        <v>0</v>
      </c>
      <c r="BM280" s="3166">
        <f t="shared" si="170"/>
        <v>0</v>
      </c>
      <c r="BN280" s="3166">
        <f t="shared" si="171"/>
        <v>0</v>
      </c>
      <c r="BO280" s="3166">
        <f t="shared" si="172"/>
        <v>0</v>
      </c>
      <c r="BP280" s="3166">
        <f t="shared" si="173"/>
        <v>0</v>
      </c>
      <c r="BQ280" s="3166">
        <f t="shared" si="174"/>
        <v>0</v>
      </c>
      <c r="BR280" s="3166">
        <f t="shared" si="175"/>
        <v>0</v>
      </c>
      <c r="BS280" s="3166">
        <f t="shared" si="176"/>
        <v>0</v>
      </c>
      <c r="BT280" s="3240">
        <f t="shared" si="177"/>
        <v>0</v>
      </c>
    </row>
    <row r="281" spans="1:72">
      <c r="A281" s="3163"/>
      <c r="B281" s="3164"/>
      <c r="C281" s="3164"/>
      <c r="D281" s="3176"/>
      <c r="E281" s="3166">
        <f t="shared" si="149"/>
        <v>0</v>
      </c>
      <c r="F281" s="3167"/>
      <c r="G281" s="3168">
        <f t="shared" si="150"/>
        <v>0</v>
      </c>
      <c r="H281" s="3169">
        <f t="shared" si="151"/>
        <v>0</v>
      </c>
      <c r="I281" s="3187"/>
      <c r="J281" s="3187"/>
      <c r="K281" s="3187"/>
      <c r="L281" s="3187"/>
      <c r="M281" s="3187"/>
      <c r="N281" s="3187"/>
      <c r="O281" s="3187"/>
      <c r="P281" s="3187"/>
      <c r="Q281" s="3187"/>
      <c r="R281" s="3187"/>
      <c r="S281" s="3187"/>
      <c r="T281" s="3187"/>
      <c r="U281" s="3187"/>
      <c r="V281" s="3187"/>
      <c r="W281" s="3187"/>
      <c r="X281" s="3187"/>
      <c r="Y281" s="3187"/>
      <c r="Z281" s="3187"/>
      <c r="AA281" s="3187"/>
      <c r="AB281" s="3187"/>
      <c r="AC281" s="3166">
        <f t="shared" si="152"/>
        <v>0</v>
      </c>
      <c r="AD281" s="3198"/>
      <c r="AE281" s="3198"/>
      <c r="AF281" s="3198"/>
      <c r="AG281" s="3198"/>
      <c r="AH281" s="3198"/>
      <c r="AI281" s="3198"/>
      <c r="AJ281" s="3198"/>
      <c r="AK281" s="3198"/>
      <c r="AL281" s="3198"/>
      <c r="AM281" s="3198"/>
      <c r="AN281" s="3198"/>
      <c r="AO281" s="3198"/>
      <c r="AP281" s="3198"/>
      <c r="AQ281" s="3198"/>
      <c r="AR281" s="3198"/>
      <c r="AS281" s="3198"/>
      <c r="AT281" s="3218"/>
      <c r="AU281" s="3219"/>
      <c r="AV281" s="488">
        <f t="shared" si="153"/>
        <v>0</v>
      </c>
      <c r="AW281" s="488">
        <f t="shared" si="154"/>
        <v>0</v>
      </c>
      <c r="AX281" s="488">
        <f t="shared" si="155"/>
        <v>0</v>
      </c>
      <c r="AY281" s="3235">
        <f t="shared" si="156"/>
        <v>0</v>
      </c>
      <c r="AZ281" s="3166">
        <f t="shared" si="157"/>
        <v>0</v>
      </c>
      <c r="BA281" s="3166">
        <f t="shared" si="158"/>
        <v>0</v>
      </c>
      <c r="BB281" s="3166">
        <f t="shared" si="159"/>
        <v>0</v>
      </c>
      <c r="BC281" s="3166">
        <f t="shared" si="160"/>
        <v>0</v>
      </c>
      <c r="BD281" s="3166">
        <f t="shared" si="161"/>
        <v>0</v>
      </c>
      <c r="BE281" s="3166">
        <f t="shared" si="162"/>
        <v>0</v>
      </c>
      <c r="BF281" s="3166">
        <f t="shared" si="163"/>
        <v>0</v>
      </c>
      <c r="BG281" s="3166">
        <f t="shared" si="164"/>
        <v>0</v>
      </c>
      <c r="BH281" s="3166">
        <f t="shared" si="165"/>
        <v>0</v>
      </c>
      <c r="BI281" s="3166">
        <f t="shared" si="166"/>
        <v>0</v>
      </c>
      <c r="BJ281" s="3166">
        <f t="shared" si="167"/>
        <v>0</v>
      </c>
      <c r="BK281" s="3166">
        <f t="shared" si="168"/>
        <v>0</v>
      </c>
      <c r="BL281" s="3166">
        <f t="shared" si="169"/>
        <v>0</v>
      </c>
      <c r="BM281" s="3166">
        <f t="shared" si="170"/>
        <v>0</v>
      </c>
      <c r="BN281" s="3166">
        <f t="shared" si="171"/>
        <v>0</v>
      </c>
      <c r="BO281" s="3166">
        <f t="shared" si="172"/>
        <v>0</v>
      </c>
      <c r="BP281" s="3166">
        <f t="shared" si="173"/>
        <v>0</v>
      </c>
      <c r="BQ281" s="3166">
        <f t="shared" si="174"/>
        <v>0</v>
      </c>
      <c r="BR281" s="3166">
        <f t="shared" si="175"/>
        <v>0</v>
      </c>
      <c r="BS281" s="3166">
        <f t="shared" si="176"/>
        <v>0</v>
      </c>
      <c r="BT281" s="3240">
        <f t="shared" si="177"/>
        <v>0</v>
      </c>
    </row>
    <row r="282" spans="1:72">
      <c r="A282" s="3163"/>
      <c r="B282" s="3164"/>
      <c r="C282" s="3164"/>
      <c r="D282" s="3176"/>
      <c r="E282" s="3166">
        <f t="shared" si="149"/>
        <v>0</v>
      </c>
      <c r="F282" s="3167"/>
      <c r="G282" s="3168">
        <f t="shared" si="150"/>
        <v>0</v>
      </c>
      <c r="H282" s="3169">
        <f t="shared" si="151"/>
        <v>0</v>
      </c>
      <c r="I282" s="3187"/>
      <c r="J282" s="3187"/>
      <c r="K282" s="3187"/>
      <c r="L282" s="3187"/>
      <c r="M282" s="3187"/>
      <c r="N282" s="3187"/>
      <c r="O282" s="3187"/>
      <c r="P282" s="3187"/>
      <c r="Q282" s="3187"/>
      <c r="R282" s="3187"/>
      <c r="S282" s="3187"/>
      <c r="T282" s="3187"/>
      <c r="U282" s="3187"/>
      <c r="V282" s="3187"/>
      <c r="W282" s="3187"/>
      <c r="X282" s="3187"/>
      <c r="Y282" s="3187"/>
      <c r="Z282" s="3187"/>
      <c r="AA282" s="3187"/>
      <c r="AB282" s="3187"/>
      <c r="AC282" s="3166">
        <f t="shared" si="152"/>
        <v>0</v>
      </c>
      <c r="AD282" s="3198"/>
      <c r="AE282" s="3198"/>
      <c r="AF282" s="3198"/>
      <c r="AG282" s="3198"/>
      <c r="AH282" s="3198"/>
      <c r="AI282" s="3198"/>
      <c r="AJ282" s="3198"/>
      <c r="AK282" s="3198"/>
      <c r="AL282" s="3198"/>
      <c r="AM282" s="3198"/>
      <c r="AN282" s="3198"/>
      <c r="AO282" s="3198"/>
      <c r="AP282" s="3198"/>
      <c r="AQ282" s="3198"/>
      <c r="AR282" s="3198"/>
      <c r="AS282" s="3198"/>
      <c r="AT282" s="3218"/>
      <c r="AU282" s="3219"/>
      <c r="AV282" s="488">
        <f t="shared" si="153"/>
        <v>0</v>
      </c>
      <c r="AW282" s="488">
        <f t="shared" si="154"/>
        <v>0</v>
      </c>
      <c r="AX282" s="488">
        <f t="shared" si="155"/>
        <v>0</v>
      </c>
      <c r="AY282" s="3235">
        <f t="shared" si="156"/>
        <v>0</v>
      </c>
      <c r="AZ282" s="3166">
        <f t="shared" si="157"/>
        <v>0</v>
      </c>
      <c r="BA282" s="3166">
        <f t="shared" si="158"/>
        <v>0</v>
      </c>
      <c r="BB282" s="3166">
        <f t="shared" si="159"/>
        <v>0</v>
      </c>
      <c r="BC282" s="3166">
        <f t="shared" si="160"/>
        <v>0</v>
      </c>
      <c r="BD282" s="3166">
        <f t="shared" si="161"/>
        <v>0</v>
      </c>
      <c r="BE282" s="3166">
        <f t="shared" si="162"/>
        <v>0</v>
      </c>
      <c r="BF282" s="3166">
        <f t="shared" si="163"/>
        <v>0</v>
      </c>
      <c r="BG282" s="3166">
        <f t="shared" si="164"/>
        <v>0</v>
      </c>
      <c r="BH282" s="3166">
        <f t="shared" si="165"/>
        <v>0</v>
      </c>
      <c r="BI282" s="3166">
        <f t="shared" si="166"/>
        <v>0</v>
      </c>
      <c r="BJ282" s="3166">
        <f t="shared" si="167"/>
        <v>0</v>
      </c>
      <c r="BK282" s="3166">
        <f t="shared" si="168"/>
        <v>0</v>
      </c>
      <c r="BL282" s="3166">
        <f t="shared" si="169"/>
        <v>0</v>
      </c>
      <c r="BM282" s="3166">
        <f t="shared" si="170"/>
        <v>0</v>
      </c>
      <c r="BN282" s="3166">
        <f t="shared" si="171"/>
        <v>0</v>
      </c>
      <c r="BO282" s="3166">
        <f t="shared" si="172"/>
        <v>0</v>
      </c>
      <c r="BP282" s="3166">
        <f t="shared" si="173"/>
        <v>0</v>
      </c>
      <c r="BQ282" s="3166">
        <f t="shared" si="174"/>
        <v>0</v>
      </c>
      <c r="BR282" s="3166">
        <f t="shared" si="175"/>
        <v>0</v>
      </c>
      <c r="BS282" s="3166">
        <f t="shared" si="176"/>
        <v>0</v>
      </c>
      <c r="BT282" s="3240">
        <f t="shared" si="177"/>
        <v>0</v>
      </c>
    </row>
    <row r="283" spans="1:72">
      <c r="A283" s="3163"/>
      <c r="B283" s="3164"/>
      <c r="C283" s="3164"/>
      <c r="D283" s="3176"/>
      <c r="E283" s="3166">
        <f t="shared" si="149"/>
        <v>0</v>
      </c>
      <c r="F283" s="3167"/>
      <c r="G283" s="3168">
        <f t="shared" si="150"/>
        <v>0</v>
      </c>
      <c r="H283" s="3169">
        <f t="shared" si="151"/>
        <v>0</v>
      </c>
      <c r="I283" s="3187"/>
      <c r="J283" s="3187"/>
      <c r="K283" s="3187"/>
      <c r="L283" s="3187"/>
      <c r="M283" s="3187"/>
      <c r="N283" s="3187"/>
      <c r="O283" s="3187"/>
      <c r="P283" s="3187"/>
      <c r="Q283" s="3187"/>
      <c r="R283" s="3187"/>
      <c r="S283" s="3187"/>
      <c r="T283" s="3187"/>
      <c r="U283" s="3187"/>
      <c r="V283" s="3187"/>
      <c r="W283" s="3187"/>
      <c r="X283" s="3187"/>
      <c r="Y283" s="3187"/>
      <c r="Z283" s="3187"/>
      <c r="AA283" s="3187"/>
      <c r="AB283" s="3187"/>
      <c r="AC283" s="3166">
        <f t="shared" si="152"/>
        <v>0</v>
      </c>
      <c r="AD283" s="3198"/>
      <c r="AE283" s="3198"/>
      <c r="AF283" s="3198"/>
      <c r="AG283" s="3198"/>
      <c r="AH283" s="3198"/>
      <c r="AI283" s="3198"/>
      <c r="AJ283" s="3198"/>
      <c r="AK283" s="3198"/>
      <c r="AL283" s="3198"/>
      <c r="AM283" s="3198"/>
      <c r="AN283" s="3198"/>
      <c r="AO283" s="3198"/>
      <c r="AP283" s="3198"/>
      <c r="AQ283" s="3198"/>
      <c r="AR283" s="3198"/>
      <c r="AS283" s="3198"/>
      <c r="AT283" s="3218"/>
      <c r="AU283" s="3219"/>
      <c r="AV283" s="488">
        <f t="shared" si="153"/>
        <v>0</v>
      </c>
      <c r="AW283" s="488">
        <f t="shared" si="154"/>
        <v>0</v>
      </c>
      <c r="AX283" s="488">
        <f t="shared" si="155"/>
        <v>0</v>
      </c>
      <c r="AY283" s="3235">
        <f t="shared" si="156"/>
        <v>0</v>
      </c>
      <c r="AZ283" s="3166">
        <f t="shared" si="157"/>
        <v>0</v>
      </c>
      <c r="BA283" s="3166">
        <f t="shared" si="158"/>
        <v>0</v>
      </c>
      <c r="BB283" s="3166">
        <f t="shared" si="159"/>
        <v>0</v>
      </c>
      <c r="BC283" s="3166">
        <f t="shared" si="160"/>
        <v>0</v>
      </c>
      <c r="BD283" s="3166">
        <f t="shared" si="161"/>
        <v>0</v>
      </c>
      <c r="BE283" s="3166">
        <f t="shared" si="162"/>
        <v>0</v>
      </c>
      <c r="BF283" s="3166">
        <f t="shared" si="163"/>
        <v>0</v>
      </c>
      <c r="BG283" s="3166">
        <f t="shared" si="164"/>
        <v>0</v>
      </c>
      <c r="BH283" s="3166">
        <f t="shared" si="165"/>
        <v>0</v>
      </c>
      <c r="BI283" s="3166">
        <f t="shared" si="166"/>
        <v>0</v>
      </c>
      <c r="BJ283" s="3166">
        <f t="shared" si="167"/>
        <v>0</v>
      </c>
      <c r="BK283" s="3166">
        <f t="shared" si="168"/>
        <v>0</v>
      </c>
      <c r="BL283" s="3166">
        <f t="shared" si="169"/>
        <v>0</v>
      </c>
      <c r="BM283" s="3166">
        <f t="shared" si="170"/>
        <v>0</v>
      </c>
      <c r="BN283" s="3166">
        <f t="shared" si="171"/>
        <v>0</v>
      </c>
      <c r="BO283" s="3166">
        <f t="shared" si="172"/>
        <v>0</v>
      </c>
      <c r="BP283" s="3166">
        <f t="shared" si="173"/>
        <v>0</v>
      </c>
      <c r="BQ283" s="3166">
        <f t="shared" si="174"/>
        <v>0</v>
      </c>
      <c r="BR283" s="3166">
        <f t="shared" si="175"/>
        <v>0</v>
      </c>
      <c r="BS283" s="3166">
        <f t="shared" si="176"/>
        <v>0</v>
      </c>
      <c r="BT283" s="3240">
        <f t="shared" si="177"/>
        <v>0</v>
      </c>
    </row>
    <row r="284" spans="1:72">
      <c r="A284" s="3163"/>
      <c r="B284" s="3164"/>
      <c r="C284" s="3164"/>
      <c r="D284" s="3176"/>
      <c r="E284" s="3166">
        <f t="shared" si="149"/>
        <v>0</v>
      </c>
      <c r="F284" s="3167"/>
      <c r="G284" s="3168">
        <f t="shared" si="150"/>
        <v>0</v>
      </c>
      <c r="H284" s="3169">
        <f t="shared" si="151"/>
        <v>0</v>
      </c>
      <c r="I284" s="3187"/>
      <c r="J284" s="3187"/>
      <c r="K284" s="3187"/>
      <c r="L284" s="3187"/>
      <c r="M284" s="3187"/>
      <c r="N284" s="3187"/>
      <c r="O284" s="3187"/>
      <c r="P284" s="3187"/>
      <c r="Q284" s="3187"/>
      <c r="R284" s="3187"/>
      <c r="S284" s="3187"/>
      <c r="T284" s="3187"/>
      <c r="U284" s="3187"/>
      <c r="V284" s="3187"/>
      <c r="W284" s="3187"/>
      <c r="X284" s="3187"/>
      <c r="Y284" s="3187"/>
      <c r="Z284" s="3187"/>
      <c r="AA284" s="3187"/>
      <c r="AB284" s="3187"/>
      <c r="AC284" s="3166">
        <f t="shared" si="152"/>
        <v>0</v>
      </c>
      <c r="AD284" s="3198"/>
      <c r="AE284" s="3198"/>
      <c r="AF284" s="3198"/>
      <c r="AG284" s="3198"/>
      <c r="AH284" s="3198"/>
      <c r="AI284" s="3198"/>
      <c r="AJ284" s="3198"/>
      <c r="AK284" s="3198"/>
      <c r="AL284" s="3198"/>
      <c r="AM284" s="3198"/>
      <c r="AN284" s="3198"/>
      <c r="AO284" s="3198"/>
      <c r="AP284" s="3198"/>
      <c r="AQ284" s="3198"/>
      <c r="AR284" s="3198"/>
      <c r="AS284" s="3198"/>
      <c r="AT284" s="3218"/>
      <c r="AU284" s="3219"/>
      <c r="AV284" s="488">
        <f t="shared" si="153"/>
        <v>0</v>
      </c>
      <c r="AW284" s="488">
        <f t="shared" si="154"/>
        <v>0</v>
      </c>
      <c r="AX284" s="488">
        <f t="shared" si="155"/>
        <v>0</v>
      </c>
      <c r="AY284" s="3235">
        <f t="shared" si="156"/>
        <v>0</v>
      </c>
      <c r="AZ284" s="3166">
        <f t="shared" si="157"/>
        <v>0</v>
      </c>
      <c r="BA284" s="3166">
        <f t="shared" si="158"/>
        <v>0</v>
      </c>
      <c r="BB284" s="3166">
        <f t="shared" si="159"/>
        <v>0</v>
      </c>
      <c r="BC284" s="3166">
        <f t="shared" si="160"/>
        <v>0</v>
      </c>
      <c r="BD284" s="3166">
        <f t="shared" si="161"/>
        <v>0</v>
      </c>
      <c r="BE284" s="3166">
        <f t="shared" si="162"/>
        <v>0</v>
      </c>
      <c r="BF284" s="3166">
        <f t="shared" si="163"/>
        <v>0</v>
      </c>
      <c r="BG284" s="3166">
        <f t="shared" si="164"/>
        <v>0</v>
      </c>
      <c r="BH284" s="3166">
        <f t="shared" si="165"/>
        <v>0</v>
      </c>
      <c r="BI284" s="3166">
        <f t="shared" si="166"/>
        <v>0</v>
      </c>
      <c r="BJ284" s="3166">
        <f t="shared" si="167"/>
        <v>0</v>
      </c>
      <c r="BK284" s="3166">
        <f t="shared" si="168"/>
        <v>0</v>
      </c>
      <c r="BL284" s="3166">
        <f t="shared" si="169"/>
        <v>0</v>
      </c>
      <c r="BM284" s="3166">
        <f t="shared" si="170"/>
        <v>0</v>
      </c>
      <c r="BN284" s="3166">
        <f t="shared" si="171"/>
        <v>0</v>
      </c>
      <c r="BO284" s="3166">
        <f t="shared" si="172"/>
        <v>0</v>
      </c>
      <c r="BP284" s="3166">
        <f t="shared" si="173"/>
        <v>0</v>
      </c>
      <c r="BQ284" s="3166">
        <f t="shared" si="174"/>
        <v>0</v>
      </c>
      <c r="BR284" s="3166">
        <f t="shared" si="175"/>
        <v>0</v>
      </c>
      <c r="BS284" s="3166">
        <f t="shared" si="176"/>
        <v>0</v>
      </c>
      <c r="BT284" s="3240">
        <f t="shared" si="177"/>
        <v>0</v>
      </c>
    </row>
    <row r="285" spans="1:72">
      <c r="A285" s="3163"/>
      <c r="B285" s="3164"/>
      <c r="C285" s="3164"/>
      <c r="D285" s="3176"/>
      <c r="E285" s="3166">
        <f t="shared" si="149"/>
        <v>0</v>
      </c>
      <c r="F285" s="3167"/>
      <c r="G285" s="3168">
        <f t="shared" si="150"/>
        <v>0</v>
      </c>
      <c r="H285" s="3169">
        <f t="shared" si="151"/>
        <v>0</v>
      </c>
      <c r="I285" s="3187"/>
      <c r="J285" s="3187"/>
      <c r="K285" s="3187"/>
      <c r="L285" s="3187"/>
      <c r="M285" s="3187"/>
      <c r="N285" s="3187"/>
      <c r="O285" s="3187"/>
      <c r="P285" s="3187"/>
      <c r="Q285" s="3187"/>
      <c r="R285" s="3187"/>
      <c r="S285" s="3187"/>
      <c r="T285" s="3187"/>
      <c r="U285" s="3187"/>
      <c r="V285" s="3187"/>
      <c r="W285" s="3187"/>
      <c r="X285" s="3187"/>
      <c r="Y285" s="3187"/>
      <c r="Z285" s="3187"/>
      <c r="AA285" s="3187"/>
      <c r="AB285" s="3187"/>
      <c r="AC285" s="3166">
        <f t="shared" si="152"/>
        <v>0</v>
      </c>
      <c r="AD285" s="3198"/>
      <c r="AE285" s="3198"/>
      <c r="AF285" s="3198"/>
      <c r="AG285" s="3198"/>
      <c r="AH285" s="3198"/>
      <c r="AI285" s="3198"/>
      <c r="AJ285" s="3198"/>
      <c r="AK285" s="3198"/>
      <c r="AL285" s="3198"/>
      <c r="AM285" s="3198"/>
      <c r="AN285" s="3198"/>
      <c r="AO285" s="3198"/>
      <c r="AP285" s="3198"/>
      <c r="AQ285" s="3198"/>
      <c r="AR285" s="3198"/>
      <c r="AS285" s="3198"/>
      <c r="AT285" s="3218"/>
      <c r="AU285" s="3219"/>
      <c r="AV285" s="488">
        <f t="shared" si="153"/>
        <v>0</v>
      </c>
      <c r="AW285" s="488">
        <f t="shared" si="154"/>
        <v>0</v>
      </c>
      <c r="AX285" s="488">
        <f t="shared" si="155"/>
        <v>0</v>
      </c>
      <c r="AY285" s="3235">
        <f t="shared" si="156"/>
        <v>0</v>
      </c>
      <c r="AZ285" s="3166">
        <f t="shared" si="157"/>
        <v>0</v>
      </c>
      <c r="BA285" s="3166">
        <f t="shared" si="158"/>
        <v>0</v>
      </c>
      <c r="BB285" s="3166">
        <f t="shared" si="159"/>
        <v>0</v>
      </c>
      <c r="BC285" s="3166">
        <f t="shared" si="160"/>
        <v>0</v>
      </c>
      <c r="BD285" s="3166">
        <f t="shared" si="161"/>
        <v>0</v>
      </c>
      <c r="BE285" s="3166">
        <f t="shared" si="162"/>
        <v>0</v>
      </c>
      <c r="BF285" s="3166">
        <f t="shared" si="163"/>
        <v>0</v>
      </c>
      <c r="BG285" s="3166">
        <f t="shared" si="164"/>
        <v>0</v>
      </c>
      <c r="BH285" s="3166">
        <f t="shared" si="165"/>
        <v>0</v>
      </c>
      <c r="BI285" s="3166">
        <f t="shared" si="166"/>
        <v>0</v>
      </c>
      <c r="BJ285" s="3166">
        <f t="shared" si="167"/>
        <v>0</v>
      </c>
      <c r="BK285" s="3166">
        <f t="shared" si="168"/>
        <v>0</v>
      </c>
      <c r="BL285" s="3166">
        <f t="shared" si="169"/>
        <v>0</v>
      </c>
      <c r="BM285" s="3166">
        <f t="shared" si="170"/>
        <v>0</v>
      </c>
      <c r="BN285" s="3166">
        <f t="shared" si="171"/>
        <v>0</v>
      </c>
      <c r="BO285" s="3166">
        <f t="shared" si="172"/>
        <v>0</v>
      </c>
      <c r="BP285" s="3166">
        <f t="shared" si="173"/>
        <v>0</v>
      </c>
      <c r="BQ285" s="3166">
        <f t="shared" si="174"/>
        <v>0</v>
      </c>
      <c r="BR285" s="3166">
        <f t="shared" si="175"/>
        <v>0</v>
      </c>
      <c r="BS285" s="3166">
        <f t="shared" si="176"/>
        <v>0</v>
      </c>
      <c r="BT285" s="3240">
        <f t="shared" si="177"/>
        <v>0</v>
      </c>
    </row>
    <row r="286" spans="1:72">
      <c r="A286" s="3163"/>
      <c r="B286" s="3164"/>
      <c r="C286" s="3164"/>
      <c r="D286" s="3176"/>
      <c r="E286" s="3166">
        <f t="shared" si="149"/>
        <v>0</v>
      </c>
      <c r="F286" s="3167"/>
      <c r="G286" s="3168">
        <f t="shared" si="150"/>
        <v>0</v>
      </c>
      <c r="H286" s="3169">
        <f t="shared" si="151"/>
        <v>0</v>
      </c>
      <c r="I286" s="3187"/>
      <c r="J286" s="3187"/>
      <c r="K286" s="3187"/>
      <c r="L286" s="3187"/>
      <c r="M286" s="3187"/>
      <c r="N286" s="3187"/>
      <c r="O286" s="3187"/>
      <c r="P286" s="3187"/>
      <c r="Q286" s="3187"/>
      <c r="R286" s="3187"/>
      <c r="S286" s="3187"/>
      <c r="T286" s="3187"/>
      <c r="U286" s="3187"/>
      <c r="V286" s="3187"/>
      <c r="W286" s="3187"/>
      <c r="X286" s="3187"/>
      <c r="Y286" s="3187"/>
      <c r="Z286" s="3187"/>
      <c r="AA286" s="3187"/>
      <c r="AB286" s="3187"/>
      <c r="AC286" s="3166">
        <f t="shared" si="152"/>
        <v>0</v>
      </c>
      <c r="AD286" s="3198"/>
      <c r="AE286" s="3198"/>
      <c r="AF286" s="3198"/>
      <c r="AG286" s="3198"/>
      <c r="AH286" s="3198"/>
      <c r="AI286" s="3198"/>
      <c r="AJ286" s="3198"/>
      <c r="AK286" s="3198"/>
      <c r="AL286" s="3198"/>
      <c r="AM286" s="3198"/>
      <c r="AN286" s="3198"/>
      <c r="AO286" s="3198"/>
      <c r="AP286" s="3198"/>
      <c r="AQ286" s="3198"/>
      <c r="AR286" s="3198"/>
      <c r="AS286" s="3198"/>
      <c r="AT286" s="3218"/>
      <c r="AU286" s="3219"/>
      <c r="AV286" s="488">
        <f t="shared" si="153"/>
        <v>0</v>
      </c>
      <c r="AW286" s="488">
        <f t="shared" si="154"/>
        <v>0</v>
      </c>
      <c r="AX286" s="488">
        <f t="shared" si="155"/>
        <v>0</v>
      </c>
      <c r="AY286" s="3235">
        <f t="shared" si="156"/>
        <v>0</v>
      </c>
      <c r="AZ286" s="3166">
        <f t="shared" si="157"/>
        <v>0</v>
      </c>
      <c r="BA286" s="3166">
        <f t="shared" si="158"/>
        <v>0</v>
      </c>
      <c r="BB286" s="3166">
        <f t="shared" si="159"/>
        <v>0</v>
      </c>
      <c r="BC286" s="3166">
        <f t="shared" si="160"/>
        <v>0</v>
      </c>
      <c r="BD286" s="3166">
        <f t="shared" si="161"/>
        <v>0</v>
      </c>
      <c r="BE286" s="3166">
        <f t="shared" si="162"/>
        <v>0</v>
      </c>
      <c r="BF286" s="3166">
        <f t="shared" si="163"/>
        <v>0</v>
      </c>
      <c r="BG286" s="3166">
        <f t="shared" si="164"/>
        <v>0</v>
      </c>
      <c r="BH286" s="3166">
        <f t="shared" si="165"/>
        <v>0</v>
      </c>
      <c r="BI286" s="3166">
        <f t="shared" si="166"/>
        <v>0</v>
      </c>
      <c r="BJ286" s="3166">
        <f t="shared" si="167"/>
        <v>0</v>
      </c>
      <c r="BK286" s="3166">
        <f t="shared" si="168"/>
        <v>0</v>
      </c>
      <c r="BL286" s="3166">
        <f t="shared" si="169"/>
        <v>0</v>
      </c>
      <c r="BM286" s="3166">
        <f t="shared" si="170"/>
        <v>0</v>
      </c>
      <c r="BN286" s="3166">
        <f t="shared" si="171"/>
        <v>0</v>
      </c>
      <c r="BO286" s="3166">
        <f t="shared" si="172"/>
        <v>0</v>
      </c>
      <c r="BP286" s="3166">
        <f t="shared" si="173"/>
        <v>0</v>
      </c>
      <c r="BQ286" s="3166">
        <f t="shared" si="174"/>
        <v>0</v>
      </c>
      <c r="BR286" s="3166">
        <f t="shared" si="175"/>
        <v>0</v>
      </c>
      <c r="BS286" s="3166">
        <f t="shared" si="176"/>
        <v>0</v>
      </c>
      <c r="BT286" s="3240">
        <f t="shared" si="177"/>
        <v>0</v>
      </c>
    </row>
    <row r="287" spans="1:72">
      <c r="A287" s="3163"/>
      <c r="B287" s="3164"/>
      <c r="C287" s="3164"/>
      <c r="D287" s="3176"/>
      <c r="E287" s="3166">
        <f t="shared" si="149"/>
        <v>0</v>
      </c>
      <c r="F287" s="3167"/>
      <c r="G287" s="3168">
        <f t="shared" si="150"/>
        <v>0</v>
      </c>
      <c r="H287" s="3169">
        <f t="shared" si="151"/>
        <v>0</v>
      </c>
      <c r="I287" s="3187"/>
      <c r="J287" s="3187"/>
      <c r="K287" s="3187"/>
      <c r="L287" s="3187"/>
      <c r="M287" s="3187"/>
      <c r="N287" s="3187"/>
      <c r="O287" s="3187"/>
      <c r="P287" s="3187"/>
      <c r="Q287" s="3187"/>
      <c r="R287" s="3187"/>
      <c r="S287" s="3187"/>
      <c r="T287" s="3187"/>
      <c r="U287" s="3187"/>
      <c r="V287" s="3187"/>
      <c r="W287" s="3187"/>
      <c r="X287" s="3187"/>
      <c r="Y287" s="3187"/>
      <c r="Z287" s="3187"/>
      <c r="AA287" s="3187"/>
      <c r="AB287" s="3187"/>
      <c r="AC287" s="3166">
        <f t="shared" si="152"/>
        <v>0</v>
      </c>
      <c r="AD287" s="3198"/>
      <c r="AE287" s="3198"/>
      <c r="AF287" s="3198"/>
      <c r="AG287" s="3198"/>
      <c r="AH287" s="3198"/>
      <c r="AI287" s="3198"/>
      <c r="AJ287" s="3198"/>
      <c r="AK287" s="3198"/>
      <c r="AL287" s="3198"/>
      <c r="AM287" s="3198"/>
      <c r="AN287" s="3198"/>
      <c r="AO287" s="3198"/>
      <c r="AP287" s="3198"/>
      <c r="AQ287" s="3198"/>
      <c r="AR287" s="3198"/>
      <c r="AS287" s="3198"/>
      <c r="AT287" s="3218"/>
      <c r="AU287" s="3219"/>
      <c r="AV287" s="488">
        <f t="shared" si="153"/>
        <v>0</v>
      </c>
      <c r="AW287" s="488">
        <f t="shared" si="154"/>
        <v>0</v>
      </c>
      <c r="AX287" s="488">
        <f t="shared" si="155"/>
        <v>0</v>
      </c>
      <c r="AY287" s="3235">
        <f t="shared" si="156"/>
        <v>0</v>
      </c>
      <c r="AZ287" s="3166">
        <f t="shared" si="157"/>
        <v>0</v>
      </c>
      <c r="BA287" s="3166">
        <f t="shared" si="158"/>
        <v>0</v>
      </c>
      <c r="BB287" s="3166">
        <f t="shared" si="159"/>
        <v>0</v>
      </c>
      <c r="BC287" s="3166">
        <f t="shared" si="160"/>
        <v>0</v>
      </c>
      <c r="BD287" s="3166">
        <f t="shared" si="161"/>
        <v>0</v>
      </c>
      <c r="BE287" s="3166">
        <f t="shared" si="162"/>
        <v>0</v>
      </c>
      <c r="BF287" s="3166">
        <f t="shared" si="163"/>
        <v>0</v>
      </c>
      <c r="BG287" s="3166">
        <f t="shared" si="164"/>
        <v>0</v>
      </c>
      <c r="BH287" s="3166">
        <f t="shared" si="165"/>
        <v>0</v>
      </c>
      <c r="BI287" s="3166">
        <f t="shared" si="166"/>
        <v>0</v>
      </c>
      <c r="BJ287" s="3166">
        <f t="shared" si="167"/>
        <v>0</v>
      </c>
      <c r="BK287" s="3166">
        <f t="shared" si="168"/>
        <v>0</v>
      </c>
      <c r="BL287" s="3166">
        <f t="shared" si="169"/>
        <v>0</v>
      </c>
      <c r="BM287" s="3166">
        <f t="shared" si="170"/>
        <v>0</v>
      </c>
      <c r="BN287" s="3166">
        <f t="shared" si="171"/>
        <v>0</v>
      </c>
      <c r="BO287" s="3166">
        <f t="shared" si="172"/>
        <v>0</v>
      </c>
      <c r="BP287" s="3166">
        <f t="shared" si="173"/>
        <v>0</v>
      </c>
      <c r="BQ287" s="3166">
        <f t="shared" si="174"/>
        <v>0</v>
      </c>
      <c r="BR287" s="3166">
        <f t="shared" si="175"/>
        <v>0</v>
      </c>
      <c r="BS287" s="3166">
        <f t="shared" si="176"/>
        <v>0</v>
      </c>
      <c r="BT287" s="3240">
        <f t="shared" si="177"/>
        <v>0</v>
      </c>
    </row>
    <row r="288" spans="1:72">
      <c r="A288" s="3163"/>
      <c r="B288" s="3164"/>
      <c r="C288" s="3164"/>
      <c r="D288" s="3176"/>
      <c r="E288" s="3166">
        <f t="shared" si="149"/>
        <v>0</v>
      </c>
      <c r="F288" s="3167"/>
      <c r="G288" s="3168">
        <f t="shared" si="150"/>
        <v>0</v>
      </c>
      <c r="H288" s="3169">
        <f t="shared" si="151"/>
        <v>0</v>
      </c>
      <c r="I288" s="3187"/>
      <c r="J288" s="3187"/>
      <c r="K288" s="3187"/>
      <c r="L288" s="3187"/>
      <c r="M288" s="3187"/>
      <c r="N288" s="3187"/>
      <c r="O288" s="3187"/>
      <c r="P288" s="3187"/>
      <c r="Q288" s="3187"/>
      <c r="R288" s="3187"/>
      <c r="S288" s="3187"/>
      <c r="T288" s="3187"/>
      <c r="U288" s="3187"/>
      <c r="V288" s="3187"/>
      <c r="W288" s="3187"/>
      <c r="X288" s="3187"/>
      <c r="Y288" s="3187"/>
      <c r="Z288" s="3187"/>
      <c r="AA288" s="3187"/>
      <c r="AB288" s="3187"/>
      <c r="AC288" s="3166">
        <f t="shared" si="152"/>
        <v>0</v>
      </c>
      <c r="AD288" s="3198"/>
      <c r="AE288" s="3198"/>
      <c r="AF288" s="3198"/>
      <c r="AG288" s="3198"/>
      <c r="AH288" s="3198"/>
      <c r="AI288" s="3198"/>
      <c r="AJ288" s="3198"/>
      <c r="AK288" s="3198"/>
      <c r="AL288" s="3198"/>
      <c r="AM288" s="3198"/>
      <c r="AN288" s="3198"/>
      <c r="AO288" s="3198"/>
      <c r="AP288" s="3198"/>
      <c r="AQ288" s="3198"/>
      <c r="AR288" s="3198"/>
      <c r="AS288" s="3198"/>
      <c r="AT288" s="3218"/>
      <c r="AU288" s="3219"/>
      <c r="AV288" s="488">
        <f t="shared" si="153"/>
        <v>0</v>
      </c>
      <c r="AW288" s="488">
        <f t="shared" si="154"/>
        <v>0</v>
      </c>
      <c r="AX288" s="488">
        <f t="shared" si="155"/>
        <v>0</v>
      </c>
      <c r="AY288" s="3235">
        <f t="shared" si="156"/>
        <v>0</v>
      </c>
      <c r="AZ288" s="3166">
        <f t="shared" si="157"/>
        <v>0</v>
      </c>
      <c r="BA288" s="3166">
        <f t="shared" si="158"/>
        <v>0</v>
      </c>
      <c r="BB288" s="3166">
        <f t="shared" si="159"/>
        <v>0</v>
      </c>
      <c r="BC288" s="3166">
        <f t="shared" si="160"/>
        <v>0</v>
      </c>
      <c r="BD288" s="3166">
        <f t="shared" si="161"/>
        <v>0</v>
      </c>
      <c r="BE288" s="3166">
        <f t="shared" si="162"/>
        <v>0</v>
      </c>
      <c r="BF288" s="3166">
        <f t="shared" si="163"/>
        <v>0</v>
      </c>
      <c r="BG288" s="3166">
        <f t="shared" si="164"/>
        <v>0</v>
      </c>
      <c r="BH288" s="3166">
        <f t="shared" si="165"/>
        <v>0</v>
      </c>
      <c r="BI288" s="3166">
        <f t="shared" si="166"/>
        <v>0</v>
      </c>
      <c r="BJ288" s="3166">
        <f t="shared" si="167"/>
        <v>0</v>
      </c>
      <c r="BK288" s="3166">
        <f t="shared" si="168"/>
        <v>0</v>
      </c>
      <c r="BL288" s="3166">
        <f t="shared" si="169"/>
        <v>0</v>
      </c>
      <c r="BM288" s="3166">
        <f t="shared" si="170"/>
        <v>0</v>
      </c>
      <c r="BN288" s="3166">
        <f t="shared" si="171"/>
        <v>0</v>
      </c>
      <c r="BO288" s="3166">
        <f t="shared" si="172"/>
        <v>0</v>
      </c>
      <c r="BP288" s="3166">
        <f t="shared" si="173"/>
        <v>0</v>
      </c>
      <c r="BQ288" s="3166">
        <f t="shared" si="174"/>
        <v>0</v>
      </c>
      <c r="BR288" s="3166">
        <f t="shared" si="175"/>
        <v>0</v>
      </c>
      <c r="BS288" s="3166">
        <f t="shared" si="176"/>
        <v>0</v>
      </c>
      <c r="BT288" s="3240">
        <f t="shared" si="177"/>
        <v>0</v>
      </c>
    </row>
    <row r="289" spans="1:72">
      <c r="A289" s="3163"/>
      <c r="B289" s="3164"/>
      <c r="C289" s="3164"/>
      <c r="D289" s="3176"/>
      <c r="E289" s="3166">
        <f t="shared" si="149"/>
        <v>0</v>
      </c>
      <c r="F289" s="3167"/>
      <c r="G289" s="3168">
        <f t="shared" si="150"/>
        <v>0</v>
      </c>
      <c r="H289" s="3169">
        <f t="shared" si="151"/>
        <v>0</v>
      </c>
      <c r="I289" s="3187"/>
      <c r="J289" s="3187"/>
      <c r="K289" s="3187"/>
      <c r="L289" s="3187"/>
      <c r="M289" s="3187"/>
      <c r="N289" s="3187"/>
      <c r="O289" s="3187"/>
      <c r="P289" s="3187"/>
      <c r="Q289" s="3187"/>
      <c r="R289" s="3187"/>
      <c r="S289" s="3187"/>
      <c r="T289" s="3187"/>
      <c r="U289" s="3187"/>
      <c r="V289" s="3187"/>
      <c r="W289" s="3187"/>
      <c r="X289" s="3187"/>
      <c r="Y289" s="3187"/>
      <c r="Z289" s="3187"/>
      <c r="AA289" s="3187"/>
      <c r="AB289" s="3187"/>
      <c r="AC289" s="3166">
        <f t="shared" si="152"/>
        <v>0</v>
      </c>
      <c r="AD289" s="3198"/>
      <c r="AE289" s="3198"/>
      <c r="AF289" s="3198"/>
      <c r="AG289" s="3198"/>
      <c r="AH289" s="3198"/>
      <c r="AI289" s="3198"/>
      <c r="AJ289" s="3198"/>
      <c r="AK289" s="3198"/>
      <c r="AL289" s="3198"/>
      <c r="AM289" s="3198"/>
      <c r="AN289" s="3198"/>
      <c r="AO289" s="3198"/>
      <c r="AP289" s="3198"/>
      <c r="AQ289" s="3198"/>
      <c r="AR289" s="3198"/>
      <c r="AS289" s="3198"/>
      <c r="AT289" s="3218"/>
      <c r="AU289" s="3219"/>
      <c r="AV289" s="488">
        <f t="shared" si="153"/>
        <v>0</v>
      </c>
      <c r="AW289" s="488">
        <f t="shared" si="154"/>
        <v>0</v>
      </c>
      <c r="AX289" s="488">
        <f t="shared" si="155"/>
        <v>0</v>
      </c>
      <c r="AY289" s="3235">
        <f t="shared" si="156"/>
        <v>0</v>
      </c>
      <c r="AZ289" s="3166">
        <f t="shared" si="157"/>
        <v>0</v>
      </c>
      <c r="BA289" s="3166">
        <f t="shared" si="158"/>
        <v>0</v>
      </c>
      <c r="BB289" s="3166">
        <f t="shared" si="159"/>
        <v>0</v>
      </c>
      <c r="BC289" s="3166">
        <f t="shared" si="160"/>
        <v>0</v>
      </c>
      <c r="BD289" s="3166">
        <f t="shared" si="161"/>
        <v>0</v>
      </c>
      <c r="BE289" s="3166">
        <f t="shared" si="162"/>
        <v>0</v>
      </c>
      <c r="BF289" s="3166">
        <f t="shared" si="163"/>
        <v>0</v>
      </c>
      <c r="BG289" s="3166">
        <f t="shared" si="164"/>
        <v>0</v>
      </c>
      <c r="BH289" s="3166">
        <f t="shared" si="165"/>
        <v>0</v>
      </c>
      <c r="BI289" s="3166">
        <f t="shared" si="166"/>
        <v>0</v>
      </c>
      <c r="BJ289" s="3166">
        <f t="shared" si="167"/>
        <v>0</v>
      </c>
      <c r="BK289" s="3166">
        <f t="shared" si="168"/>
        <v>0</v>
      </c>
      <c r="BL289" s="3166">
        <f t="shared" si="169"/>
        <v>0</v>
      </c>
      <c r="BM289" s="3166">
        <f t="shared" si="170"/>
        <v>0</v>
      </c>
      <c r="BN289" s="3166">
        <f t="shared" si="171"/>
        <v>0</v>
      </c>
      <c r="BO289" s="3166">
        <f t="shared" si="172"/>
        <v>0</v>
      </c>
      <c r="BP289" s="3166">
        <f t="shared" si="173"/>
        <v>0</v>
      </c>
      <c r="BQ289" s="3166">
        <f t="shared" si="174"/>
        <v>0</v>
      </c>
      <c r="BR289" s="3166">
        <f t="shared" si="175"/>
        <v>0</v>
      </c>
      <c r="BS289" s="3166">
        <f t="shared" si="176"/>
        <v>0</v>
      </c>
      <c r="BT289" s="3240">
        <f t="shared" si="177"/>
        <v>0</v>
      </c>
    </row>
    <row r="290" spans="1:72">
      <c r="A290" s="3163"/>
      <c r="B290" s="3164"/>
      <c r="C290" s="3164"/>
      <c r="D290" s="3176"/>
      <c r="E290" s="3166">
        <f t="shared" si="149"/>
        <v>0</v>
      </c>
      <c r="F290" s="3167"/>
      <c r="G290" s="3168">
        <f t="shared" si="150"/>
        <v>0</v>
      </c>
      <c r="H290" s="3169">
        <f t="shared" si="151"/>
        <v>0</v>
      </c>
      <c r="I290" s="3187"/>
      <c r="J290" s="3187"/>
      <c r="K290" s="3187"/>
      <c r="L290" s="3187"/>
      <c r="M290" s="3187"/>
      <c r="N290" s="3187"/>
      <c r="O290" s="3187"/>
      <c r="P290" s="3187"/>
      <c r="Q290" s="3187"/>
      <c r="R290" s="3187"/>
      <c r="S290" s="3187"/>
      <c r="T290" s="3187"/>
      <c r="U290" s="3187"/>
      <c r="V290" s="3187"/>
      <c r="W290" s="3187"/>
      <c r="X290" s="3187"/>
      <c r="Y290" s="3187"/>
      <c r="Z290" s="3187"/>
      <c r="AA290" s="3187"/>
      <c r="AB290" s="3187"/>
      <c r="AC290" s="3166">
        <f t="shared" si="152"/>
        <v>0</v>
      </c>
      <c r="AD290" s="3198"/>
      <c r="AE290" s="3198"/>
      <c r="AF290" s="3198"/>
      <c r="AG290" s="3198"/>
      <c r="AH290" s="3198"/>
      <c r="AI290" s="3198"/>
      <c r="AJ290" s="3198"/>
      <c r="AK290" s="3198"/>
      <c r="AL290" s="3198"/>
      <c r="AM290" s="3198"/>
      <c r="AN290" s="3198"/>
      <c r="AO290" s="3198"/>
      <c r="AP290" s="3198"/>
      <c r="AQ290" s="3198"/>
      <c r="AR290" s="3198"/>
      <c r="AS290" s="3198"/>
      <c r="AT290" s="3218"/>
      <c r="AU290" s="3219"/>
      <c r="AV290" s="488">
        <f t="shared" si="153"/>
        <v>0</v>
      </c>
      <c r="AW290" s="488">
        <f t="shared" si="154"/>
        <v>0</v>
      </c>
      <c r="AX290" s="488">
        <f t="shared" si="155"/>
        <v>0</v>
      </c>
      <c r="AY290" s="3235">
        <f t="shared" si="156"/>
        <v>0</v>
      </c>
      <c r="AZ290" s="3166">
        <f t="shared" si="157"/>
        <v>0</v>
      </c>
      <c r="BA290" s="3166">
        <f t="shared" si="158"/>
        <v>0</v>
      </c>
      <c r="BB290" s="3166">
        <f t="shared" si="159"/>
        <v>0</v>
      </c>
      <c r="BC290" s="3166">
        <f t="shared" si="160"/>
        <v>0</v>
      </c>
      <c r="BD290" s="3166">
        <f t="shared" si="161"/>
        <v>0</v>
      </c>
      <c r="BE290" s="3166">
        <f t="shared" si="162"/>
        <v>0</v>
      </c>
      <c r="BF290" s="3166">
        <f t="shared" si="163"/>
        <v>0</v>
      </c>
      <c r="BG290" s="3166">
        <f t="shared" si="164"/>
        <v>0</v>
      </c>
      <c r="BH290" s="3166">
        <f t="shared" si="165"/>
        <v>0</v>
      </c>
      <c r="BI290" s="3166">
        <f t="shared" si="166"/>
        <v>0</v>
      </c>
      <c r="BJ290" s="3166">
        <f t="shared" si="167"/>
        <v>0</v>
      </c>
      <c r="BK290" s="3166">
        <f t="shared" si="168"/>
        <v>0</v>
      </c>
      <c r="BL290" s="3166">
        <f t="shared" si="169"/>
        <v>0</v>
      </c>
      <c r="BM290" s="3166">
        <f t="shared" si="170"/>
        <v>0</v>
      </c>
      <c r="BN290" s="3166">
        <f t="shared" si="171"/>
        <v>0</v>
      </c>
      <c r="BO290" s="3166">
        <f t="shared" si="172"/>
        <v>0</v>
      </c>
      <c r="BP290" s="3166">
        <f t="shared" si="173"/>
        <v>0</v>
      </c>
      <c r="BQ290" s="3166">
        <f t="shared" si="174"/>
        <v>0</v>
      </c>
      <c r="BR290" s="3166">
        <f t="shared" si="175"/>
        <v>0</v>
      </c>
      <c r="BS290" s="3166">
        <f t="shared" si="176"/>
        <v>0</v>
      </c>
      <c r="BT290" s="3240">
        <f t="shared" si="177"/>
        <v>0</v>
      </c>
    </row>
    <row r="291" spans="1:72">
      <c r="A291" s="3163"/>
      <c r="B291" s="3164"/>
      <c r="C291" s="3164"/>
      <c r="D291" s="3176"/>
      <c r="E291" s="3166">
        <f t="shared" si="149"/>
        <v>0</v>
      </c>
      <c r="F291" s="3167"/>
      <c r="G291" s="3168">
        <f t="shared" si="150"/>
        <v>0</v>
      </c>
      <c r="H291" s="3169">
        <f t="shared" si="151"/>
        <v>0</v>
      </c>
      <c r="I291" s="3187"/>
      <c r="J291" s="3187"/>
      <c r="K291" s="3187"/>
      <c r="L291" s="3187"/>
      <c r="M291" s="3187"/>
      <c r="N291" s="3187"/>
      <c r="O291" s="3187"/>
      <c r="P291" s="3187"/>
      <c r="Q291" s="3187"/>
      <c r="R291" s="3187"/>
      <c r="S291" s="3187"/>
      <c r="T291" s="3187"/>
      <c r="U291" s="3187"/>
      <c r="V291" s="3187"/>
      <c r="W291" s="3187"/>
      <c r="X291" s="3187"/>
      <c r="Y291" s="3187"/>
      <c r="Z291" s="3187"/>
      <c r="AA291" s="3187"/>
      <c r="AB291" s="3187"/>
      <c r="AC291" s="3166">
        <f t="shared" si="152"/>
        <v>0</v>
      </c>
      <c r="AD291" s="3198"/>
      <c r="AE291" s="3198"/>
      <c r="AF291" s="3198"/>
      <c r="AG291" s="3198"/>
      <c r="AH291" s="3198"/>
      <c r="AI291" s="3198"/>
      <c r="AJ291" s="3198"/>
      <c r="AK291" s="3198"/>
      <c r="AL291" s="3198"/>
      <c r="AM291" s="3198"/>
      <c r="AN291" s="3198"/>
      <c r="AO291" s="3198"/>
      <c r="AP291" s="3198"/>
      <c r="AQ291" s="3198"/>
      <c r="AR291" s="3198"/>
      <c r="AS291" s="3198"/>
      <c r="AT291" s="3218"/>
      <c r="AU291" s="3219"/>
      <c r="AV291" s="488">
        <f t="shared" si="153"/>
        <v>0</v>
      </c>
      <c r="AW291" s="488">
        <f t="shared" si="154"/>
        <v>0</v>
      </c>
      <c r="AX291" s="488">
        <f t="shared" si="155"/>
        <v>0</v>
      </c>
      <c r="AY291" s="3235">
        <f t="shared" si="156"/>
        <v>0</v>
      </c>
      <c r="AZ291" s="3166">
        <f t="shared" si="157"/>
        <v>0</v>
      </c>
      <c r="BA291" s="3166">
        <f t="shared" si="158"/>
        <v>0</v>
      </c>
      <c r="BB291" s="3166">
        <f t="shared" si="159"/>
        <v>0</v>
      </c>
      <c r="BC291" s="3166">
        <f t="shared" si="160"/>
        <v>0</v>
      </c>
      <c r="BD291" s="3166">
        <f t="shared" si="161"/>
        <v>0</v>
      </c>
      <c r="BE291" s="3166">
        <f t="shared" si="162"/>
        <v>0</v>
      </c>
      <c r="BF291" s="3166">
        <f t="shared" si="163"/>
        <v>0</v>
      </c>
      <c r="BG291" s="3166">
        <f t="shared" si="164"/>
        <v>0</v>
      </c>
      <c r="BH291" s="3166">
        <f t="shared" si="165"/>
        <v>0</v>
      </c>
      <c r="BI291" s="3166">
        <f t="shared" si="166"/>
        <v>0</v>
      </c>
      <c r="BJ291" s="3166">
        <f t="shared" si="167"/>
        <v>0</v>
      </c>
      <c r="BK291" s="3166">
        <f t="shared" si="168"/>
        <v>0</v>
      </c>
      <c r="BL291" s="3166">
        <f t="shared" si="169"/>
        <v>0</v>
      </c>
      <c r="BM291" s="3166">
        <f t="shared" si="170"/>
        <v>0</v>
      </c>
      <c r="BN291" s="3166">
        <f t="shared" si="171"/>
        <v>0</v>
      </c>
      <c r="BO291" s="3166">
        <f t="shared" si="172"/>
        <v>0</v>
      </c>
      <c r="BP291" s="3166">
        <f t="shared" si="173"/>
        <v>0</v>
      </c>
      <c r="BQ291" s="3166">
        <f t="shared" si="174"/>
        <v>0</v>
      </c>
      <c r="BR291" s="3166">
        <f t="shared" si="175"/>
        <v>0</v>
      </c>
      <c r="BS291" s="3166">
        <f t="shared" si="176"/>
        <v>0</v>
      </c>
      <c r="BT291" s="3240">
        <f t="shared" si="177"/>
        <v>0</v>
      </c>
    </row>
    <row r="292" spans="1:72">
      <c r="A292" s="3163"/>
      <c r="B292" s="3164"/>
      <c r="C292" s="3164"/>
      <c r="D292" s="3176"/>
      <c r="E292" s="3166">
        <f t="shared" si="149"/>
        <v>0</v>
      </c>
      <c r="F292" s="3167"/>
      <c r="G292" s="3168">
        <f t="shared" si="150"/>
        <v>0</v>
      </c>
      <c r="H292" s="3169">
        <f t="shared" si="151"/>
        <v>0</v>
      </c>
      <c r="I292" s="3187"/>
      <c r="J292" s="3187"/>
      <c r="K292" s="3187"/>
      <c r="L292" s="3187"/>
      <c r="M292" s="3187"/>
      <c r="N292" s="3187"/>
      <c r="O292" s="3187"/>
      <c r="P292" s="3187"/>
      <c r="Q292" s="3187"/>
      <c r="R292" s="3187"/>
      <c r="S292" s="3187"/>
      <c r="T292" s="3187"/>
      <c r="U292" s="3187"/>
      <c r="V292" s="3187"/>
      <c r="W292" s="3187"/>
      <c r="X292" s="3187"/>
      <c r="Y292" s="3187"/>
      <c r="Z292" s="3187"/>
      <c r="AA292" s="3187"/>
      <c r="AB292" s="3187"/>
      <c r="AC292" s="3166">
        <f t="shared" si="152"/>
        <v>0</v>
      </c>
      <c r="AD292" s="3198"/>
      <c r="AE292" s="3198"/>
      <c r="AF292" s="3198"/>
      <c r="AG292" s="3198"/>
      <c r="AH292" s="3198"/>
      <c r="AI292" s="3198"/>
      <c r="AJ292" s="3198"/>
      <c r="AK292" s="3198"/>
      <c r="AL292" s="3198"/>
      <c r="AM292" s="3198"/>
      <c r="AN292" s="3198"/>
      <c r="AO292" s="3198"/>
      <c r="AP292" s="3198"/>
      <c r="AQ292" s="3198"/>
      <c r="AR292" s="3198"/>
      <c r="AS292" s="3198"/>
      <c r="AT292" s="3218"/>
      <c r="AU292" s="3219"/>
      <c r="AV292" s="488">
        <f t="shared" si="153"/>
        <v>0</v>
      </c>
      <c r="AW292" s="488">
        <f t="shared" si="154"/>
        <v>0</v>
      </c>
      <c r="AX292" s="488">
        <f t="shared" si="155"/>
        <v>0</v>
      </c>
      <c r="AY292" s="3235">
        <f t="shared" si="156"/>
        <v>0</v>
      </c>
      <c r="AZ292" s="3166">
        <f t="shared" si="157"/>
        <v>0</v>
      </c>
      <c r="BA292" s="3166">
        <f t="shared" si="158"/>
        <v>0</v>
      </c>
      <c r="BB292" s="3166">
        <f t="shared" si="159"/>
        <v>0</v>
      </c>
      <c r="BC292" s="3166">
        <f t="shared" si="160"/>
        <v>0</v>
      </c>
      <c r="BD292" s="3166">
        <f t="shared" si="161"/>
        <v>0</v>
      </c>
      <c r="BE292" s="3166">
        <f t="shared" si="162"/>
        <v>0</v>
      </c>
      <c r="BF292" s="3166">
        <f t="shared" si="163"/>
        <v>0</v>
      </c>
      <c r="BG292" s="3166">
        <f t="shared" si="164"/>
        <v>0</v>
      </c>
      <c r="BH292" s="3166">
        <f t="shared" si="165"/>
        <v>0</v>
      </c>
      <c r="BI292" s="3166">
        <f t="shared" si="166"/>
        <v>0</v>
      </c>
      <c r="BJ292" s="3166">
        <f t="shared" si="167"/>
        <v>0</v>
      </c>
      <c r="BK292" s="3166">
        <f t="shared" si="168"/>
        <v>0</v>
      </c>
      <c r="BL292" s="3166">
        <f t="shared" si="169"/>
        <v>0</v>
      </c>
      <c r="BM292" s="3166">
        <f t="shared" si="170"/>
        <v>0</v>
      </c>
      <c r="BN292" s="3166">
        <f t="shared" si="171"/>
        <v>0</v>
      </c>
      <c r="BO292" s="3166">
        <f t="shared" si="172"/>
        <v>0</v>
      </c>
      <c r="BP292" s="3166">
        <f t="shared" si="173"/>
        <v>0</v>
      </c>
      <c r="BQ292" s="3166">
        <f t="shared" si="174"/>
        <v>0</v>
      </c>
      <c r="BR292" s="3166">
        <f t="shared" si="175"/>
        <v>0</v>
      </c>
      <c r="BS292" s="3166">
        <f t="shared" si="176"/>
        <v>0</v>
      </c>
      <c r="BT292" s="3240">
        <f t="shared" si="177"/>
        <v>0</v>
      </c>
    </row>
    <row r="293" spans="1:72">
      <c r="A293" s="3163"/>
      <c r="B293" s="3164"/>
      <c r="C293" s="3164"/>
      <c r="D293" s="3176"/>
      <c r="E293" s="3166">
        <f t="shared" si="149"/>
        <v>0</v>
      </c>
      <c r="F293" s="3167"/>
      <c r="G293" s="3168">
        <f t="shared" si="150"/>
        <v>0</v>
      </c>
      <c r="H293" s="3169">
        <f t="shared" si="151"/>
        <v>0</v>
      </c>
      <c r="I293" s="3187"/>
      <c r="J293" s="3187"/>
      <c r="K293" s="3187"/>
      <c r="L293" s="3187"/>
      <c r="M293" s="3187"/>
      <c r="N293" s="3187"/>
      <c r="O293" s="3187"/>
      <c r="P293" s="3187"/>
      <c r="Q293" s="3187"/>
      <c r="R293" s="3187"/>
      <c r="S293" s="3187"/>
      <c r="T293" s="3187"/>
      <c r="U293" s="3187"/>
      <c r="V293" s="3187"/>
      <c r="W293" s="3187"/>
      <c r="X293" s="3187"/>
      <c r="Y293" s="3187"/>
      <c r="Z293" s="3187"/>
      <c r="AA293" s="3187"/>
      <c r="AB293" s="3187"/>
      <c r="AC293" s="3166">
        <f t="shared" si="152"/>
        <v>0</v>
      </c>
      <c r="AD293" s="3198"/>
      <c r="AE293" s="3198"/>
      <c r="AF293" s="3198"/>
      <c r="AG293" s="3198"/>
      <c r="AH293" s="3198"/>
      <c r="AI293" s="3198"/>
      <c r="AJ293" s="3198"/>
      <c r="AK293" s="3198"/>
      <c r="AL293" s="3198"/>
      <c r="AM293" s="3198"/>
      <c r="AN293" s="3198"/>
      <c r="AO293" s="3198"/>
      <c r="AP293" s="3198"/>
      <c r="AQ293" s="3198"/>
      <c r="AR293" s="3198"/>
      <c r="AS293" s="3198"/>
      <c r="AT293" s="3218"/>
      <c r="AU293" s="3219"/>
      <c r="AV293" s="488">
        <f t="shared" si="153"/>
        <v>0</v>
      </c>
      <c r="AW293" s="488">
        <f t="shared" si="154"/>
        <v>0</v>
      </c>
      <c r="AX293" s="488">
        <f t="shared" si="155"/>
        <v>0</v>
      </c>
      <c r="AY293" s="3235">
        <f t="shared" si="156"/>
        <v>0</v>
      </c>
      <c r="AZ293" s="3166">
        <f t="shared" si="157"/>
        <v>0</v>
      </c>
      <c r="BA293" s="3166">
        <f t="shared" si="158"/>
        <v>0</v>
      </c>
      <c r="BB293" s="3166">
        <f t="shared" si="159"/>
        <v>0</v>
      </c>
      <c r="BC293" s="3166">
        <f t="shared" si="160"/>
        <v>0</v>
      </c>
      <c r="BD293" s="3166">
        <f t="shared" si="161"/>
        <v>0</v>
      </c>
      <c r="BE293" s="3166">
        <f t="shared" si="162"/>
        <v>0</v>
      </c>
      <c r="BF293" s="3166">
        <f t="shared" si="163"/>
        <v>0</v>
      </c>
      <c r="BG293" s="3166">
        <f t="shared" si="164"/>
        <v>0</v>
      </c>
      <c r="BH293" s="3166">
        <f t="shared" si="165"/>
        <v>0</v>
      </c>
      <c r="BI293" s="3166">
        <f t="shared" si="166"/>
        <v>0</v>
      </c>
      <c r="BJ293" s="3166">
        <f t="shared" si="167"/>
        <v>0</v>
      </c>
      <c r="BK293" s="3166">
        <f t="shared" si="168"/>
        <v>0</v>
      </c>
      <c r="BL293" s="3166">
        <f t="shared" si="169"/>
        <v>0</v>
      </c>
      <c r="BM293" s="3166">
        <f t="shared" si="170"/>
        <v>0</v>
      </c>
      <c r="BN293" s="3166">
        <f t="shared" si="171"/>
        <v>0</v>
      </c>
      <c r="BO293" s="3166">
        <f t="shared" si="172"/>
        <v>0</v>
      </c>
      <c r="BP293" s="3166">
        <f t="shared" si="173"/>
        <v>0</v>
      </c>
      <c r="BQ293" s="3166">
        <f t="shared" si="174"/>
        <v>0</v>
      </c>
      <c r="BR293" s="3166">
        <f t="shared" si="175"/>
        <v>0</v>
      </c>
      <c r="BS293" s="3166">
        <f t="shared" si="176"/>
        <v>0</v>
      </c>
      <c r="BT293" s="3240">
        <f t="shared" si="177"/>
        <v>0</v>
      </c>
    </row>
    <row r="294" spans="1:72">
      <c r="A294" s="3163"/>
      <c r="B294" s="3163"/>
      <c r="C294" s="3163"/>
      <c r="D294" s="3176"/>
      <c r="E294" s="3166">
        <f t="shared" si="149"/>
        <v>0</v>
      </c>
      <c r="F294" s="3241"/>
      <c r="G294" s="3168">
        <f t="shared" ref="G294:G325" si="178">H294+AC294+AT294</f>
        <v>0</v>
      </c>
      <c r="H294" s="3169">
        <f t="shared" ref="H294:H325" si="179">SUMIF(I$12:AB$12,"总值",I294:AB294)</f>
        <v>0</v>
      </c>
      <c r="I294" s="3242"/>
      <c r="J294" s="3242"/>
      <c r="K294" s="3187"/>
      <c r="L294" s="3187"/>
      <c r="M294" s="3187"/>
      <c r="N294" s="3187"/>
      <c r="O294" s="3187"/>
      <c r="P294" s="3187"/>
      <c r="Q294" s="3187"/>
      <c r="R294" s="3187"/>
      <c r="S294" s="3187"/>
      <c r="T294" s="3187"/>
      <c r="U294" s="3187"/>
      <c r="V294" s="3187"/>
      <c r="W294" s="3187"/>
      <c r="X294" s="3187"/>
      <c r="Y294" s="3187"/>
      <c r="Z294" s="3187"/>
      <c r="AA294" s="3187"/>
      <c r="AB294" s="3187"/>
      <c r="AC294" s="3166">
        <f t="shared" ref="AC294:AC325" si="180">SUMIF(AD$12:AS$12,"总值",AD294:AS294)</f>
        <v>0</v>
      </c>
      <c r="AD294" s="3198"/>
      <c r="AE294" s="3198"/>
      <c r="AF294" s="3198"/>
      <c r="AG294" s="3198"/>
      <c r="AH294" s="3198"/>
      <c r="AI294" s="3198"/>
      <c r="AJ294" s="3198"/>
      <c r="AK294" s="3198"/>
      <c r="AL294" s="3198"/>
      <c r="AM294" s="3198"/>
      <c r="AN294" s="3198"/>
      <c r="AO294" s="3198"/>
      <c r="AP294" s="3198"/>
      <c r="AQ294" s="3198"/>
      <c r="AR294" s="3198"/>
      <c r="AS294" s="3198"/>
      <c r="AT294" s="3198"/>
      <c r="AU294" s="3243"/>
      <c r="AV294" s="488">
        <f t="shared" si="153"/>
        <v>0</v>
      </c>
      <c r="AW294" s="488">
        <f t="shared" si="154"/>
        <v>0</v>
      </c>
      <c r="AX294" s="488">
        <f t="shared" si="155"/>
        <v>0</v>
      </c>
      <c r="AY294" s="3235">
        <f t="shared" ref="AY294:AY325" si="181">ROUND($AY$6*AZ294/$AZ$5,2)</f>
        <v>0</v>
      </c>
      <c r="AZ294" s="3166">
        <f t="shared" ref="AZ294:AZ325" si="182">BA294+BL294</f>
        <v>0</v>
      </c>
      <c r="BA294" s="3166">
        <f t="shared" ref="BA294:BA325" si="183">SUM(BB294:BK294)</f>
        <v>0</v>
      </c>
      <c r="BB294" s="3166">
        <f t="shared" ref="BB294:BB325" si="184">IF($D294="是",I294-J294,0)</f>
        <v>0</v>
      </c>
      <c r="BC294" s="3166">
        <f t="shared" ref="BC294:BC325" si="185">IF($D294="是",K294-L294,0)</f>
        <v>0</v>
      </c>
      <c r="BD294" s="3166">
        <f t="shared" ref="BD294:BD325" si="186">IF($D294="是",M294-N294,0)</f>
        <v>0</v>
      </c>
      <c r="BE294" s="3166">
        <f t="shared" ref="BE294:BE325" si="187">IF($D294="是",O294-P294,0)</f>
        <v>0</v>
      </c>
      <c r="BF294" s="3166">
        <f t="shared" ref="BF294:BF325" si="188">IF($D294="是",Q294-R294,0)</f>
        <v>0</v>
      </c>
      <c r="BG294" s="3166">
        <f t="shared" ref="BG294:BG325" si="189">IF($D294="是",S294-T294,0)</f>
        <v>0</v>
      </c>
      <c r="BH294" s="3166">
        <f t="shared" ref="BH294:BH325" si="190">IF($D294="是",U294-V294,0)</f>
        <v>0</v>
      </c>
      <c r="BI294" s="3166">
        <f t="shared" ref="BI294:BI325" si="191">IF($D294="是",W294-X294,0)</f>
        <v>0</v>
      </c>
      <c r="BJ294" s="3166">
        <f t="shared" ref="BJ294:BJ325" si="192">IF($D294="是",Y294-Z294,0)</f>
        <v>0</v>
      </c>
      <c r="BK294" s="3166">
        <f t="shared" ref="BK294:BK325" si="193">IF($D294="是",AA294-AB294,0)</f>
        <v>0</v>
      </c>
      <c r="BL294" s="3166">
        <f t="shared" ref="BL294:BL325" si="194">SUM(BM294:BT294)</f>
        <v>0</v>
      </c>
      <c r="BM294" s="3166">
        <f t="shared" ref="BM294:BM325" si="195">IF($D294="是",AD294-AE294,0)</f>
        <v>0</v>
      </c>
      <c r="BN294" s="3166">
        <f t="shared" ref="BN294:BN325" si="196">IF($D294="是",AF294-AG294,0)</f>
        <v>0</v>
      </c>
      <c r="BO294" s="3166">
        <f t="shared" ref="BO294:BO325" si="197">IF($D294="是",AH294-AI294,0)</f>
        <v>0</v>
      </c>
      <c r="BP294" s="3166">
        <f t="shared" ref="BP294:BP325" si="198">IF($D294="是",AJ294-AK294,0)</f>
        <v>0</v>
      </c>
      <c r="BQ294" s="3166">
        <f t="shared" ref="BQ294:BQ325" si="199">IF($D294="是",AL294-AM294,0)</f>
        <v>0</v>
      </c>
      <c r="BR294" s="3166">
        <f t="shared" ref="BR294:BR325" si="200">IF($D294="是",AN294-AO294,0)</f>
        <v>0</v>
      </c>
      <c r="BS294" s="3166">
        <f t="shared" ref="BS294:BS325" si="201">IF($D294="是",AP294-AQ294,0)</f>
        <v>0</v>
      </c>
      <c r="BT294" s="3240">
        <f t="shared" ref="BT294:BT325" si="202">IF($D294="是",AR294-AS294,0)</f>
        <v>0</v>
      </c>
    </row>
    <row r="295" spans="1:72">
      <c r="A295" s="3163"/>
      <c r="B295" s="3163"/>
      <c r="C295" s="3163"/>
      <c r="D295" s="3176"/>
      <c r="E295" s="3166">
        <f t="shared" si="149"/>
        <v>0</v>
      </c>
      <c r="F295" s="3241"/>
      <c r="G295" s="3168">
        <f t="shared" si="178"/>
        <v>0</v>
      </c>
      <c r="H295" s="3169">
        <f t="shared" si="179"/>
        <v>0</v>
      </c>
      <c r="I295" s="3187"/>
      <c r="J295" s="3187"/>
      <c r="K295" s="3187"/>
      <c r="L295" s="3187"/>
      <c r="M295" s="3187"/>
      <c r="N295" s="3187"/>
      <c r="O295" s="3187"/>
      <c r="P295" s="3187"/>
      <c r="Q295" s="3187"/>
      <c r="R295" s="3187"/>
      <c r="S295" s="3187"/>
      <c r="T295" s="3187"/>
      <c r="U295" s="3187"/>
      <c r="V295" s="3187"/>
      <c r="W295" s="3187"/>
      <c r="X295" s="3187"/>
      <c r="Y295" s="3187"/>
      <c r="Z295" s="3187"/>
      <c r="AA295" s="3187"/>
      <c r="AB295" s="3187"/>
      <c r="AC295" s="3166">
        <f t="shared" si="180"/>
        <v>0</v>
      </c>
      <c r="AD295" s="3198"/>
      <c r="AE295" s="3198"/>
      <c r="AF295" s="3198"/>
      <c r="AG295" s="3198"/>
      <c r="AH295" s="3198"/>
      <c r="AI295" s="3198"/>
      <c r="AJ295" s="3198"/>
      <c r="AK295" s="3198"/>
      <c r="AL295" s="3198"/>
      <c r="AM295" s="3198"/>
      <c r="AN295" s="3198"/>
      <c r="AO295" s="3198"/>
      <c r="AP295" s="3198"/>
      <c r="AQ295" s="3198"/>
      <c r="AR295" s="3198"/>
      <c r="AS295" s="3198"/>
      <c r="AT295" s="3198"/>
      <c r="AU295" s="3243"/>
      <c r="AV295" s="488">
        <f t="shared" si="153"/>
        <v>0</v>
      </c>
      <c r="AW295" s="488">
        <f t="shared" si="154"/>
        <v>0</v>
      </c>
      <c r="AX295" s="488">
        <f t="shared" si="155"/>
        <v>0</v>
      </c>
      <c r="AY295" s="3235">
        <f t="shared" si="181"/>
        <v>0</v>
      </c>
      <c r="AZ295" s="3166">
        <f t="shared" si="182"/>
        <v>0</v>
      </c>
      <c r="BA295" s="3166">
        <f t="shared" si="183"/>
        <v>0</v>
      </c>
      <c r="BB295" s="3166">
        <f t="shared" si="184"/>
        <v>0</v>
      </c>
      <c r="BC295" s="3166">
        <f t="shared" si="185"/>
        <v>0</v>
      </c>
      <c r="BD295" s="3166">
        <f t="shared" si="186"/>
        <v>0</v>
      </c>
      <c r="BE295" s="3166">
        <f t="shared" si="187"/>
        <v>0</v>
      </c>
      <c r="BF295" s="3166">
        <f t="shared" si="188"/>
        <v>0</v>
      </c>
      <c r="BG295" s="3166">
        <f t="shared" si="189"/>
        <v>0</v>
      </c>
      <c r="BH295" s="3166">
        <f t="shared" si="190"/>
        <v>0</v>
      </c>
      <c r="BI295" s="3166">
        <f t="shared" si="191"/>
        <v>0</v>
      </c>
      <c r="BJ295" s="3166">
        <f t="shared" si="192"/>
        <v>0</v>
      </c>
      <c r="BK295" s="3166">
        <f t="shared" si="193"/>
        <v>0</v>
      </c>
      <c r="BL295" s="3166">
        <f t="shared" si="194"/>
        <v>0</v>
      </c>
      <c r="BM295" s="3166">
        <f t="shared" si="195"/>
        <v>0</v>
      </c>
      <c r="BN295" s="3166">
        <f t="shared" si="196"/>
        <v>0</v>
      </c>
      <c r="BO295" s="3166">
        <f t="shared" si="197"/>
        <v>0</v>
      </c>
      <c r="BP295" s="3166">
        <f t="shared" si="198"/>
        <v>0</v>
      </c>
      <c r="BQ295" s="3166">
        <f t="shared" si="199"/>
        <v>0</v>
      </c>
      <c r="BR295" s="3166">
        <f t="shared" si="200"/>
        <v>0</v>
      </c>
      <c r="BS295" s="3166">
        <f t="shared" si="201"/>
        <v>0</v>
      </c>
      <c r="BT295" s="3240">
        <f t="shared" si="202"/>
        <v>0</v>
      </c>
    </row>
    <row r="296" spans="1:72">
      <c r="A296" s="3163"/>
      <c r="B296" s="3163"/>
      <c r="C296" s="3163"/>
      <c r="D296" s="3176"/>
      <c r="E296" s="3166">
        <f t="shared" si="149"/>
        <v>0</v>
      </c>
      <c r="F296" s="3241"/>
      <c r="G296" s="3168">
        <f t="shared" si="178"/>
        <v>0</v>
      </c>
      <c r="H296" s="3169">
        <f t="shared" si="179"/>
        <v>0</v>
      </c>
      <c r="I296" s="3187"/>
      <c r="J296" s="3187"/>
      <c r="K296" s="3187"/>
      <c r="L296" s="3187"/>
      <c r="M296" s="3187"/>
      <c r="N296" s="3187"/>
      <c r="O296" s="3187"/>
      <c r="P296" s="3187"/>
      <c r="Q296" s="3187"/>
      <c r="R296" s="3187"/>
      <c r="S296" s="3187"/>
      <c r="T296" s="3187"/>
      <c r="U296" s="3187"/>
      <c r="V296" s="3187"/>
      <c r="W296" s="3187"/>
      <c r="X296" s="3187"/>
      <c r="Y296" s="3187"/>
      <c r="Z296" s="3187"/>
      <c r="AA296" s="3187"/>
      <c r="AB296" s="3187"/>
      <c r="AC296" s="3166">
        <f t="shared" si="180"/>
        <v>0</v>
      </c>
      <c r="AD296" s="3198"/>
      <c r="AE296" s="3198"/>
      <c r="AF296" s="3198"/>
      <c r="AG296" s="3198"/>
      <c r="AH296" s="3198"/>
      <c r="AI296" s="3198"/>
      <c r="AJ296" s="3198"/>
      <c r="AK296" s="3198"/>
      <c r="AL296" s="3198"/>
      <c r="AM296" s="3198"/>
      <c r="AN296" s="3198"/>
      <c r="AO296" s="3198"/>
      <c r="AP296" s="3198"/>
      <c r="AQ296" s="3198"/>
      <c r="AR296" s="3198"/>
      <c r="AS296" s="3198"/>
      <c r="AT296" s="3198"/>
      <c r="AU296" s="3243"/>
      <c r="AV296" s="488">
        <f t="shared" si="153"/>
        <v>0</v>
      </c>
      <c r="AW296" s="488">
        <f t="shared" si="154"/>
        <v>0</v>
      </c>
      <c r="AX296" s="488">
        <f t="shared" si="155"/>
        <v>0</v>
      </c>
      <c r="AY296" s="3235">
        <f t="shared" si="181"/>
        <v>0</v>
      </c>
      <c r="AZ296" s="3166">
        <f t="shared" si="182"/>
        <v>0</v>
      </c>
      <c r="BA296" s="3166">
        <f t="shared" si="183"/>
        <v>0</v>
      </c>
      <c r="BB296" s="3166">
        <f t="shared" si="184"/>
        <v>0</v>
      </c>
      <c r="BC296" s="3166">
        <f t="shared" si="185"/>
        <v>0</v>
      </c>
      <c r="BD296" s="3166">
        <f t="shared" si="186"/>
        <v>0</v>
      </c>
      <c r="BE296" s="3166">
        <f t="shared" si="187"/>
        <v>0</v>
      </c>
      <c r="BF296" s="3166">
        <f t="shared" si="188"/>
        <v>0</v>
      </c>
      <c r="BG296" s="3166">
        <f t="shared" si="189"/>
        <v>0</v>
      </c>
      <c r="BH296" s="3166">
        <f t="shared" si="190"/>
        <v>0</v>
      </c>
      <c r="BI296" s="3166">
        <f t="shared" si="191"/>
        <v>0</v>
      </c>
      <c r="BJ296" s="3166">
        <f t="shared" si="192"/>
        <v>0</v>
      </c>
      <c r="BK296" s="3166">
        <f t="shared" si="193"/>
        <v>0</v>
      </c>
      <c r="BL296" s="3166">
        <f t="shared" si="194"/>
        <v>0</v>
      </c>
      <c r="BM296" s="3166">
        <f t="shared" si="195"/>
        <v>0</v>
      </c>
      <c r="BN296" s="3166">
        <f t="shared" si="196"/>
        <v>0</v>
      </c>
      <c r="BO296" s="3166">
        <f t="shared" si="197"/>
        <v>0</v>
      </c>
      <c r="BP296" s="3166">
        <f t="shared" si="198"/>
        <v>0</v>
      </c>
      <c r="BQ296" s="3166">
        <f t="shared" si="199"/>
        <v>0</v>
      </c>
      <c r="BR296" s="3166">
        <f t="shared" si="200"/>
        <v>0</v>
      </c>
      <c r="BS296" s="3166">
        <f t="shared" si="201"/>
        <v>0</v>
      </c>
      <c r="BT296" s="3240">
        <f t="shared" si="202"/>
        <v>0</v>
      </c>
    </row>
    <row r="297" spans="1:72">
      <c r="A297" s="3163"/>
      <c r="B297" s="3173"/>
      <c r="C297" s="3171"/>
      <c r="D297" s="3172"/>
      <c r="E297" s="3166">
        <f t="shared" ref="E297:E328" si="203">IF($C$3="是",ROUND($A$3*G297/$B$3,2),ROUND($A$3*(G297-AT297)/$B$3,2))</f>
        <v>0</v>
      </c>
      <c r="F297" s="3167"/>
      <c r="G297" s="3168">
        <f t="shared" si="178"/>
        <v>0</v>
      </c>
      <c r="H297" s="3169">
        <f t="shared" si="179"/>
        <v>0</v>
      </c>
      <c r="I297" s="3175"/>
      <c r="J297" s="3187"/>
      <c r="K297" s="3175"/>
      <c r="L297" s="3187"/>
      <c r="M297" s="3187"/>
      <c r="N297" s="3187"/>
      <c r="O297" s="3187"/>
      <c r="P297" s="3187"/>
      <c r="Q297" s="3187"/>
      <c r="R297" s="3187"/>
      <c r="S297" s="3187"/>
      <c r="T297" s="3187"/>
      <c r="U297" s="3187"/>
      <c r="V297" s="3187"/>
      <c r="W297" s="3187"/>
      <c r="X297" s="3187"/>
      <c r="Y297" s="3187"/>
      <c r="Z297" s="3187"/>
      <c r="AA297" s="3187"/>
      <c r="AB297" s="3187"/>
      <c r="AC297" s="3166">
        <f t="shared" si="180"/>
        <v>0</v>
      </c>
      <c r="AD297" s="3198"/>
      <c r="AE297" s="3198"/>
      <c r="AF297" s="3199"/>
      <c r="AG297" s="3198"/>
      <c r="AH297" s="3198"/>
      <c r="AI297" s="3198"/>
      <c r="AJ297" s="3198"/>
      <c r="AK297" s="3198"/>
      <c r="AL297" s="3198"/>
      <c r="AM297" s="3198"/>
      <c r="AN297" s="3188"/>
      <c r="AO297" s="3198"/>
      <c r="AP297" s="3198"/>
      <c r="AQ297" s="3198"/>
      <c r="AR297" s="3198"/>
      <c r="AS297" s="3198"/>
      <c r="AT297" s="3218"/>
      <c r="AU297" s="3219"/>
      <c r="AV297" s="488">
        <f t="shared" ref="AV297:AV328" si="204">A297</f>
        <v>0</v>
      </c>
      <c r="AW297" s="488">
        <f t="shared" ref="AW297:AW328" si="205">B297</f>
        <v>0</v>
      </c>
      <c r="AX297" s="488">
        <f t="shared" ref="AX297:AX328" si="206">C297</f>
        <v>0</v>
      </c>
      <c r="AY297" s="3235">
        <f t="shared" si="181"/>
        <v>0</v>
      </c>
      <c r="AZ297" s="3166">
        <f t="shared" si="182"/>
        <v>0</v>
      </c>
      <c r="BA297" s="3166">
        <f t="shared" si="183"/>
        <v>0</v>
      </c>
      <c r="BB297" s="3166">
        <f t="shared" si="184"/>
        <v>0</v>
      </c>
      <c r="BC297" s="3166">
        <f t="shared" si="185"/>
        <v>0</v>
      </c>
      <c r="BD297" s="3166">
        <f t="shared" si="186"/>
        <v>0</v>
      </c>
      <c r="BE297" s="3166">
        <f t="shared" si="187"/>
        <v>0</v>
      </c>
      <c r="BF297" s="3166">
        <f t="shared" si="188"/>
        <v>0</v>
      </c>
      <c r="BG297" s="3166">
        <f t="shared" si="189"/>
        <v>0</v>
      </c>
      <c r="BH297" s="3166">
        <f t="shared" si="190"/>
        <v>0</v>
      </c>
      <c r="BI297" s="3166">
        <f t="shared" si="191"/>
        <v>0</v>
      </c>
      <c r="BJ297" s="3166">
        <f t="shared" si="192"/>
        <v>0</v>
      </c>
      <c r="BK297" s="3166">
        <f t="shared" si="193"/>
        <v>0</v>
      </c>
      <c r="BL297" s="3166">
        <f t="shared" si="194"/>
        <v>0</v>
      </c>
      <c r="BM297" s="3166">
        <f t="shared" si="195"/>
        <v>0</v>
      </c>
      <c r="BN297" s="3166">
        <f t="shared" si="196"/>
        <v>0</v>
      </c>
      <c r="BO297" s="3166">
        <f t="shared" si="197"/>
        <v>0</v>
      </c>
      <c r="BP297" s="3166">
        <f t="shared" si="198"/>
        <v>0</v>
      </c>
      <c r="BQ297" s="3166">
        <f t="shared" si="199"/>
        <v>0</v>
      </c>
      <c r="BR297" s="3166">
        <f t="shared" si="200"/>
        <v>0</v>
      </c>
      <c r="BS297" s="3166">
        <f t="shared" si="201"/>
        <v>0</v>
      </c>
      <c r="BT297" s="3240">
        <f t="shared" si="202"/>
        <v>0</v>
      </c>
    </row>
    <row r="298" spans="1:72">
      <c r="A298" s="3163"/>
      <c r="B298" s="3173"/>
      <c r="C298" s="3171"/>
      <c r="D298" s="3172"/>
      <c r="E298" s="3166">
        <f t="shared" si="203"/>
        <v>0</v>
      </c>
      <c r="F298" s="3167"/>
      <c r="G298" s="3168">
        <f t="shared" si="178"/>
        <v>0</v>
      </c>
      <c r="H298" s="3169">
        <f t="shared" si="179"/>
        <v>0</v>
      </c>
      <c r="I298" s="3175"/>
      <c r="J298" s="3187"/>
      <c r="K298" s="3175"/>
      <c r="L298" s="3187"/>
      <c r="M298" s="3188"/>
      <c r="N298" s="3187"/>
      <c r="O298" s="3187"/>
      <c r="P298" s="3187"/>
      <c r="Q298" s="3187"/>
      <c r="R298" s="3187"/>
      <c r="S298" s="3187"/>
      <c r="T298" s="3187"/>
      <c r="U298" s="3187"/>
      <c r="V298" s="3187"/>
      <c r="W298" s="3187"/>
      <c r="X298" s="3187"/>
      <c r="Y298" s="3187"/>
      <c r="Z298" s="3187"/>
      <c r="AA298" s="3187"/>
      <c r="AB298" s="3187"/>
      <c r="AC298" s="3166">
        <f t="shared" si="180"/>
        <v>0</v>
      </c>
      <c r="AD298" s="3188"/>
      <c r="AE298" s="3198"/>
      <c r="AF298" s="3199"/>
      <c r="AG298" s="3198"/>
      <c r="AH298" s="3198"/>
      <c r="AI298" s="3198"/>
      <c r="AJ298" s="3198"/>
      <c r="AK298" s="3198"/>
      <c r="AL298" s="3188"/>
      <c r="AM298" s="3198"/>
      <c r="AN298" s="3188"/>
      <c r="AO298" s="3198"/>
      <c r="AP298" s="3198"/>
      <c r="AQ298" s="3198"/>
      <c r="AR298" s="3198"/>
      <c r="AS298" s="3198"/>
      <c r="AT298" s="3218"/>
      <c r="AU298" s="3219"/>
      <c r="AV298" s="488">
        <f t="shared" si="204"/>
        <v>0</v>
      </c>
      <c r="AW298" s="488">
        <f t="shared" si="205"/>
        <v>0</v>
      </c>
      <c r="AX298" s="488">
        <f t="shared" si="206"/>
        <v>0</v>
      </c>
      <c r="AY298" s="3235">
        <f t="shared" si="181"/>
        <v>0</v>
      </c>
      <c r="AZ298" s="3166">
        <f t="shared" si="182"/>
        <v>0</v>
      </c>
      <c r="BA298" s="3166">
        <f t="shared" si="183"/>
        <v>0</v>
      </c>
      <c r="BB298" s="3166">
        <f t="shared" si="184"/>
        <v>0</v>
      </c>
      <c r="BC298" s="3166">
        <f t="shared" si="185"/>
        <v>0</v>
      </c>
      <c r="BD298" s="3166">
        <f t="shared" si="186"/>
        <v>0</v>
      </c>
      <c r="BE298" s="3166">
        <f t="shared" si="187"/>
        <v>0</v>
      </c>
      <c r="BF298" s="3166">
        <f t="shared" si="188"/>
        <v>0</v>
      </c>
      <c r="BG298" s="3166">
        <f t="shared" si="189"/>
        <v>0</v>
      </c>
      <c r="BH298" s="3166">
        <f t="shared" si="190"/>
        <v>0</v>
      </c>
      <c r="BI298" s="3166">
        <f t="shared" si="191"/>
        <v>0</v>
      </c>
      <c r="BJ298" s="3166">
        <f t="shared" si="192"/>
        <v>0</v>
      </c>
      <c r="BK298" s="3166">
        <f t="shared" si="193"/>
        <v>0</v>
      </c>
      <c r="BL298" s="3166">
        <f t="shared" si="194"/>
        <v>0</v>
      </c>
      <c r="BM298" s="3166">
        <f t="shared" si="195"/>
        <v>0</v>
      </c>
      <c r="BN298" s="3166">
        <f t="shared" si="196"/>
        <v>0</v>
      </c>
      <c r="BO298" s="3166">
        <f t="shared" si="197"/>
        <v>0</v>
      </c>
      <c r="BP298" s="3166">
        <f t="shared" si="198"/>
        <v>0</v>
      </c>
      <c r="BQ298" s="3166">
        <f t="shared" si="199"/>
        <v>0</v>
      </c>
      <c r="BR298" s="3166">
        <f t="shared" si="200"/>
        <v>0</v>
      </c>
      <c r="BS298" s="3166">
        <f t="shared" si="201"/>
        <v>0</v>
      </c>
      <c r="BT298" s="3240">
        <f t="shared" si="202"/>
        <v>0</v>
      </c>
    </row>
    <row r="299" spans="1:72">
      <c r="A299" s="3163"/>
      <c r="B299" s="3173"/>
      <c r="C299" s="3171"/>
      <c r="D299" s="3172"/>
      <c r="E299" s="3166">
        <f t="shared" si="203"/>
        <v>0</v>
      </c>
      <c r="F299" s="3167"/>
      <c r="G299" s="3168">
        <f t="shared" si="178"/>
        <v>0</v>
      </c>
      <c r="H299" s="3169">
        <f t="shared" si="179"/>
        <v>0</v>
      </c>
      <c r="I299" s="3175"/>
      <c r="J299" s="3187"/>
      <c r="K299" s="3175"/>
      <c r="L299" s="3187"/>
      <c r="M299" s="3188"/>
      <c r="N299" s="3187"/>
      <c r="O299" s="3187"/>
      <c r="P299" s="3187"/>
      <c r="Q299" s="3187"/>
      <c r="R299" s="3187"/>
      <c r="S299" s="3187"/>
      <c r="T299" s="3187"/>
      <c r="U299" s="3187"/>
      <c r="V299" s="3187"/>
      <c r="W299" s="3187"/>
      <c r="X299" s="3187"/>
      <c r="Y299" s="3187"/>
      <c r="Z299" s="3187"/>
      <c r="AA299" s="3187"/>
      <c r="AB299" s="3187"/>
      <c r="AC299" s="3166">
        <f t="shared" si="180"/>
        <v>0</v>
      </c>
      <c r="AD299" s="3198"/>
      <c r="AE299" s="3198"/>
      <c r="AF299" s="3199"/>
      <c r="AG299" s="3198"/>
      <c r="AH299" s="3198"/>
      <c r="AI299" s="3198"/>
      <c r="AJ299" s="3198"/>
      <c r="AK299" s="3198"/>
      <c r="AL299" s="3188"/>
      <c r="AM299" s="3198"/>
      <c r="AN299" s="3188"/>
      <c r="AO299" s="3198"/>
      <c r="AP299" s="3198"/>
      <c r="AQ299" s="3198"/>
      <c r="AR299" s="3198"/>
      <c r="AS299" s="3198"/>
      <c r="AT299" s="3218"/>
      <c r="AU299" s="3219"/>
      <c r="AV299" s="488">
        <f t="shared" si="204"/>
        <v>0</v>
      </c>
      <c r="AW299" s="488">
        <f t="shared" si="205"/>
        <v>0</v>
      </c>
      <c r="AX299" s="488">
        <f t="shared" si="206"/>
        <v>0</v>
      </c>
      <c r="AY299" s="3235">
        <f t="shared" si="181"/>
        <v>0</v>
      </c>
      <c r="AZ299" s="3166">
        <f t="shared" si="182"/>
        <v>0</v>
      </c>
      <c r="BA299" s="3166">
        <f t="shared" si="183"/>
        <v>0</v>
      </c>
      <c r="BB299" s="3166">
        <f t="shared" si="184"/>
        <v>0</v>
      </c>
      <c r="BC299" s="3166">
        <f t="shared" si="185"/>
        <v>0</v>
      </c>
      <c r="BD299" s="3166">
        <f t="shared" si="186"/>
        <v>0</v>
      </c>
      <c r="BE299" s="3166">
        <f t="shared" si="187"/>
        <v>0</v>
      </c>
      <c r="BF299" s="3166">
        <f t="shared" si="188"/>
        <v>0</v>
      </c>
      <c r="BG299" s="3166">
        <f t="shared" si="189"/>
        <v>0</v>
      </c>
      <c r="BH299" s="3166">
        <f t="shared" si="190"/>
        <v>0</v>
      </c>
      <c r="BI299" s="3166">
        <f t="shared" si="191"/>
        <v>0</v>
      </c>
      <c r="BJ299" s="3166">
        <f t="shared" si="192"/>
        <v>0</v>
      </c>
      <c r="BK299" s="3166">
        <f t="shared" si="193"/>
        <v>0</v>
      </c>
      <c r="BL299" s="3166">
        <f t="shared" si="194"/>
        <v>0</v>
      </c>
      <c r="BM299" s="3166">
        <f t="shared" si="195"/>
        <v>0</v>
      </c>
      <c r="BN299" s="3166">
        <f t="shared" si="196"/>
        <v>0</v>
      </c>
      <c r="BO299" s="3166">
        <f t="shared" si="197"/>
        <v>0</v>
      </c>
      <c r="BP299" s="3166">
        <f t="shared" si="198"/>
        <v>0</v>
      </c>
      <c r="BQ299" s="3166">
        <f t="shared" si="199"/>
        <v>0</v>
      </c>
      <c r="BR299" s="3166">
        <f t="shared" si="200"/>
        <v>0</v>
      </c>
      <c r="BS299" s="3166">
        <f t="shared" si="201"/>
        <v>0</v>
      </c>
      <c r="BT299" s="3240">
        <f t="shared" si="202"/>
        <v>0</v>
      </c>
    </row>
    <row r="300" spans="1:72">
      <c r="A300" s="3163"/>
      <c r="B300" s="3173"/>
      <c r="C300" s="3171"/>
      <c r="D300" s="3172"/>
      <c r="E300" s="3166">
        <f t="shared" si="203"/>
        <v>0</v>
      </c>
      <c r="F300" s="3167"/>
      <c r="G300" s="3168">
        <f t="shared" si="178"/>
        <v>0</v>
      </c>
      <c r="H300" s="3169">
        <f t="shared" si="179"/>
        <v>0</v>
      </c>
      <c r="I300" s="3175"/>
      <c r="J300" s="3187"/>
      <c r="K300" s="3175"/>
      <c r="L300" s="3187"/>
      <c r="M300" s="3187"/>
      <c r="N300" s="3187"/>
      <c r="O300" s="3188"/>
      <c r="P300" s="3187"/>
      <c r="Q300" s="3187"/>
      <c r="R300" s="3187"/>
      <c r="S300" s="3187"/>
      <c r="T300" s="3187"/>
      <c r="U300" s="3187"/>
      <c r="V300" s="3187"/>
      <c r="W300" s="3187"/>
      <c r="X300" s="3187"/>
      <c r="Y300" s="3187"/>
      <c r="Z300" s="3187"/>
      <c r="AA300" s="3187"/>
      <c r="AB300" s="3187"/>
      <c r="AC300" s="3166">
        <f t="shared" si="180"/>
        <v>0</v>
      </c>
      <c r="AD300" s="3198"/>
      <c r="AE300" s="3198"/>
      <c r="AF300" s="3199"/>
      <c r="AG300" s="3198"/>
      <c r="AH300" s="3198"/>
      <c r="AI300" s="3198"/>
      <c r="AJ300" s="3198"/>
      <c r="AK300" s="3198"/>
      <c r="AL300" s="3198"/>
      <c r="AM300" s="3198"/>
      <c r="AN300" s="3188"/>
      <c r="AO300" s="3198"/>
      <c r="AP300" s="3198"/>
      <c r="AQ300" s="3198"/>
      <c r="AR300" s="3198"/>
      <c r="AS300" s="3198"/>
      <c r="AT300" s="3218"/>
      <c r="AU300" s="3219"/>
      <c r="AV300" s="488">
        <f t="shared" si="204"/>
        <v>0</v>
      </c>
      <c r="AW300" s="488">
        <f t="shared" si="205"/>
        <v>0</v>
      </c>
      <c r="AX300" s="488">
        <f t="shared" si="206"/>
        <v>0</v>
      </c>
      <c r="AY300" s="3235">
        <f t="shared" si="181"/>
        <v>0</v>
      </c>
      <c r="AZ300" s="3166">
        <f t="shared" si="182"/>
        <v>0</v>
      </c>
      <c r="BA300" s="3166">
        <f t="shared" si="183"/>
        <v>0</v>
      </c>
      <c r="BB300" s="3166">
        <f t="shared" si="184"/>
        <v>0</v>
      </c>
      <c r="BC300" s="3166">
        <f t="shared" si="185"/>
        <v>0</v>
      </c>
      <c r="BD300" s="3166">
        <f t="shared" si="186"/>
        <v>0</v>
      </c>
      <c r="BE300" s="3166">
        <f t="shared" si="187"/>
        <v>0</v>
      </c>
      <c r="BF300" s="3166">
        <f t="shared" si="188"/>
        <v>0</v>
      </c>
      <c r="BG300" s="3166">
        <f t="shared" si="189"/>
        <v>0</v>
      </c>
      <c r="BH300" s="3166">
        <f t="shared" si="190"/>
        <v>0</v>
      </c>
      <c r="BI300" s="3166">
        <f t="shared" si="191"/>
        <v>0</v>
      </c>
      <c r="BJ300" s="3166">
        <f t="shared" si="192"/>
        <v>0</v>
      </c>
      <c r="BK300" s="3166">
        <f t="shared" si="193"/>
        <v>0</v>
      </c>
      <c r="BL300" s="3166">
        <f t="shared" si="194"/>
        <v>0</v>
      </c>
      <c r="BM300" s="3166">
        <f t="shared" si="195"/>
        <v>0</v>
      </c>
      <c r="BN300" s="3166">
        <f t="shared" si="196"/>
        <v>0</v>
      </c>
      <c r="BO300" s="3166">
        <f t="shared" si="197"/>
        <v>0</v>
      </c>
      <c r="BP300" s="3166">
        <f t="shared" si="198"/>
        <v>0</v>
      </c>
      <c r="BQ300" s="3166">
        <f t="shared" si="199"/>
        <v>0</v>
      </c>
      <c r="BR300" s="3166">
        <f t="shared" si="200"/>
        <v>0</v>
      </c>
      <c r="BS300" s="3166">
        <f t="shared" si="201"/>
        <v>0</v>
      </c>
      <c r="BT300" s="3240">
        <f t="shared" si="202"/>
        <v>0</v>
      </c>
    </row>
    <row r="301" spans="1:72">
      <c r="A301" s="3163"/>
      <c r="B301" s="3173"/>
      <c r="C301" s="3171"/>
      <c r="D301" s="3172"/>
      <c r="E301" s="3166">
        <f t="shared" si="203"/>
        <v>0</v>
      </c>
      <c r="F301" s="3167"/>
      <c r="G301" s="3168">
        <f t="shared" si="178"/>
        <v>0</v>
      </c>
      <c r="H301" s="3169">
        <f t="shared" si="179"/>
        <v>0</v>
      </c>
      <c r="I301" s="3175"/>
      <c r="J301" s="3187"/>
      <c r="K301" s="3175"/>
      <c r="L301" s="3187"/>
      <c r="M301" s="3187"/>
      <c r="N301" s="3187"/>
      <c r="O301" s="3187"/>
      <c r="P301" s="3187"/>
      <c r="Q301" s="3187"/>
      <c r="R301" s="3187"/>
      <c r="S301" s="3187"/>
      <c r="T301" s="3187"/>
      <c r="U301" s="3187"/>
      <c r="V301" s="3187"/>
      <c r="W301" s="3187"/>
      <c r="X301" s="3187"/>
      <c r="Y301" s="3187"/>
      <c r="Z301" s="3187"/>
      <c r="AA301" s="3187"/>
      <c r="AB301" s="3187"/>
      <c r="AC301" s="3166">
        <f t="shared" si="180"/>
        <v>0</v>
      </c>
      <c r="AD301" s="3198"/>
      <c r="AE301" s="3198"/>
      <c r="AF301" s="3199"/>
      <c r="AG301" s="3198"/>
      <c r="AH301" s="3198"/>
      <c r="AI301" s="3198"/>
      <c r="AJ301" s="3198"/>
      <c r="AK301" s="3198"/>
      <c r="AL301" s="3198"/>
      <c r="AM301" s="3198"/>
      <c r="AN301" s="3198"/>
      <c r="AO301" s="3198"/>
      <c r="AP301" s="3198"/>
      <c r="AQ301" s="3198"/>
      <c r="AR301" s="3198"/>
      <c r="AS301" s="3198"/>
      <c r="AT301" s="3218"/>
      <c r="AU301" s="3219"/>
      <c r="AV301" s="488">
        <f t="shared" si="204"/>
        <v>0</v>
      </c>
      <c r="AW301" s="488">
        <f t="shared" si="205"/>
        <v>0</v>
      </c>
      <c r="AX301" s="488">
        <f t="shared" si="206"/>
        <v>0</v>
      </c>
      <c r="AY301" s="3235">
        <f t="shared" si="181"/>
        <v>0</v>
      </c>
      <c r="AZ301" s="3166">
        <f t="shared" si="182"/>
        <v>0</v>
      </c>
      <c r="BA301" s="3166">
        <f t="shared" si="183"/>
        <v>0</v>
      </c>
      <c r="BB301" s="3166">
        <f t="shared" si="184"/>
        <v>0</v>
      </c>
      <c r="BC301" s="3166">
        <f t="shared" si="185"/>
        <v>0</v>
      </c>
      <c r="BD301" s="3166">
        <f t="shared" si="186"/>
        <v>0</v>
      </c>
      <c r="BE301" s="3166">
        <f t="shared" si="187"/>
        <v>0</v>
      </c>
      <c r="BF301" s="3166">
        <f t="shared" si="188"/>
        <v>0</v>
      </c>
      <c r="BG301" s="3166">
        <f t="shared" si="189"/>
        <v>0</v>
      </c>
      <c r="BH301" s="3166">
        <f t="shared" si="190"/>
        <v>0</v>
      </c>
      <c r="BI301" s="3166">
        <f t="shared" si="191"/>
        <v>0</v>
      </c>
      <c r="BJ301" s="3166">
        <f t="shared" si="192"/>
        <v>0</v>
      </c>
      <c r="BK301" s="3166">
        <f t="shared" si="193"/>
        <v>0</v>
      </c>
      <c r="BL301" s="3166">
        <f t="shared" si="194"/>
        <v>0</v>
      </c>
      <c r="BM301" s="3166">
        <f t="shared" si="195"/>
        <v>0</v>
      </c>
      <c r="BN301" s="3166">
        <f t="shared" si="196"/>
        <v>0</v>
      </c>
      <c r="BO301" s="3166">
        <f t="shared" si="197"/>
        <v>0</v>
      </c>
      <c r="BP301" s="3166">
        <f t="shared" si="198"/>
        <v>0</v>
      </c>
      <c r="BQ301" s="3166">
        <f t="shared" si="199"/>
        <v>0</v>
      </c>
      <c r="BR301" s="3166">
        <f t="shared" si="200"/>
        <v>0</v>
      </c>
      <c r="BS301" s="3166">
        <f t="shared" si="201"/>
        <v>0</v>
      </c>
      <c r="BT301" s="3240">
        <f t="shared" si="202"/>
        <v>0</v>
      </c>
    </row>
    <row r="302" spans="1:72">
      <c r="A302" s="3163"/>
      <c r="B302" s="3173"/>
      <c r="C302" s="3171"/>
      <c r="D302" s="3172"/>
      <c r="E302" s="3166">
        <f t="shared" si="203"/>
        <v>0</v>
      </c>
      <c r="F302" s="3167"/>
      <c r="G302" s="3168">
        <f t="shared" si="178"/>
        <v>0</v>
      </c>
      <c r="H302" s="3169">
        <f t="shared" si="179"/>
        <v>0</v>
      </c>
      <c r="I302" s="3175"/>
      <c r="J302" s="3187"/>
      <c r="K302" s="3175"/>
      <c r="L302" s="3187"/>
      <c r="M302" s="3187"/>
      <c r="N302" s="3187"/>
      <c r="O302" s="3187"/>
      <c r="P302" s="3187"/>
      <c r="Q302" s="3187"/>
      <c r="R302" s="3187"/>
      <c r="S302" s="3187"/>
      <c r="T302" s="3187"/>
      <c r="U302" s="3187"/>
      <c r="V302" s="3187"/>
      <c r="W302" s="3187"/>
      <c r="X302" s="3187"/>
      <c r="Y302" s="3187"/>
      <c r="Z302" s="3187"/>
      <c r="AA302" s="3187"/>
      <c r="AB302" s="3187"/>
      <c r="AC302" s="3166">
        <f t="shared" si="180"/>
        <v>0</v>
      </c>
      <c r="AD302" s="3198"/>
      <c r="AE302" s="3198"/>
      <c r="AF302" s="3199"/>
      <c r="AG302" s="3198"/>
      <c r="AH302" s="3198"/>
      <c r="AI302" s="3198"/>
      <c r="AJ302" s="3198"/>
      <c r="AK302" s="3198"/>
      <c r="AL302" s="3198"/>
      <c r="AM302" s="3198"/>
      <c r="AN302" s="3198"/>
      <c r="AO302" s="3198"/>
      <c r="AP302" s="3198"/>
      <c r="AQ302" s="3198"/>
      <c r="AR302" s="3198"/>
      <c r="AS302" s="3198"/>
      <c r="AT302" s="3218"/>
      <c r="AU302" s="3219"/>
      <c r="AV302" s="488">
        <f t="shared" si="204"/>
        <v>0</v>
      </c>
      <c r="AW302" s="488">
        <f t="shared" si="205"/>
        <v>0</v>
      </c>
      <c r="AX302" s="488">
        <f t="shared" si="206"/>
        <v>0</v>
      </c>
      <c r="AY302" s="3235">
        <f t="shared" si="181"/>
        <v>0</v>
      </c>
      <c r="AZ302" s="3166">
        <f t="shared" si="182"/>
        <v>0</v>
      </c>
      <c r="BA302" s="3166">
        <f t="shared" si="183"/>
        <v>0</v>
      </c>
      <c r="BB302" s="3166">
        <f t="shared" si="184"/>
        <v>0</v>
      </c>
      <c r="BC302" s="3166">
        <f t="shared" si="185"/>
        <v>0</v>
      </c>
      <c r="BD302" s="3166">
        <f t="shared" si="186"/>
        <v>0</v>
      </c>
      <c r="BE302" s="3166">
        <f t="shared" si="187"/>
        <v>0</v>
      </c>
      <c r="BF302" s="3166">
        <f t="shared" si="188"/>
        <v>0</v>
      </c>
      <c r="BG302" s="3166">
        <f t="shared" si="189"/>
        <v>0</v>
      </c>
      <c r="BH302" s="3166">
        <f t="shared" si="190"/>
        <v>0</v>
      </c>
      <c r="BI302" s="3166">
        <f t="shared" si="191"/>
        <v>0</v>
      </c>
      <c r="BJ302" s="3166">
        <f t="shared" si="192"/>
        <v>0</v>
      </c>
      <c r="BK302" s="3166">
        <f t="shared" si="193"/>
        <v>0</v>
      </c>
      <c r="BL302" s="3166">
        <f t="shared" si="194"/>
        <v>0</v>
      </c>
      <c r="BM302" s="3166">
        <f t="shared" si="195"/>
        <v>0</v>
      </c>
      <c r="BN302" s="3166">
        <f t="shared" si="196"/>
        <v>0</v>
      </c>
      <c r="BO302" s="3166">
        <f t="shared" si="197"/>
        <v>0</v>
      </c>
      <c r="BP302" s="3166">
        <f t="shared" si="198"/>
        <v>0</v>
      </c>
      <c r="BQ302" s="3166">
        <f t="shared" si="199"/>
        <v>0</v>
      </c>
      <c r="BR302" s="3166">
        <f t="shared" si="200"/>
        <v>0</v>
      </c>
      <c r="BS302" s="3166">
        <f t="shared" si="201"/>
        <v>0</v>
      </c>
      <c r="BT302" s="3240">
        <f t="shared" si="202"/>
        <v>0</v>
      </c>
    </row>
    <row r="303" spans="1:72">
      <c r="A303" s="3163"/>
      <c r="B303" s="3173"/>
      <c r="C303" s="3171"/>
      <c r="D303" s="3172"/>
      <c r="E303" s="3166">
        <f t="shared" si="203"/>
        <v>0</v>
      </c>
      <c r="F303" s="3167"/>
      <c r="G303" s="3168">
        <f t="shared" si="178"/>
        <v>0</v>
      </c>
      <c r="H303" s="3169">
        <f t="shared" si="179"/>
        <v>0</v>
      </c>
      <c r="I303" s="3175"/>
      <c r="J303" s="3187"/>
      <c r="K303" s="3175"/>
      <c r="L303" s="3187"/>
      <c r="M303" s="3187"/>
      <c r="N303" s="3187"/>
      <c r="O303" s="3187"/>
      <c r="P303" s="3187"/>
      <c r="Q303" s="3187"/>
      <c r="R303" s="3187"/>
      <c r="S303" s="3187"/>
      <c r="T303" s="3187"/>
      <c r="U303" s="3187"/>
      <c r="V303" s="3187"/>
      <c r="W303" s="3187"/>
      <c r="X303" s="3187"/>
      <c r="Y303" s="3187"/>
      <c r="Z303" s="3187"/>
      <c r="AA303" s="3187"/>
      <c r="AB303" s="3187"/>
      <c r="AC303" s="3166">
        <f t="shared" si="180"/>
        <v>0</v>
      </c>
      <c r="AD303" s="3198"/>
      <c r="AE303" s="3198"/>
      <c r="AF303" s="3199"/>
      <c r="AG303" s="3198"/>
      <c r="AH303" s="3198"/>
      <c r="AI303" s="3198"/>
      <c r="AJ303" s="3198"/>
      <c r="AK303" s="3198"/>
      <c r="AL303" s="3198"/>
      <c r="AM303" s="3198"/>
      <c r="AN303" s="3198"/>
      <c r="AO303" s="3198"/>
      <c r="AP303" s="3198"/>
      <c r="AQ303" s="3198"/>
      <c r="AR303" s="3198"/>
      <c r="AS303" s="3198"/>
      <c r="AT303" s="3218"/>
      <c r="AU303" s="3219"/>
      <c r="AV303" s="488">
        <f t="shared" si="204"/>
        <v>0</v>
      </c>
      <c r="AW303" s="488">
        <f t="shared" si="205"/>
        <v>0</v>
      </c>
      <c r="AX303" s="488">
        <f t="shared" si="206"/>
        <v>0</v>
      </c>
      <c r="AY303" s="3235">
        <f t="shared" si="181"/>
        <v>0</v>
      </c>
      <c r="AZ303" s="3166">
        <f t="shared" si="182"/>
        <v>0</v>
      </c>
      <c r="BA303" s="3166">
        <f t="shared" si="183"/>
        <v>0</v>
      </c>
      <c r="BB303" s="3166">
        <f t="shared" si="184"/>
        <v>0</v>
      </c>
      <c r="BC303" s="3166">
        <f t="shared" si="185"/>
        <v>0</v>
      </c>
      <c r="BD303" s="3166">
        <f t="shared" si="186"/>
        <v>0</v>
      </c>
      <c r="BE303" s="3166">
        <f t="shared" si="187"/>
        <v>0</v>
      </c>
      <c r="BF303" s="3166">
        <f t="shared" si="188"/>
        <v>0</v>
      </c>
      <c r="BG303" s="3166">
        <f t="shared" si="189"/>
        <v>0</v>
      </c>
      <c r="BH303" s="3166">
        <f t="shared" si="190"/>
        <v>0</v>
      </c>
      <c r="BI303" s="3166">
        <f t="shared" si="191"/>
        <v>0</v>
      </c>
      <c r="BJ303" s="3166">
        <f t="shared" si="192"/>
        <v>0</v>
      </c>
      <c r="BK303" s="3166">
        <f t="shared" si="193"/>
        <v>0</v>
      </c>
      <c r="BL303" s="3166">
        <f t="shared" si="194"/>
        <v>0</v>
      </c>
      <c r="BM303" s="3166">
        <f t="shared" si="195"/>
        <v>0</v>
      </c>
      <c r="BN303" s="3166">
        <f t="shared" si="196"/>
        <v>0</v>
      </c>
      <c r="BO303" s="3166">
        <f t="shared" si="197"/>
        <v>0</v>
      </c>
      <c r="BP303" s="3166">
        <f t="shared" si="198"/>
        <v>0</v>
      </c>
      <c r="BQ303" s="3166">
        <f t="shared" si="199"/>
        <v>0</v>
      </c>
      <c r="BR303" s="3166">
        <f t="shared" si="200"/>
        <v>0</v>
      </c>
      <c r="BS303" s="3166">
        <f t="shared" si="201"/>
        <v>0</v>
      </c>
      <c r="BT303" s="3240">
        <f t="shared" si="202"/>
        <v>0</v>
      </c>
    </row>
    <row r="304" spans="1:72">
      <c r="A304" s="3163"/>
      <c r="B304" s="3173"/>
      <c r="C304" s="3171"/>
      <c r="D304" s="3172"/>
      <c r="E304" s="3166">
        <f t="shared" si="203"/>
        <v>0</v>
      </c>
      <c r="F304" s="3167"/>
      <c r="G304" s="3168">
        <f t="shared" si="178"/>
        <v>0</v>
      </c>
      <c r="H304" s="3169">
        <f t="shared" si="179"/>
        <v>0</v>
      </c>
      <c r="I304" s="3175"/>
      <c r="J304" s="3187"/>
      <c r="K304" s="3175"/>
      <c r="L304" s="3187"/>
      <c r="M304" s="3187"/>
      <c r="N304" s="3187"/>
      <c r="O304" s="3187"/>
      <c r="P304" s="3187"/>
      <c r="Q304" s="3187"/>
      <c r="R304" s="3187"/>
      <c r="S304" s="3187"/>
      <c r="T304" s="3187"/>
      <c r="U304" s="3187"/>
      <c r="V304" s="3187"/>
      <c r="W304" s="3187"/>
      <c r="X304" s="3187"/>
      <c r="Y304" s="3187"/>
      <c r="Z304" s="3187"/>
      <c r="AA304" s="3187"/>
      <c r="AB304" s="3187"/>
      <c r="AC304" s="3166">
        <f t="shared" si="180"/>
        <v>0</v>
      </c>
      <c r="AD304" s="3198"/>
      <c r="AE304" s="3198"/>
      <c r="AF304" s="3175"/>
      <c r="AG304" s="3198"/>
      <c r="AH304" s="3198"/>
      <c r="AI304" s="3198"/>
      <c r="AJ304" s="3198"/>
      <c r="AK304" s="3198"/>
      <c r="AL304" s="3198"/>
      <c r="AM304" s="3198"/>
      <c r="AN304" s="3198"/>
      <c r="AO304" s="3198"/>
      <c r="AP304" s="3198"/>
      <c r="AQ304" s="3198"/>
      <c r="AR304" s="3198"/>
      <c r="AS304" s="3198"/>
      <c r="AT304" s="3218"/>
      <c r="AU304" s="3219"/>
      <c r="AV304" s="488">
        <f t="shared" si="204"/>
        <v>0</v>
      </c>
      <c r="AW304" s="488">
        <f t="shared" si="205"/>
        <v>0</v>
      </c>
      <c r="AX304" s="488">
        <f t="shared" si="206"/>
        <v>0</v>
      </c>
      <c r="AY304" s="3235">
        <f t="shared" si="181"/>
        <v>0</v>
      </c>
      <c r="AZ304" s="3166">
        <f t="shared" si="182"/>
        <v>0</v>
      </c>
      <c r="BA304" s="3166">
        <f t="shared" si="183"/>
        <v>0</v>
      </c>
      <c r="BB304" s="3166">
        <f t="shared" si="184"/>
        <v>0</v>
      </c>
      <c r="BC304" s="3166">
        <f t="shared" si="185"/>
        <v>0</v>
      </c>
      <c r="BD304" s="3166">
        <f t="shared" si="186"/>
        <v>0</v>
      </c>
      <c r="BE304" s="3166">
        <f t="shared" si="187"/>
        <v>0</v>
      </c>
      <c r="BF304" s="3166">
        <f t="shared" si="188"/>
        <v>0</v>
      </c>
      <c r="BG304" s="3166">
        <f t="shared" si="189"/>
        <v>0</v>
      </c>
      <c r="BH304" s="3166">
        <f t="shared" si="190"/>
        <v>0</v>
      </c>
      <c r="BI304" s="3166">
        <f t="shared" si="191"/>
        <v>0</v>
      </c>
      <c r="BJ304" s="3166">
        <f t="shared" si="192"/>
        <v>0</v>
      </c>
      <c r="BK304" s="3166">
        <f t="shared" si="193"/>
        <v>0</v>
      </c>
      <c r="BL304" s="3166">
        <f t="shared" si="194"/>
        <v>0</v>
      </c>
      <c r="BM304" s="3166">
        <f t="shared" si="195"/>
        <v>0</v>
      </c>
      <c r="BN304" s="3166">
        <f t="shared" si="196"/>
        <v>0</v>
      </c>
      <c r="BO304" s="3166">
        <f t="shared" si="197"/>
        <v>0</v>
      </c>
      <c r="BP304" s="3166">
        <f t="shared" si="198"/>
        <v>0</v>
      </c>
      <c r="BQ304" s="3166">
        <f t="shared" si="199"/>
        <v>0</v>
      </c>
      <c r="BR304" s="3166">
        <f t="shared" si="200"/>
        <v>0</v>
      </c>
      <c r="BS304" s="3166">
        <f t="shared" si="201"/>
        <v>0</v>
      </c>
      <c r="BT304" s="3240">
        <f t="shared" si="202"/>
        <v>0</v>
      </c>
    </row>
    <row r="305" spans="1:72">
      <c r="A305" s="3163"/>
      <c r="B305" s="3174"/>
      <c r="C305" s="3175"/>
      <c r="D305" s="3172"/>
      <c r="E305" s="3166">
        <f t="shared" si="203"/>
        <v>0</v>
      </c>
      <c r="F305" s="3167"/>
      <c r="G305" s="3168">
        <f t="shared" si="178"/>
        <v>0</v>
      </c>
      <c r="H305" s="3169">
        <f t="shared" si="179"/>
        <v>0</v>
      </c>
      <c r="I305" s="3175"/>
      <c r="J305" s="3187"/>
      <c r="K305" s="3175"/>
      <c r="L305" s="3187"/>
      <c r="M305" s="3187"/>
      <c r="N305" s="3187"/>
      <c r="O305" s="3187"/>
      <c r="P305" s="3187"/>
      <c r="Q305" s="3187"/>
      <c r="R305" s="3187"/>
      <c r="S305" s="3187"/>
      <c r="T305" s="3187"/>
      <c r="U305" s="3187"/>
      <c r="V305" s="3187"/>
      <c r="W305" s="3187"/>
      <c r="X305" s="3187"/>
      <c r="Y305" s="3187"/>
      <c r="Z305" s="3187"/>
      <c r="AA305" s="3187"/>
      <c r="AB305" s="3187"/>
      <c r="AC305" s="3166">
        <f t="shared" si="180"/>
        <v>0</v>
      </c>
      <c r="AD305" s="3198"/>
      <c r="AE305" s="3198"/>
      <c r="AF305" s="3175"/>
      <c r="AG305" s="3198"/>
      <c r="AH305" s="3198"/>
      <c r="AI305" s="3198"/>
      <c r="AJ305" s="3198"/>
      <c r="AK305" s="3198"/>
      <c r="AL305" s="3198"/>
      <c r="AM305" s="3198"/>
      <c r="AN305" s="3198"/>
      <c r="AO305" s="3198"/>
      <c r="AP305" s="3198"/>
      <c r="AQ305" s="3198"/>
      <c r="AR305" s="3198"/>
      <c r="AS305" s="3198"/>
      <c r="AT305" s="3218"/>
      <c r="AU305" s="3219"/>
      <c r="AV305" s="488">
        <f t="shared" si="204"/>
        <v>0</v>
      </c>
      <c r="AW305" s="488">
        <f t="shared" si="205"/>
        <v>0</v>
      </c>
      <c r="AX305" s="488">
        <f t="shared" si="206"/>
        <v>0</v>
      </c>
      <c r="AY305" s="3235">
        <f t="shared" si="181"/>
        <v>0</v>
      </c>
      <c r="AZ305" s="3166">
        <f t="shared" si="182"/>
        <v>0</v>
      </c>
      <c r="BA305" s="3166">
        <f t="shared" si="183"/>
        <v>0</v>
      </c>
      <c r="BB305" s="3166">
        <f t="shared" si="184"/>
        <v>0</v>
      </c>
      <c r="BC305" s="3166">
        <f t="shared" si="185"/>
        <v>0</v>
      </c>
      <c r="BD305" s="3166">
        <f t="shared" si="186"/>
        <v>0</v>
      </c>
      <c r="BE305" s="3166">
        <f t="shared" si="187"/>
        <v>0</v>
      </c>
      <c r="BF305" s="3166">
        <f t="shared" si="188"/>
        <v>0</v>
      </c>
      <c r="BG305" s="3166">
        <f t="shared" si="189"/>
        <v>0</v>
      </c>
      <c r="BH305" s="3166">
        <f t="shared" si="190"/>
        <v>0</v>
      </c>
      <c r="BI305" s="3166">
        <f t="shared" si="191"/>
        <v>0</v>
      </c>
      <c r="BJ305" s="3166">
        <f t="shared" si="192"/>
        <v>0</v>
      </c>
      <c r="BK305" s="3166">
        <f t="shared" si="193"/>
        <v>0</v>
      </c>
      <c r="BL305" s="3166">
        <f t="shared" si="194"/>
        <v>0</v>
      </c>
      <c r="BM305" s="3166">
        <f t="shared" si="195"/>
        <v>0</v>
      </c>
      <c r="BN305" s="3166">
        <f t="shared" si="196"/>
        <v>0</v>
      </c>
      <c r="BO305" s="3166">
        <f t="shared" si="197"/>
        <v>0</v>
      </c>
      <c r="BP305" s="3166">
        <f t="shared" si="198"/>
        <v>0</v>
      </c>
      <c r="BQ305" s="3166">
        <f t="shared" si="199"/>
        <v>0</v>
      </c>
      <c r="BR305" s="3166">
        <f t="shared" si="200"/>
        <v>0</v>
      </c>
      <c r="BS305" s="3166">
        <f t="shared" si="201"/>
        <v>0</v>
      </c>
      <c r="BT305" s="3240">
        <f t="shared" si="202"/>
        <v>0</v>
      </c>
    </row>
    <row r="306" spans="1:72">
      <c r="A306" s="3163"/>
      <c r="B306" s="3173"/>
      <c r="C306" s="3171"/>
      <c r="D306" s="3172"/>
      <c r="E306" s="3166">
        <f t="shared" si="203"/>
        <v>0</v>
      </c>
      <c r="F306" s="3167"/>
      <c r="G306" s="3168">
        <f t="shared" si="178"/>
        <v>0</v>
      </c>
      <c r="H306" s="3169">
        <f t="shared" si="179"/>
        <v>0</v>
      </c>
      <c r="I306" s="3175"/>
      <c r="J306" s="3187"/>
      <c r="K306" s="3175"/>
      <c r="L306" s="3187"/>
      <c r="M306" s="3187"/>
      <c r="N306" s="3187"/>
      <c r="O306" s="3187"/>
      <c r="P306" s="3187"/>
      <c r="Q306" s="3187"/>
      <c r="R306" s="3187"/>
      <c r="S306" s="3187"/>
      <c r="T306" s="3187"/>
      <c r="U306" s="3187"/>
      <c r="V306" s="3187"/>
      <c r="W306" s="3187"/>
      <c r="X306" s="3187"/>
      <c r="Y306" s="3187"/>
      <c r="Z306" s="3187"/>
      <c r="AA306" s="3187"/>
      <c r="AB306" s="3187"/>
      <c r="AC306" s="3166">
        <f t="shared" si="180"/>
        <v>0</v>
      </c>
      <c r="AD306" s="3198"/>
      <c r="AE306" s="3198"/>
      <c r="AF306" s="3175"/>
      <c r="AG306" s="3198"/>
      <c r="AH306" s="3198"/>
      <c r="AI306" s="3198"/>
      <c r="AJ306" s="3198"/>
      <c r="AK306" s="3198"/>
      <c r="AL306" s="3198"/>
      <c r="AM306" s="3198"/>
      <c r="AN306" s="3198"/>
      <c r="AO306" s="3198"/>
      <c r="AP306" s="3198"/>
      <c r="AQ306" s="3198"/>
      <c r="AR306" s="3198"/>
      <c r="AS306" s="3198"/>
      <c r="AT306" s="3218"/>
      <c r="AU306" s="3219"/>
      <c r="AV306" s="488">
        <f t="shared" si="204"/>
        <v>0</v>
      </c>
      <c r="AW306" s="488">
        <f t="shared" si="205"/>
        <v>0</v>
      </c>
      <c r="AX306" s="488">
        <f t="shared" si="206"/>
        <v>0</v>
      </c>
      <c r="AY306" s="3235">
        <f t="shared" si="181"/>
        <v>0</v>
      </c>
      <c r="AZ306" s="3166">
        <f t="shared" si="182"/>
        <v>0</v>
      </c>
      <c r="BA306" s="3166">
        <f t="shared" si="183"/>
        <v>0</v>
      </c>
      <c r="BB306" s="3166">
        <f t="shared" si="184"/>
        <v>0</v>
      </c>
      <c r="BC306" s="3166">
        <f t="shared" si="185"/>
        <v>0</v>
      </c>
      <c r="BD306" s="3166">
        <f t="shared" si="186"/>
        <v>0</v>
      </c>
      <c r="BE306" s="3166">
        <f t="shared" si="187"/>
        <v>0</v>
      </c>
      <c r="BF306" s="3166">
        <f t="shared" si="188"/>
        <v>0</v>
      </c>
      <c r="BG306" s="3166">
        <f t="shared" si="189"/>
        <v>0</v>
      </c>
      <c r="BH306" s="3166">
        <f t="shared" si="190"/>
        <v>0</v>
      </c>
      <c r="BI306" s="3166">
        <f t="shared" si="191"/>
        <v>0</v>
      </c>
      <c r="BJ306" s="3166">
        <f t="shared" si="192"/>
        <v>0</v>
      </c>
      <c r="BK306" s="3166">
        <f t="shared" si="193"/>
        <v>0</v>
      </c>
      <c r="BL306" s="3166">
        <f t="shared" si="194"/>
        <v>0</v>
      </c>
      <c r="BM306" s="3166">
        <f t="shared" si="195"/>
        <v>0</v>
      </c>
      <c r="BN306" s="3166">
        <f t="shared" si="196"/>
        <v>0</v>
      </c>
      <c r="BO306" s="3166">
        <f t="shared" si="197"/>
        <v>0</v>
      </c>
      <c r="BP306" s="3166">
        <f t="shared" si="198"/>
        <v>0</v>
      </c>
      <c r="BQ306" s="3166">
        <f t="shared" si="199"/>
        <v>0</v>
      </c>
      <c r="BR306" s="3166">
        <f t="shared" si="200"/>
        <v>0</v>
      </c>
      <c r="BS306" s="3166">
        <f t="shared" si="201"/>
        <v>0</v>
      </c>
      <c r="BT306" s="3240">
        <f t="shared" si="202"/>
        <v>0</v>
      </c>
    </row>
    <row r="307" spans="1:72">
      <c r="A307" s="3163"/>
      <c r="B307" s="3173"/>
      <c r="C307" s="3171"/>
      <c r="D307" s="3172"/>
      <c r="E307" s="3166">
        <f t="shared" si="203"/>
        <v>0</v>
      </c>
      <c r="F307" s="3167"/>
      <c r="G307" s="3168">
        <f t="shared" si="178"/>
        <v>0</v>
      </c>
      <c r="H307" s="3169">
        <f t="shared" si="179"/>
        <v>0</v>
      </c>
      <c r="I307" s="3175"/>
      <c r="J307" s="3187"/>
      <c r="K307" s="3175"/>
      <c r="L307" s="3187"/>
      <c r="M307" s="3187"/>
      <c r="N307" s="3187"/>
      <c r="O307" s="3187"/>
      <c r="P307" s="3187"/>
      <c r="Q307" s="3187"/>
      <c r="R307" s="3187"/>
      <c r="S307" s="3187"/>
      <c r="T307" s="3187"/>
      <c r="U307" s="3187"/>
      <c r="V307" s="3187"/>
      <c r="W307" s="3187"/>
      <c r="X307" s="3187"/>
      <c r="Y307" s="3187"/>
      <c r="Z307" s="3187"/>
      <c r="AA307" s="3187"/>
      <c r="AB307" s="3187"/>
      <c r="AC307" s="3166">
        <f t="shared" si="180"/>
        <v>0</v>
      </c>
      <c r="AD307" s="3198"/>
      <c r="AE307" s="3198"/>
      <c r="AF307" s="3175"/>
      <c r="AG307" s="3198"/>
      <c r="AH307" s="3198"/>
      <c r="AI307" s="3198"/>
      <c r="AJ307" s="3198"/>
      <c r="AK307" s="3198"/>
      <c r="AL307" s="3198"/>
      <c r="AM307" s="3198"/>
      <c r="AN307" s="3198"/>
      <c r="AO307" s="3198"/>
      <c r="AP307" s="3198"/>
      <c r="AQ307" s="3198"/>
      <c r="AR307" s="3198"/>
      <c r="AS307" s="3198"/>
      <c r="AT307" s="3218"/>
      <c r="AU307" s="3219"/>
      <c r="AV307" s="488">
        <f t="shared" si="204"/>
        <v>0</v>
      </c>
      <c r="AW307" s="488">
        <f t="shared" si="205"/>
        <v>0</v>
      </c>
      <c r="AX307" s="488">
        <f t="shared" si="206"/>
        <v>0</v>
      </c>
      <c r="AY307" s="3235">
        <f t="shared" si="181"/>
        <v>0</v>
      </c>
      <c r="AZ307" s="3166">
        <f t="shared" si="182"/>
        <v>0</v>
      </c>
      <c r="BA307" s="3166">
        <f t="shared" si="183"/>
        <v>0</v>
      </c>
      <c r="BB307" s="3166">
        <f t="shared" si="184"/>
        <v>0</v>
      </c>
      <c r="BC307" s="3166">
        <f t="shared" si="185"/>
        <v>0</v>
      </c>
      <c r="BD307" s="3166">
        <f t="shared" si="186"/>
        <v>0</v>
      </c>
      <c r="BE307" s="3166">
        <f t="shared" si="187"/>
        <v>0</v>
      </c>
      <c r="BF307" s="3166">
        <f t="shared" si="188"/>
        <v>0</v>
      </c>
      <c r="BG307" s="3166">
        <f t="shared" si="189"/>
        <v>0</v>
      </c>
      <c r="BH307" s="3166">
        <f t="shared" si="190"/>
        <v>0</v>
      </c>
      <c r="BI307" s="3166">
        <f t="shared" si="191"/>
        <v>0</v>
      </c>
      <c r="BJ307" s="3166">
        <f t="shared" si="192"/>
        <v>0</v>
      </c>
      <c r="BK307" s="3166">
        <f t="shared" si="193"/>
        <v>0</v>
      </c>
      <c r="BL307" s="3166">
        <f t="shared" si="194"/>
        <v>0</v>
      </c>
      <c r="BM307" s="3166">
        <f t="shared" si="195"/>
        <v>0</v>
      </c>
      <c r="BN307" s="3166">
        <f t="shared" si="196"/>
        <v>0</v>
      </c>
      <c r="BO307" s="3166">
        <f t="shared" si="197"/>
        <v>0</v>
      </c>
      <c r="BP307" s="3166">
        <f t="shared" si="198"/>
        <v>0</v>
      </c>
      <c r="BQ307" s="3166">
        <f t="shared" si="199"/>
        <v>0</v>
      </c>
      <c r="BR307" s="3166">
        <f t="shared" si="200"/>
        <v>0</v>
      </c>
      <c r="BS307" s="3166">
        <f t="shared" si="201"/>
        <v>0</v>
      </c>
      <c r="BT307" s="3240">
        <f t="shared" si="202"/>
        <v>0</v>
      </c>
    </row>
    <row r="308" spans="1:72">
      <c r="A308" s="3163"/>
      <c r="B308" s="3173"/>
      <c r="C308" s="3171"/>
      <c r="D308" s="3172"/>
      <c r="E308" s="3166">
        <f t="shared" si="203"/>
        <v>0</v>
      </c>
      <c r="F308" s="3167"/>
      <c r="G308" s="3168">
        <f t="shared" si="178"/>
        <v>0</v>
      </c>
      <c r="H308" s="3169">
        <f t="shared" si="179"/>
        <v>0</v>
      </c>
      <c r="I308" s="3175"/>
      <c r="J308" s="3187"/>
      <c r="K308" s="3175"/>
      <c r="L308" s="3187"/>
      <c r="M308" s="3187"/>
      <c r="N308" s="3187"/>
      <c r="O308" s="3187"/>
      <c r="P308" s="3187"/>
      <c r="Q308" s="3187"/>
      <c r="R308" s="3187"/>
      <c r="S308" s="3187"/>
      <c r="T308" s="3187"/>
      <c r="U308" s="3187"/>
      <c r="V308" s="3187"/>
      <c r="W308" s="3187"/>
      <c r="X308" s="3187"/>
      <c r="Y308" s="3187"/>
      <c r="Z308" s="3187"/>
      <c r="AA308" s="3187"/>
      <c r="AB308" s="3187"/>
      <c r="AC308" s="3166">
        <f t="shared" si="180"/>
        <v>0</v>
      </c>
      <c r="AD308" s="3198"/>
      <c r="AE308" s="3198"/>
      <c r="AF308" s="3175"/>
      <c r="AG308" s="3198"/>
      <c r="AH308" s="3198"/>
      <c r="AI308" s="3198"/>
      <c r="AJ308" s="3198"/>
      <c r="AK308" s="3198"/>
      <c r="AL308" s="3198"/>
      <c r="AM308" s="3198"/>
      <c r="AN308" s="3198"/>
      <c r="AO308" s="3198"/>
      <c r="AP308" s="3198"/>
      <c r="AQ308" s="3198"/>
      <c r="AR308" s="3198"/>
      <c r="AS308" s="3198"/>
      <c r="AT308" s="3218"/>
      <c r="AU308" s="3219"/>
      <c r="AV308" s="488">
        <f t="shared" si="204"/>
        <v>0</v>
      </c>
      <c r="AW308" s="488">
        <f t="shared" si="205"/>
        <v>0</v>
      </c>
      <c r="AX308" s="488">
        <f t="shared" si="206"/>
        <v>0</v>
      </c>
      <c r="AY308" s="3235">
        <f t="shared" si="181"/>
        <v>0</v>
      </c>
      <c r="AZ308" s="3166">
        <f t="shared" si="182"/>
        <v>0</v>
      </c>
      <c r="BA308" s="3166">
        <f t="shared" si="183"/>
        <v>0</v>
      </c>
      <c r="BB308" s="3166">
        <f t="shared" si="184"/>
        <v>0</v>
      </c>
      <c r="BC308" s="3166">
        <f t="shared" si="185"/>
        <v>0</v>
      </c>
      <c r="BD308" s="3166">
        <f t="shared" si="186"/>
        <v>0</v>
      </c>
      <c r="BE308" s="3166">
        <f t="shared" si="187"/>
        <v>0</v>
      </c>
      <c r="BF308" s="3166">
        <f t="shared" si="188"/>
        <v>0</v>
      </c>
      <c r="BG308" s="3166">
        <f t="shared" si="189"/>
        <v>0</v>
      </c>
      <c r="BH308" s="3166">
        <f t="shared" si="190"/>
        <v>0</v>
      </c>
      <c r="BI308" s="3166">
        <f t="shared" si="191"/>
        <v>0</v>
      </c>
      <c r="BJ308" s="3166">
        <f t="shared" si="192"/>
        <v>0</v>
      </c>
      <c r="BK308" s="3166">
        <f t="shared" si="193"/>
        <v>0</v>
      </c>
      <c r="BL308" s="3166">
        <f t="shared" si="194"/>
        <v>0</v>
      </c>
      <c r="BM308" s="3166">
        <f t="shared" si="195"/>
        <v>0</v>
      </c>
      <c r="BN308" s="3166">
        <f t="shared" si="196"/>
        <v>0</v>
      </c>
      <c r="BO308" s="3166">
        <f t="shared" si="197"/>
        <v>0</v>
      </c>
      <c r="BP308" s="3166">
        <f t="shared" si="198"/>
        <v>0</v>
      </c>
      <c r="BQ308" s="3166">
        <f t="shared" si="199"/>
        <v>0</v>
      </c>
      <c r="BR308" s="3166">
        <f t="shared" si="200"/>
        <v>0</v>
      </c>
      <c r="BS308" s="3166">
        <f t="shared" si="201"/>
        <v>0</v>
      </c>
      <c r="BT308" s="3240">
        <f t="shared" si="202"/>
        <v>0</v>
      </c>
    </row>
    <row r="309" spans="1:72">
      <c r="A309" s="3163"/>
      <c r="B309" s="3173"/>
      <c r="C309" s="3171"/>
      <c r="D309" s="3172"/>
      <c r="E309" s="3166">
        <f t="shared" si="203"/>
        <v>0</v>
      </c>
      <c r="F309" s="3167"/>
      <c r="G309" s="3168">
        <f t="shared" si="178"/>
        <v>0</v>
      </c>
      <c r="H309" s="3169">
        <f t="shared" si="179"/>
        <v>0</v>
      </c>
      <c r="I309" s="3175"/>
      <c r="J309" s="3187"/>
      <c r="K309" s="3175"/>
      <c r="L309" s="3187"/>
      <c r="M309" s="3187"/>
      <c r="N309" s="3187"/>
      <c r="O309" s="3187"/>
      <c r="P309" s="3187"/>
      <c r="Q309" s="3187"/>
      <c r="R309" s="3187"/>
      <c r="S309" s="3187"/>
      <c r="T309" s="3187"/>
      <c r="U309" s="3187"/>
      <c r="V309" s="3187"/>
      <c r="W309" s="3187"/>
      <c r="X309" s="3187"/>
      <c r="Y309" s="3187"/>
      <c r="Z309" s="3187"/>
      <c r="AA309" s="3187"/>
      <c r="AB309" s="3187"/>
      <c r="AC309" s="3166">
        <f t="shared" si="180"/>
        <v>0</v>
      </c>
      <c r="AD309" s="3198"/>
      <c r="AE309" s="3198"/>
      <c r="AF309" s="3175"/>
      <c r="AG309" s="3198"/>
      <c r="AH309" s="3198"/>
      <c r="AI309" s="3198"/>
      <c r="AJ309" s="3198"/>
      <c r="AK309" s="3198"/>
      <c r="AL309" s="3198"/>
      <c r="AM309" s="3198"/>
      <c r="AN309" s="3198"/>
      <c r="AO309" s="3198"/>
      <c r="AP309" s="3198"/>
      <c r="AQ309" s="3198"/>
      <c r="AR309" s="3198"/>
      <c r="AS309" s="3198"/>
      <c r="AT309" s="3218"/>
      <c r="AU309" s="3219"/>
      <c r="AV309" s="488">
        <f t="shared" si="204"/>
        <v>0</v>
      </c>
      <c r="AW309" s="488">
        <f t="shared" si="205"/>
        <v>0</v>
      </c>
      <c r="AX309" s="488">
        <f t="shared" si="206"/>
        <v>0</v>
      </c>
      <c r="AY309" s="3235">
        <f t="shared" si="181"/>
        <v>0</v>
      </c>
      <c r="AZ309" s="3166">
        <f t="shared" si="182"/>
        <v>0</v>
      </c>
      <c r="BA309" s="3166">
        <f t="shared" si="183"/>
        <v>0</v>
      </c>
      <c r="BB309" s="3166">
        <f t="shared" si="184"/>
        <v>0</v>
      </c>
      <c r="BC309" s="3166">
        <f t="shared" si="185"/>
        <v>0</v>
      </c>
      <c r="BD309" s="3166">
        <f t="shared" si="186"/>
        <v>0</v>
      </c>
      <c r="BE309" s="3166">
        <f t="shared" si="187"/>
        <v>0</v>
      </c>
      <c r="BF309" s="3166">
        <f t="shared" si="188"/>
        <v>0</v>
      </c>
      <c r="BG309" s="3166">
        <f t="shared" si="189"/>
        <v>0</v>
      </c>
      <c r="BH309" s="3166">
        <f t="shared" si="190"/>
        <v>0</v>
      </c>
      <c r="BI309" s="3166">
        <f t="shared" si="191"/>
        <v>0</v>
      </c>
      <c r="BJ309" s="3166">
        <f t="shared" si="192"/>
        <v>0</v>
      </c>
      <c r="BK309" s="3166">
        <f t="shared" si="193"/>
        <v>0</v>
      </c>
      <c r="BL309" s="3166">
        <f t="shared" si="194"/>
        <v>0</v>
      </c>
      <c r="BM309" s="3166">
        <f t="shared" si="195"/>
        <v>0</v>
      </c>
      <c r="BN309" s="3166">
        <f t="shared" si="196"/>
        <v>0</v>
      </c>
      <c r="BO309" s="3166">
        <f t="shared" si="197"/>
        <v>0</v>
      </c>
      <c r="BP309" s="3166">
        <f t="shared" si="198"/>
        <v>0</v>
      </c>
      <c r="BQ309" s="3166">
        <f t="shared" si="199"/>
        <v>0</v>
      </c>
      <c r="BR309" s="3166">
        <f t="shared" si="200"/>
        <v>0</v>
      </c>
      <c r="BS309" s="3166">
        <f t="shared" si="201"/>
        <v>0</v>
      </c>
      <c r="BT309" s="3240">
        <f t="shared" si="202"/>
        <v>0</v>
      </c>
    </row>
    <row r="310" spans="1:72">
      <c r="A310" s="3163"/>
      <c r="B310" s="3173"/>
      <c r="C310" s="3171"/>
      <c r="D310" s="3172"/>
      <c r="E310" s="3166">
        <f t="shared" si="203"/>
        <v>0</v>
      </c>
      <c r="F310" s="3167"/>
      <c r="G310" s="3168">
        <f t="shared" si="178"/>
        <v>0</v>
      </c>
      <c r="H310" s="3169">
        <f t="shared" si="179"/>
        <v>0</v>
      </c>
      <c r="I310" s="3175"/>
      <c r="J310" s="3187"/>
      <c r="K310" s="3175"/>
      <c r="L310" s="3187"/>
      <c r="M310" s="3187"/>
      <c r="N310" s="3187"/>
      <c r="O310" s="3187"/>
      <c r="P310" s="3187"/>
      <c r="Q310" s="3187"/>
      <c r="R310" s="3187"/>
      <c r="S310" s="3187"/>
      <c r="T310" s="3187"/>
      <c r="U310" s="3187"/>
      <c r="V310" s="3187"/>
      <c r="W310" s="3187"/>
      <c r="X310" s="3187"/>
      <c r="Y310" s="3187"/>
      <c r="Z310" s="3187"/>
      <c r="AA310" s="3187"/>
      <c r="AB310" s="3187"/>
      <c r="AC310" s="3166">
        <f t="shared" si="180"/>
        <v>0</v>
      </c>
      <c r="AD310" s="3198"/>
      <c r="AE310" s="3198"/>
      <c r="AF310" s="3175"/>
      <c r="AG310" s="3198"/>
      <c r="AH310" s="3198"/>
      <c r="AI310" s="3198"/>
      <c r="AJ310" s="3198"/>
      <c r="AK310" s="3198"/>
      <c r="AL310" s="3198"/>
      <c r="AM310" s="3198"/>
      <c r="AN310" s="3198"/>
      <c r="AO310" s="3198"/>
      <c r="AP310" s="3198"/>
      <c r="AQ310" s="3198"/>
      <c r="AR310" s="3198"/>
      <c r="AS310" s="3198"/>
      <c r="AT310" s="3218"/>
      <c r="AU310" s="3219"/>
      <c r="AV310" s="488">
        <f t="shared" si="204"/>
        <v>0</v>
      </c>
      <c r="AW310" s="488">
        <f t="shared" si="205"/>
        <v>0</v>
      </c>
      <c r="AX310" s="488">
        <f t="shared" si="206"/>
        <v>0</v>
      </c>
      <c r="AY310" s="3235">
        <f t="shared" si="181"/>
        <v>0</v>
      </c>
      <c r="AZ310" s="3166">
        <f t="shared" si="182"/>
        <v>0</v>
      </c>
      <c r="BA310" s="3166">
        <f t="shared" si="183"/>
        <v>0</v>
      </c>
      <c r="BB310" s="3166">
        <f t="shared" si="184"/>
        <v>0</v>
      </c>
      <c r="BC310" s="3166">
        <f t="shared" si="185"/>
        <v>0</v>
      </c>
      <c r="BD310" s="3166">
        <f t="shared" si="186"/>
        <v>0</v>
      </c>
      <c r="BE310" s="3166">
        <f t="shared" si="187"/>
        <v>0</v>
      </c>
      <c r="BF310" s="3166">
        <f t="shared" si="188"/>
        <v>0</v>
      </c>
      <c r="BG310" s="3166">
        <f t="shared" si="189"/>
        <v>0</v>
      </c>
      <c r="BH310" s="3166">
        <f t="shared" si="190"/>
        <v>0</v>
      </c>
      <c r="BI310" s="3166">
        <f t="shared" si="191"/>
        <v>0</v>
      </c>
      <c r="BJ310" s="3166">
        <f t="shared" si="192"/>
        <v>0</v>
      </c>
      <c r="BK310" s="3166">
        <f t="shared" si="193"/>
        <v>0</v>
      </c>
      <c r="BL310" s="3166">
        <f t="shared" si="194"/>
        <v>0</v>
      </c>
      <c r="BM310" s="3166">
        <f t="shared" si="195"/>
        <v>0</v>
      </c>
      <c r="BN310" s="3166">
        <f t="shared" si="196"/>
        <v>0</v>
      </c>
      <c r="BO310" s="3166">
        <f t="shared" si="197"/>
        <v>0</v>
      </c>
      <c r="BP310" s="3166">
        <f t="shared" si="198"/>
        <v>0</v>
      </c>
      <c r="BQ310" s="3166">
        <f t="shared" si="199"/>
        <v>0</v>
      </c>
      <c r="BR310" s="3166">
        <f t="shared" si="200"/>
        <v>0</v>
      </c>
      <c r="BS310" s="3166">
        <f t="shared" si="201"/>
        <v>0</v>
      </c>
      <c r="BT310" s="3240">
        <f t="shared" si="202"/>
        <v>0</v>
      </c>
    </row>
    <row r="311" spans="1:72">
      <c r="A311" s="3163"/>
      <c r="B311" s="3173"/>
      <c r="C311" s="3171"/>
      <c r="D311" s="3172"/>
      <c r="E311" s="3166">
        <f t="shared" si="203"/>
        <v>0</v>
      </c>
      <c r="F311" s="3167"/>
      <c r="G311" s="3168">
        <f t="shared" si="178"/>
        <v>0</v>
      </c>
      <c r="H311" s="3169">
        <f t="shared" si="179"/>
        <v>0</v>
      </c>
      <c r="I311" s="3175"/>
      <c r="J311" s="3187"/>
      <c r="K311" s="3175"/>
      <c r="L311" s="3187"/>
      <c r="M311" s="3187"/>
      <c r="N311" s="3187"/>
      <c r="O311" s="3187"/>
      <c r="P311" s="3187"/>
      <c r="Q311" s="3187"/>
      <c r="R311" s="3187"/>
      <c r="S311" s="3187"/>
      <c r="T311" s="3187"/>
      <c r="U311" s="3187"/>
      <c r="V311" s="3187"/>
      <c r="W311" s="3187"/>
      <c r="X311" s="3187"/>
      <c r="Y311" s="3187"/>
      <c r="Z311" s="3187"/>
      <c r="AA311" s="3187"/>
      <c r="AB311" s="3187"/>
      <c r="AC311" s="3166">
        <f t="shared" si="180"/>
        <v>0</v>
      </c>
      <c r="AD311" s="3198"/>
      <c r="AE311" s="3198"/>
      <c r="AF311" s="3175"/>
      <c r="AG311" s="3198"/>
      <c r="AH311" s="3198"/>
      <c r="AI311" s="3198"/>
      <c r="AJ311" s="3198"/>
      <c r="AK311" s="3198"/>
      <c r="AL311" s="3198"/>
      <c r="AM311" s="3198"/>
      <c r="AN311" s="3198"/>
      <c r="AO311" s="3198"/>
      <c r="AP311" s="3198"/>
      <c r="AQ311" s="3198"/>
      <c r="AR311" s="3198"/>
      <c r="AS311" s="3198"/>
      <c r="AT311" s="3218"/>
      <c r="AU311" s="3219"/>
      <c r="AV311" s="488">
        <f t="shared" si="204"/>
        <v>0</v>
      </c>
      <c r="AW311" s="488">
        <f t="shared" si="205"/>
        <v>0</v>
      </c>
      <c r="AX311" s="488">
        <f t="shared" si="206"/>
        <v>0</v>
      </c>
      <c r="AY311" s="3235">
        <f t="shared" si="181"/>
        <v>0</v>
      </c>
      <c r="AZ311" s="3166">
        <f t="shared" si="182"/>
        <v>0</v>
      </c>
      <c r="BA311" s="3166">
        <f t="shared" si="183"/>
        <v>0</v>
      </c>
      <c r="BB311" s="3166">
        <f t="shared" si="184"/>
        <v>0</v>
      </c>
      <c r="BC311" s="3166">
        <f t="shared" si="185"/>
        <v>0</v>
      </c>
      <c r="BD311" s="3166">
        <f t="shared" si="186"/>
        <v>0</v>
      </c>
      <c r="BE311" s="3166">
        <f t="shared" si="187"/>
        <v>0</v>
      </c>
      <c r="BF311" s="3166">
        <f t="shared" si="188"/>
        <v>0</v>
      </c>
      <c r="BG311" s="3166">
        <f t="shared" si="189"/>
        <v>0</v>
      </c>
      <c r="BH311" s="3166">
        <f t="shared" si="190"/>
        <v>0</v>
      </c>
      <c r="BI311" s="3166">
        <f t="shared" si="191"/>
        <v>0</v>
      </c>
      <c r="BJ311" s="3166">
        <f t="shared" si="192"/>
        <v>0</v>
      </c>
      <c r="BK311" s="3166">
        <f t="shared" si="193"/>
        <v>0</v>
      </c>
      <c r="BL311" s="3166">
        <f t="shared" si="194"/>
        <v>0</v>
      </c>
      <c r="BM311" s="3166">
        <f t="shared" si="195"/>
        <v>0</v>
      </c>
      <c r="BN311" s="3166">
        <f t="shared" si="196"/>
        <v>0</v>
      </c>
      <c r="BO311" s="3166">
        <f t="shared" si="197"/>
        <v>0</v>
      </c>
      <c r="BP311" s="3166">
        <f t="shared" si="198"/>
        <v>0</v>
      </c>
      <c r="BQ311" s="3166">
        <f t="shared" si="199"/>
        <v>0</v>
      </c>
      <c r="BR311" s="3166">
        <f t="shared" si="200"/>
        <v>0</v>
      </c>
      <c r="BS311" s="3166">
        <f t="shared" si="201"/>
        <v>0</v>
      </c>
      <c r="BT311" s="3240">
        <f t="shared" si="202"/>
        <v>0</v>
      </c>
    </row>
    <row r="312" spans="1:72">
      <c r="A312" s="3163"/>
      <c r="B312" s="3173"/>
      <c r="C312" s="3171"/>
      <c r="D312" s="3172"/>
      <c r="E312" s="3166">
        <f t="shared" si="203"/>
        <v>0</v>
      </c>
      <c r="F312" s="3167"/>
      <c r="G312" s="3168">
        <f t="shared" si="178"/>
        <v>0</v>
      </c>
      <c r="H312" s="3169">
        <f t="shared" si="179"/>
        <v>0</v>
      </c>
      <c r="I312" s="3175"/>
      <c r="J312" s="3187"/>
      <c r="K312" s="3175"/>
      <c r="L312" s="3187"/>
      <c r="M312" s="3187"/>
      <c r="N312" s="3187"/>
      <c r="O312" s="3187"/>
      <c r="P312" s="3187"/>
      <c r="Q312" s="3187"/>
      <c r="R312" s="3187"/>
      <c r="S312" s="3187"/>
      <c r="T312" s="3187"/>
      <c r="U312" s="3187"/>
      <c r="V312" s="3187"/>
      <c r="W312" s="3187"/>
      <c r="X312" s="3187"/>
      <c r="Y312" s="3187"/>
      <c r="Z312" s="3187"/>
      <c r="AA312" s="3187"/>
      <c r="AB312" s="3187"/>
      <c r="AC312" s="3166">
        <f t="shared" si="180"/>
        <v>0</v>
      </c>
      <c r="AD312" s="3198"/>
      <c r="AE312" s="3198"/>
      <c r="AF312" s="3175"/>
      <c r="AG312" s="3198"/>
      <c r="AH312" s="3198"/>
      <c r="AI312" s="3198"/>
      <c r="AJ312" s="3198"/>
      <c r="AK312" s="3198"/>
      <c r="AL312" s="3198"/>
      <c r="AM312" s="3198"/>
      <c r="AN312" s="3198"/>
      <c r="AO312" s="3198"/>
      <c r="AP312" s="3198"/>
      <c r="AQ312" s="3198"/>
      <c r="AR312" s="3198"/>
      <c r="AS312" s="3198"/>
      <c r="AT312" s="3218"/>
      <c r="AU312" s="3219"/>
      <c r="AV312" s="488">
        <f t="shared" si="204"/>
        <v>0</v>
      </c>
      <c r="AW312" s="488">
        <f t="shared" si="205"/>
        <v>0</v>
      </c>
      <c r="AX312" s="488">
        <f t="shared" si="206"/>
        <v>0</v>
      </c>
      <c r="AY312" s="3235">
        <f t="shared" si="181"/>
        <v>0</v>
      </c>
      <c r="AZ312" s="3166">
        <f t="shared" si="182"/>
        <v>0</v>
      </c>
      <c r="BA312" s="3166">
        <f t="shared" si="183"/>
        <v>0</v>
      </c>
      <c r="BB312" s="3166">
        <f t="shared" si="184"/>
        <v>0</v>
      </c>
      <c r="BC312" s="3166">
        <f t="shared" si="185"/>
        <v>0</v>
      </c>
      <c r="BD312" s="3166">
        <f t="shared" si="186"/>
        <v>0</v>
      </c>
      <c r="BE312" s="3166">
        <f t="shared" si="187"/>
        <v>0</v>
      </c>
      <c r="BF312" s="3166">
        <f t="shared" si="188"/>
        <v>0</v>
      </c>
      <c r="BG312" s="3166">
        <f t="shared" si="189"/>
        <v>0</v>
      </c>
      <c r="BH312" s="3166">
        <f t="shared" si="190"/>
        <v>0</v>
      </c>
      <c r="BI312" s="3166">
        <f t="shared" si="191"/>
        <v>0</v>
      </c>
      <c r="BJ312" s="3166">
        <f t="shared" si="192"/>
        <v>0</v>
      </c>
      <c r="BK312" s="3166">
        <f t="shared" si="193"/>
        <v>0</v>
      </c>
      <c r="BL312" s="3166">
        <f t="shared" si="194"/>
        <v>0</v>
      </c>
      <c r="BM312" s="3166">
        <f t="shared" si="195"/>
        <v>0</v>
      </c>
      <c r="BN312" s="3166">
        <f t="shared" si="196"/>
        <v>0</v>
      </c>
      <c r="BO312" s="3166">
        <f t="shared" si="197"/>
        <v>0</v>
      </c>
      <c r="BP312" s="3166">
        <f t="shared" si="198"/>
        <v>0</v>
      </c>
      <c r="BQ312" s="3166">
        <f t="shared" si="199"/>
        <v>0</v>
      </c>
      <c r="BR312" s="3166">
        <f t="shared" si="200"/>
        <v>0</v>
      </c>
      <c r="BS312" s="3166">
        <f t="shared" si="201"/>
        <v>0</v>
      </c>
      <c r="BT312" s="3240">
        <f t="shared" si="202"/>
        <v>0</v>
      </c>
    </row>
    <row r="313" spans="1:72">
      <c r="A313" s="3163"/>
      <c r="B313" s="3173"/>
      <c r="C313" s="3171"/>
      <c r="D313" s="3172"/>
      <c r="E313" s="3166">
        <f t="shared" si="203"/>
        <v>0</v>
      </c>
      <c r="F313" s="3167"/>
      <c r="G313" s="3168">
        <f t="shared" si="178"/>
        <v>0</v>
      </c>
      <c r="H313" s="3169">
        <f t="shared" si="179"/>
        <v>0</v>
      </c>
      <c r="I313" s="3175"/>
      <c r="J313" s="3187"/>
      <c r="K313" s="3175"/>
      <c r="L313" s="3187"/>
      <c r="M313" s="3187"/>
      <c r="N313" s="3187"/>
      <c r="O313" s="3187"/>
      <c r="P313" s="3187"/>
      <c r="Q313" s="3187"/>
      <c r="R313" s="3187"/>
      <c r="S313" s="3187"/>
      <c r="T313" s="3187"/>
      <c r="U313" s="3187"/>
      <c r="V313" s="3187"/>
      <c r="W313" s="3187"/>
      <c r="X313" s="3187"/>
      <c r="Y313" s="3187"/>
      <c r="Z313" s="3187"/>
      <c r="AA313" s="3187"/>
      <c r="AB313" s="3187"/>
      <c r="AC313" s="3166">
        <f t="shared" si="180"/>
        <v>0</v>
      </c>
      <c r="AD313" s="3198"/>
      <c r="AE313" s="3198"/>
      <c r="AF313" s="3175"/>
      <c r="AG313" s="3198"/>
      <c r="AH313" s="3198"/>
      <c r="AI313" s="3198"/>
      <c r="AJ313" s="3198"/>
      <c r="AK313" s="3198"/>
      <c r="AL313" s="3198"/>
      <c r="AM313" s="3198"/>
      <c r="AN313" s="3198"/>
      <c r="AO313" s="3198"/>
      <c r="AP313" s="3198"/>
      <c r="AQ313" s="3198"/>
      <c r="AR313" s="3198"/>
      <c r="AS313" s="3198"/>
      <c r="AT313" s="3218"/>
      <c r="AU313" s="3219"/>
      <c r="AV313" s="488">
        <f t="shared" si="204"/>
        <v>0</v>
      </c>
      <c r="AW313" s="488">
        <f t="shared" si="205"/>
        <v>0</v>
      </c>
      <c r="AX313" s="488">
        <f t="shared" si="206"/>
        <v>0</v>
      </c>
      <c r="AY313" s="3235">
        <f t="shared" si="181"/>
        <v>0</v>
      </c>
      <c r="AZ313" s="3166">
        <f t="shared" si="182"/>
        <v>0</v>
      </c>
      <c r="BA313" s="3166">
        <f t="shared" si="183"/>
        <v>0</v>
      </c>
      <c r="BB313" s="3166">
        <f t="shared" si="184"/>
        <v>0</v>
      </c>
      <c r="BC313" s="3166">
        <f t="shared" si="185"/>
        <v>0</v>
      </c>
      <c r="BD313" s="3166">
        <f t="shared" si="186"/>
        <v>0</v>
      </c>
      <c r="BE313" s="3166">
        <f t="shared" si="187"/>
        <v>0</v>
      </c>
      <c r="BF313" s="3166">
        <f t="shared" si="188"/>
        <v>0</v>
      </c>
      <c r="BG313" s="3166">
        <f t="shared" si="189"/>
        <v>0</v>
      </c>
      <c r="BH313" s="3166">
        <f t="shared" si="190"/>
        <v>0</v>
      </c>
      <c r="BI313" s="3166">
        <f t="shared" si="191"/>
        <v>0</v>
      </c>
      <c r="BJ313" s="3166">
        <f t="shared" si="192"/>
        <v>0</v>
      </c>
      <c r="BK313" s="3166">
        <f t="shared" si="193"/>
        <v>0</v>
      </c>
      <c r="BL313" s="3166">
        <f t="shared" si="194"/>
        <v>0</v>
      </c>
      <c r="BM313" s="3166">
        <f t="shared" si="195"/>
        <v>0</v>
      </c>
      <c r="BN313" s="3166">
        <f t="shared" si="196"/>
        <v>0</v>
      </c>
      <c r="BO313" s="3166">
        <f t="shared" si="197"/>
        <v>0</v>
      </c>
      <c r="BP313" s="3166">
        <f t="shared" si="198"/>
        <v>0</v>
      </c>
      <c r="BQ313" s="3166">
        <f t="shared" si="199"/>
        <v>0</v>
      </c>
      <c r="BR313" s="3166">
        <f t="shared" si="200"/>
        <v>0</v>
      </c>
      <c r="BS313" s="3166">
        <f t="shared" si="201"/>
        <v>0</v>
      </c>
      <c r="BT313" s="3240">
        <f t="shared" si="202"/>
        <v>0</v>
      </c>
    </row>
    <row r="314" spans="1:72">
      <c r="A314" s="3163"/>
      <c r="B314" s="3173"/>
      <c r="C314" s="3171"/>
      <c r="D314" s="3172"/>
      <c r="E314" s="3166">
        <f t="shared" si="203"/>
        <v>0</v>
      </c>
      <c r="F314" s="3167"/>
      <c r="G314" s="3168">
        <f t="shared" si="178"/>
        <v>0</v>
      </c>
      <c r="H314" s="3169">
        <f t="shared" si="179"/>
        <v>0</v>
      </c>
      <c r="I314" s="3175"/>
      <c r="J314" s="3187"/>
      <c r="K314" s="3175"/>
      <c r="L314" s="3187"/>
      <c r="M314" s="3187"/>
      <c r="N314" s="3187"/>
      <c r="O314" s="3187"/>
      <c r="P314" s="3187"/>
      <c r="Q314" s="3187"/>
      <c r="R314" s="3187"/>
      <c r="S314" s="3187"/>
      <c r="T314" s="3187"/>
      <c r="U314" s="3187"/>
      <c r="V314" s="3187"/>
      <c r="W314" s="3187"/>
      <c r="X314" s="3187"/>
      <c r="Y314" s="3187"/>
      <c r="Z314" s="3187"/>
      <c r="AA314" s="3187"/>
      <c r="AB314" s="3187"/>
      <c r="AC314" s="3166">
        <f t="shared" si="180"/>
        <v>0</v>
      </c>
      <c r="AD314" s="3198"/>
      <c r="AE314" s="3198"/>
      <c r="AF314" s="3175"/>
      <c r="AG314" s="3198"/>
      <c r="AH314" s="3198"/>
      <c r="AI314" s="3198"/>
      <c r="AJ314" s="3198"/>
      <c r="AK314" s="3198"/>
      <c r="AL314" s="3198"/>
      <c r="AM314" s="3198"/>
      <c r="AN314" s="3198"/>
      <c r="AO314" s="3198"/>
      <c r="AP314" s="3198"/>
      <c r="AQ314" s="3198"/>
      <c r="AR314" s="3198"/>
      <c r="AS314" s="3198"/>
      <c r="AT314" s="3218"/>
      <c r="AU314" s="3219"/>
      <c r="AV314" s="488">
        <f t="shared" si="204"/>
        <v>0</v>
      </c>
      <c r="AW314" s="488">
        <f t="shared" si="205"/>
        <v>0</v>
      </c>
      <c r="AX314" s="488">
        <f t="shared" si="206"/>
        <v>0</v>
      </c>
      <c r="AY314" s="3235">
        <f t="shared" si="181"/>
        <v>0</v>
      </c>
      <c r="AZ314" s="3166">
        <f t="shared" si="182"/>
        <v>0</v>
      </c>
      <c r="BA314" s="3166">
        <f t="shared" si="183"/>
        <v>0</v>
      </c>
      <c r="BB314" s="3166">
        <f t="shared" si="184"/>
        <v>0</v>
      </c>
      <c r="BC314" s="3166">
        <f t="shared" si="185"/>
        <v>0</v>
      </c>
      <c r="BD314" s="3166">
        <f t="shared" si="186"/>
        <v>0</v>
      </c>
      <c r="BE314" s="3166">
        <f t="shared" si="187"/>
        <v>0</v>
      </c>
      <c r="BF314" s="3166">
        <f t="shared" si="188"/>
        <v>0</v>
      </c>
      <c r="BG314" s="3166">
        <f t="shared" si="189"/>
        <v>0</v>
      </c>
      <c r="BH314" s="3166">
        <f t="shared" si="190"/>
        <v>0</v>
      </c>
      <c r="BI314" s="3166">
        <f t="shared" si="191"/>
        <v>0</v>
      </c>
      <c r="BJ314" s="3166">
        <f t="shared" si="192"/>
        <v>0</v>
      </c>
      <c r="BK314" s="3166">
        <f t="shared" si="193"/>
        <v>0</v>
      </c>
      <c r="BL314" s="3166">
        <f t="shared" si="194"/>
        <v>0</v>
      </c>
      <c r="BM314" s="3166">
        <f t="shared" si="195"/>
        <v>0</v>
      </c>
      <c r="BN314" s="3166">
        <f t="shared" si="196"/>
        <v>0</v>
      </c>
      <c r="BO314" s="3166">
        <f t="shared" si="197"/>
        <v>0</v>
      </c>
      <c r="BP314" s="3166">
        <f t="shared" si="198"/>
        <v>0</v>
      </c>
      <c r="BQ314" s="3166">
        <f t="shared" si="199"/>
        <v>0</v>
      </c>
      <c r="BR314" s="3166">
        <f t="shared" si="200"/>
        <v>0</v>
      </c>
      <c r="BS314" s="3166">
        <f t="shared" si="201"/>
        <v>0</v>
      </c>
      <c r="BT314" s="3240">
        <f t="shared" si="202"/>
        <v>0</v>
      </c>
    </row>
    <row r="315" spans="1:72">
      <c r="A315" s="3163"/>
      <c r="B315" s="3173"/>
      <c r="C315" s="3171"/>
      <c r="D315" s="3172"/>
      <c r="E315" s="3166">
        <f t="shared" si="203"/>
        <v>0</v>
      </c>
      <c r="F315" s="3167"/>
      <c r="G315" s="3168">
        <f t="shared" si="178"/>
        <v>0</v>
      </c>
      <c r="H315" s="3169">
        <f t="shared" si="179"/>
        <v>0</v>
      </c>
      <c r="I315" s="3175"/>
      <c r="J315" s="3187"/>
      <c r="K315" s="3175"/>
      <c r="L315" s="3187"/>
      <c r="M315" s="3187"/>
      <c r="N315" s="3187"/>
      <c r="O315" s="3187"/>
      <c r="P315" s="3187"/>
      <c r="Q315" s="3187"/>
      <c r="R315" s="3187"/>
      <c r="S315" s="3187"/>
      <c r="T315" s="3187"/>
      <c r="U315" s="3187"/>
      <c r="V315" s="3187"/>
      <c r="W315" s="3187"/>
      <c r="X315" s="3187"/>
      <c r="Y315" s="3187"/>
      <c r="Z315" s="3187"/>
      <c r="AA315" s="3187"/>
      <c r="AB315" s="3187"/>
      <c r="AC315" s="3166">
        <f t="shared" si="180"/>
        <v>0</v>
      </c>
      <c r="AD315" s="3198"/>
      <c r="AE315" s="3198"/>
      <c r="AF315" s="3175"/>
      <c r="AG315" s="3198"/>
      <c r="AH315" s="3198"/>
      <c r="AI315" s="3198"/>
      <c r="AJ315" s="3198"/>
      <c r="AK315" s="3198"/>
      <c r="AL315" s="3198"/>
      <c r="AM315" s="3198"/>
      <c r="AN315" s="3198"/>
      <c r="AO315" s="3198"/>
      <c r="AP315" s="3198"/>
      <c r="AQ315" s="3198"/>
      <c r="AR315" s="3198"/>
      <c r="AS315" s="3198"/>
      <c r="AT315" s="3218"/>
      <c r="AU315" s="3219"/>
      <c r="AV315" s="488">
        <f t="shared" si="204"/>
        <v>0</v>
      </c>
      <c r="AW315" s="488">
        <f t="shared" si="205"/>
        <v>0</v>
      </c>
      <c r="AX315" s="488">
        <f t="shared" si="206"/>
        <v>0</v>
      </c>
      <c r="AY315" s="3235">
        <f t="shared" si="181"/>
        <v>0</v>
      </c>
      <c r="AZ315" s="3166">
        <f t="shared" si="182"/>
        <v>0</v>
      </c>
      <c r="BA315" s="3166">
        <f t="shared" si="183"/>
        <v>0</v>
      </c>
      <c r="BB315" s="3166">
        <f t="shared" si="184"/>
        <v>0</v>
      </c>
      <c r="BC315" s="3166">
        <f t="shared" si="185"/>
        <v>0</v>
      </c>
      <c r="BD315" s="3166">
        <f t="shared" si="186"/>
        <v>0</v>
      </c>
      <c r="BE315" s="3166">
        <f t="shared" si="187"/>
        <v>0</v>
      </c>
      <c r="BF315" s="3166">
        <f t="shared" si="188"/>
        <v>0</v>
      </c>
      <c r="BG315" s="3166">
        <f t="shared" si="189"/>
        <v>0</v>
      </c>
      <c r="BH315" s="3166">
        <f t="shared" si="190"/>
        <v>0</v>
      </c>
      <c r="BI315" s="3166">
        <f t="shared" si="191"/>
        <v>0</v>
      </c>
      <c r="BJ315" s="3166">
        <f t="shared" si="192"/>
        <v>0</v>
      </c>
      <c r="BK315" s="3166">
        <f t="shared" si="193"/>
        <v>0</v>
      </c>
      <c r="BL315" s="3166">
        <f t="shared" si="194"/>
        <v>0</v>
      </c>
      <c r="BM315" s="3166">
        <f t="shared" si="195"/>
        <v>0</v>
      </c>
      <c r="BN315" s="3166">
        <f t="shared" si="196"/>
        <v>0</v>
      </c>
      <c r="BO315" s="3166">
        <f t="shared" si="197"/>
        <v>0</v>
      </c>
      <c r="BP315" s="3166">
        <f t="shared" si="198"/>
        <v>0</v>
      </c>
      <c r="BQ315" s="3166">
        <f t="shared" si="199"/>
        <v>0</v>
      </c>
      <c r="BR315" s="3166">
        <f t="shared" si="200"/>
        <v>0</v>
      </c>
      <c r="BS315" s="3166">
        <f t="shared" si="201"/>
        <v>0</v>
      </c>
      <c r="BT315" s="3240">
        <f t="shared" si="202"/>
        <v>0</v>
      </c>
    </row>
    <row r="316" spans="1:72">
      <c r="A316" s="3163"/>
      <c r="B316" s="3173"/>
      <c r="C316" s="3171"/>
      <c r="D316" s="3172"/>
      <c r="E316" s="3166">
        <f t="shared" si="203"/>
        <v>0</v>
      </c>
      <c r="F316" s="3167"/>
      <c r="G316" s="3168">
        <f t="shared" si="178"/>
        <v>0</v>
      </c>
      <c r="H316" s="3169">
        <f t="shared" si="179"/>
        <v>0</v>
      </c>
      <c r="I316" s="3175"/>
      <c r="J316" s="3187"/>
      <c r="K316" s="3175"/>
      <c r="L316" s="3187"/>
      <c r="M316" s="3187"/>
      <c r="N316" s="3187"/>
      <c r="O316" s="3187"/>
      <c r="P316" s="3187"/>
      <c r="Q316" s="3187"/>
      <c r="R316" s="3187"/>
      <c r="S316" s="3187"/>
      <c r="T316" s="3187"/>
      <c r="U316" s="3187"/>
      <c r="V316" s="3187"/>
      <c r="W316" s="3187"/>
      <c r="X316" s="3187"/>
      <c r="Y316" s="3187"/>
      <c r="Z316" s="3187"/>
      <c r="AA316" s="3187"/>
      <c r="AB316" s="3187"/>
      <c r="AC316" s="3166">
        <f t="shared" si="180"/>
        <v>0</v>
      </c>
      <c r="AD316" s="3198"/>
      <c r="AE316" s="3198"/>
      <c r="AF316" s="3175"/>
      <c r="AG316" s="3198"/>
      <c r="AH316" s="3198"/>
      <c r="AI316" s="3198"/>
      <c r="AJ316" s="3198"/>
      <c r="AK316" s="3198"/>
      <c r="AL316" s="3198"/>
      <c r="AM316" s="3198"/>
      <c r="AN316" s="3198"/>
      <c r="AO316" s="3198"/>
      <c r="AP316" s="3198"/>
      <c r="AQ316" s="3198"/>
      <c r="AR316" s="3198"/>
      <c r="AS316" s="3198"/>
      <c r="AT316" s="3218"/>
      <c r="AU316" s="3219"/>
      <c r="AV316" s="488">
        <f t="shared" si="204"/>
        <v>0</v>
      </c>
      <c r="AW316" s="488">
        <f t="shared" si="205"/>
        <v>0</v>
      </c>
      <c r="AX316" s="488">
        <f t="shared" si="206"/>
        <v>0</v>
      </c>
      <c r="AY316" s="3235">
        <f t="shared" si="181"/>
        <v>0</v>
      </c>
      <c r="AZ316" s="3166">
        <f t="shared" si="182"/>
        <v>0</v>
      </c>
      <c r="BA316" s="3166">
        <f t="shared" si="183"/>
        <v>0</v>
      </c>
      <c r="BB316" s="3166">
        <f t="shared" si="184"/>
        <v>0</v>
      </c>
      <c r="BC316" s="3166">
        <f t="shared" si="185"/>
        <v>0</v>
      </c>
      <c r="BD316" s="3166">
        <f t="shared" si="186"/>
        <v>0</v>
      </c>
      <c r="BE316" s="3166">
        <f t="shared" si="187"/>
        <v>0</v>
      </c>
      <c r="BF316" s="3166">
        <f t="shared" si="188"/>
        <v>0</v>
      </c>
      <c r="BG316" s="3166">
        <f t="shared" si="189"/>
        <v>0</v>
      </c>
      <c r="BH316" s="3166">
        <f t="shared" si="190"/>
        <v>0</v>
      </c>
      <c r="BI316" s="3166">
        <f t="shared" si="191"/>
        <v>0</v>
      </c>
      <c r="BJ316" s="3166">
        <f t="shared" si="192"/>
        <v>0</v>
      </c>
      <c r="BK316" s="3166">
        <f t="shared" si="193"/>
        <v>0</v>
      </c>
      <c r="BL316" s="3166">
        <f t="shared" si="194"/>
        <v>0</v>
      </c>
      <c r="BM316" s="3166">
        <f t="shared" si="195"/>
        <v>0</v>
      </c>
      <c r="BN316" s="3166">
        <f t="shared" si="196"/>
        <v>0</v>
      </c>
      <c r="BO316" s="3166">
        <f t="shared" si="197"/>
        <v>0</v>
      </c>
      <c r="BP316" s="3166">
        <f t="shared" si="198"/>
        <v>0</v>
      </c>
      <c r="BQ316" s="3166">
        <f t="shared" si="199"/>
        <v>0</v>
      </c>
      <c r="BR316" s="3166">
        <f t="shared" si="200"/>
        <v>0</v>
      </c>
      <c r="BS316" s="3166">
        <f t="shared" si="201"/>
        <v>0</v>
      </c>
      <c r="BT316" s="3240">
        <f t="shared" si="202"/>
        <v>0</v>
      </c>
    </row>
    <row r="317" spans="1:72">
      <c r="A317" s="3163"/>
      <c r="B317" s="3173"/>
      <c r="C317" s="3171"/>
      <c r="D317" s="3172"/>
      <c r="E317" s="3166">
        <f t="shared" si="203"/>
        <v>0</v>
      </c>
      <c r="F317" s="3167"/>
      <c r="G317" s="3168">
        <f t="shared" si="178"/>
        <v>0</v>
      </c>
      <c r="H317" s="3169">
        <f t="shared" si="179"/>
        <v>0</v>
      </c>
      <c r="I317" s="3175"/>
      <c r="J317" s="3187"/>
      <c r="K317" s="3175"/>
      <c r="L317" s="3187"/>
      <c r="M317" s="3187"/>
      <c r="N317" s="3187"/>
      <c r="O317" s="3187"/>
      <c r="P317" s="3187"/>
      <c r="Q317" s="3187"/>
      <c r="R317" s="3187"/>
      <c r="S317" s="3187"/>
      <c r="T317" s="3187"/>
      <c r="U317" s="3187"/>
      <c r="V317" s="3187"/>
      <c r="W317" s="3187"/>
      <c r="X317" s="3187"/>
      <c r="Y317" s="3187"/>
      <c r="Z317" s="3187"/>
      <c r="AA317" s="3187"/>
      <c r="AB317" s="3187"/>
      <c r="AC317" s="3166">
        <f t="shared" si="180"/>
        <v>0</v>
      </c>
      <c r="AD317" s="3198"/>
      <c r="AE317" s="3198"/>
      <c r="AF317" s="3175"/>
      <c r="AG317" s="3198"/>
      <c r="AH317" s="3198"/>
      <c r="AI317" s="3198"/>
      <c r="AJ317" s="3198"/>
      <c r="AK317" s="3198"/>
      <c r="AL317" s="3198"/>
      <c r="AM317" s="3198"/>
      <c r="AN317" s="3198"/>
      <c r="AO317" s="3198"/>
      <c r="AP317" s="3198"/>
      <c r="AQ317" s="3198"/>
      <c r="AR317" s="3198"/>
      <c r="AS317" s="3198"/>
      <c r="AT317" s="3218"/>
      <c r="AU317" s="3219"/>
      <c r="AV317" s="488">
        <f t="shared" si="204"/>
        <v>0</v>
      </c>
      <c r="AW317" s="488">
        <f t="shared" si="205"/>
        <v>0</v>
      </c>
      <c r="AX317" s="488">
        <f t="shared" si="206"/>
        <v>0</v>
      </c>
      <c r="AY317" s="3235">
        <f t="shared" si="181"/>
        <v>0</v>
      </c>
      <c r="AZ317" s="3166">
        <f t="shared" si="182"/>
        <v>0</v>
      </c>
      <c r="BA317" s="3166">
        <f t="shared" si="183"/>
        <v>0</v>
      </c>
      <c r="BB317" s="3166">
        <f t="shared" si="184"/>
        <v>0</v>
      </c>
      <c r="BC317" s="3166">
        <f t="shared" si="185"/>
        <v>0</v>
      </c>
      <c r="BD317" s="3166">
        <f t="shared" si="186"/>
        <v>0</v>
      </c>
      <c r="BE317" s="3166">
        <f t="shared" si="187"/>
        <v>0</v>
      </c>
      <c r="BF317" s="3166">
        <f t="shared" si="188"/>
        <v>0</v>
      </c>
      <c r="BG317" s="3166">
        <f t="shared" si="189"/>
        <v>0</v>
      </c>
      <c r="BH317" s="3166">
        <f t="shared" si="190"/>
        <v>0</v>
      </c>
      <c r="BI317" s="3166">
        <f t="shared" si="191"/>
        <v>0</v>
      </c>
      <c r="BJ317" s="3166">
        <f t="shared" si="192"/>
        <v>0</v>
      </c>
      <c r="BK317" s="3166">
        <f t="shared" si="193"/>
        <v>0</v>
      </c>
      <c r="BL317" s="3166">
        <f t="shared" si="194"/>
        <v>0</v>
      </c>
      <c r="BM317" s="3166">
        <f t="shared" si="195"/>
        <v>0</v>
      </c>
      <c r="BN317" s="3166">
        <f t="shared" si="196"/>
        <v>0</v>
      </c>
      <c r="BO317" s="3166">
        <f t="shared" si="197"/>
        <v>0</v>
      </c>
      <c r="BP317" s="3166">
        <f t="shared" si="198"/>
        <v>0</v>
      </c>
      <c r="BQ317" s="3166">
        <f t="shared" si="199"/>
        <v>0</v>
      </c>
      <c r="BR317" s="3166">
        <f t="shared" si="200"/>
        <v>0</v>
      </c>
      <c r="BS317" s="3166">
        <f t="shared" si="201"/>
        <v>0</v>
      </c>
      <c r="BT317" s="3240">
        <f t="shared" si="202"/>
        <v>0</v>
      </c>
    </row>
    <row r="318" spans="1:72">
      <c r="A318" s="3163"/>
      <c r="B318" s="3173"/>
      <c r="C318" s="3171"/>
      <c r="D318" s="3172"/>
      <c r="E318" s="3166">
        <f t="shared" si="203"/>
        <v>0</v>
      </c>
      <c r="F318" s="3167"/>
      <c r="G318" s="3168">
        <f t="shared" si="178"/>
        <v>0</v>
      </c>
      <c r="H318" s="3169">
        <f t="shared" si="179"/>
        <v>0</v>
      </c>
      <c r="I318" s="3175"/>
      <c r="J318" s="3187"/>
      <c r="K318" s="3175"/>
      <c r="L318" s="3187"/>
      <c r="M318" s="3187"/>
      <c r="N318" s="3187"/>
      <c r="O318" s="3187"/>
      <c r="P318" s="3187"/>
      <c r="Q318" s="3187"/>
      <c r="R318" s="3187"/>
      <c r="S318" s="3187"/>
      <c r="T318" s="3187"/>
      <c r="U318" s="3187"/>
      <c r="V318" s="3187"/>
      <c r="W318" s="3187"/>
      <c r="X318" s="3187"/>
      <c r="Y318" s="3187"/>
      <c r="Z318" s="3187"/>
      <c r="AA318" s="3187"/>
      <c r="AB318" s="3187"/>
      <c r="AC318" s="3166">
        <f t="shared" si="180"/>
        <v>0</v>
      </c>
      <c r="AD318" s="3198"/>
      <c r="AE318" s="3198"/>
      <c r="AF318" s="3175"/>
      <c r="AG318" s="3198"/>
      <c r="AH318" s="3198"/>
      <c r="AI318" s="3198"/>
      <c r="AJ318" s="3198"/>
      <c r="AK318" s="3198"/>
      <c r="AL318" s="3198"/>
      <c r="AM318" s="3198"/>
      <c r="AN318" s="3198"/>
      <c r="AO318" s="3198"/>
      <c r="AP318" s="3198"/>
      <c r="AQ318" s="3198"/>
      <c r="AR318" s="3198"/>
      <c r="AS318" s="3198"/>
      <c r="AT318" s="3218"/>
      <c r="AU318" s="3219"/>
      <c r="AV318" s="488">
        <f t="shared" si="204"/>
        <v>0</v>
      </c>
      <c r="AW318" s="488">
        <f t="shared" si="205"/>
        <v>0</v>
      </c>
      <c r="AX318" s="488">
        <f t="shared" si="206"/>
        <v>0</v>
      </c>
      <c r="AY318" s="3235">
        <f t="shared" si="181"/>
        <v>0</v>
      </c>
      <c r="AZ318" s="3166">
        <f t="shared" si="182"/>
        <v>0</v>
      </c>
      <c r="BA318" s="3166">
        <f t="shared" si="183"/>
        <v>0</v>
      </c>
      <c r="BB318" s="3166">
        <f t="shared" si="184"/>
        <v>0</v>
      </c>
      <c r="BC318" s="3166">
        <f t="shared" si="185"/>
        <v>0</v>
      </c>
      <c r="BD318" s="3166">
        <f t="shared" si="186"/>
        <v>0</v>
      </c>
      <c r="BE318" s="3166">
        <f t="shared" si="187"/>
        <v>0</v>
      </c>
      <c r="BF318" s="3166">
        <f t="shared" si="188"/>
        <v>0</v>
      </c>
      <c r="BG318" s="3166">
        <f t="shared" si="189"/>
        <v>0</v>
      </c>
      <c r="BH318" s="3166">
        <f t="shared" si="190"/>
        <v>0</v>
      </c>
      <c r="BI318" s="3166">
        <f t="shared" si="191"/>
        <v>0</v>
      </c>
      <c r="BJ318" s="3166">
        <f t="shared" si="192"/>
        <v>0</v>
      </c>
      <c r="BK318" s="3166">
        <f t="shared" si="193"/>
        <v>0</v>
      </c>
      <c r="BL318" s="3166">
        <f t="shared" si="194"/>
        <v>0</v>
      </c>
      <c r="BM318" s="3166">
        <f t="shared" si="195"/>
        <v>0</v>
      </c>
      <c r="BN318" s="3166">
        <f t="shared" si="196"/>
        <v>0</v>
      </c>
      <c r="BO318" s="3166">
        <f t="shared" si="197"/>
        <v>0</v>
      </c>
      <c r="BP318" s="3166">
        <f t="shared" si="198"/>
        <v>0</v>
      </c>
      <c r="BQ318" s="3166">
        <f t="shared" si="199"/>
        <v>0</v>
      </c>
      <c r="BR318" s="3166">
        <f t="shared" si="200"/>
        <v>0</v>
      </c>
      <c r="BS318" s="3166">
        <f t="shared" si="201"/>
        <v>0</v>
      </c>
      <c r="BT318" s="3240">
        <f t="shared" si="202"/>
        <v>0</v>
      </c>
    </row>
    <row r="319" spans="1:72">
      <c r="A319" s="3163"/>
      <c r="B319" s="3173"/>
      <c r="C319" s="3171"/>
      <c r="D319" s="3172"/>
      <c r="E319" s="3166">
        <f t="shared" si="203"/>
        <v>0</v>
      </c>
      <c r="F319" s="3167"/>
      <c r="G319" s="3168">
        <f t="shared" si="178"/>
        <v>0</v>
      </c>
      <c r="H319" s="3169">
        <f t="shared" si="179"/>
        <v>0</v>
      </c>
      <c r="I319" s="3175"/>
      <c r="J319" s="3187"/>
      <c r="K319" s="3175"/>
      <c r="L319" s="3187"/>
      <c r="M319" s="3187"/>
      <c r="N319" s="3187"/>
      <c r="O319" s="3187"/>
      <c r="P319" s="3187"/>
      <c r="Q319" s="3187"/>
      <c r="R319" s="3187"/>
      <c r="S319" s="3187"/>
      <c r="T319" s="3187"/>
      <c r="U319" s="3187"/>
      <c r="V319" s="3187"/>
      <c r="W319" s="3187"/>
      <c r="X319" s="3187"/>
      <c r="Y319" s="3187"/>
      <c r="Z319" s="3187"/>
      <c r="AA319" s="3187"/>
      <c r="AB319" s="3187"/>
      <c r="AC319" s="3166">
        <f t="shared" si="180"/>
        <v>0</v>
      </c>
      <c r="AD319" s="3198"/>
      <c r="AE319" s="3198"/>
      <c r="AF319" s="3175"/>
      <c r="AG319" s="3198"/>
      <c r="AH319" s="3198"/>
      <c r="AI319" s="3198"/>
      <c r="AJ319" s="3198"/>
      <c r="AK319" s="3198"/>
      <c r="AL319" s="3198"/>
      <c r="AM319" s="3198"/>
      <c r="AN319" s="3198"/>
      <c r="AO319" s="3198"/>
      <c r="AP319" s="3198"/>
      <c r="AQ319" s="3198"/>
      <c r="AR319" s="3198"/>
      <c r="AS319" s="3198"/>
      <c r="AT319" s="3218"/>
      <c r="AU319" s="3219"/>
      <c r="AV319" s="488">
        <f t="shared" si="204"/>
        <v>0</v>
      </c>
      <c r="AW319" s="488">
        <f t="shared" si="205"/>
        <v>0</v>
      </c>
      <c r="AX319" s="488">
        <f t="shared" si="206"/>
        <v>0</v>
      </c>
      <c r="AY319" s="3235">
        <f t="shared" si="181"/>
        <v>0</v>
      </c>
      <c r="AZ319" s="3166">
        <f t="shared" si="182"/>
        <v>0</v>
      </c>
      <c r="BA319" s="3166">
        <f t="shared" si="183"/>
        <v>0</v>
      </c>
      <c r="BB319" s="3166">
        <f t="shared" si="184"/>
        <v>0</v>
      </c>
      <c r="BC319" s="3166">
        <f t="shared" si="185"/>
        <v>0</v>
      </c>
      <c r="BD319" s="3166">
        <f t="shared" si="186"/>
        <v>0</v>
      </c>
      <c r="BE319" s="3166">
        <f t="shared" si="187"/>
        <v>0</v>
      </c>
      <c r="BF319" s="3166">
        <f t="shared" si="188"/>
        <v>0</v>
      </c>
      <c r="BG319" s="3166">
        <f t="shared" si="189"/>
        <v>0</v>
      </c>
      <c r="BH319" s="3166">
        <f t="shared" si="190"/>
        <v>0</v>
      </c>
      <c r="BI319" s="3166">
        <f t="shared" si="191"/>
        <v>0</v>
      </c>
      <c r="BJ319" s="3166">
        <f t="shared" si="192"/>
        <v>0</v>
      </c>
      <c r="BK319" s="3166">
        <f t="shared" si="193"/>
        <v>0</v>
      </c>
      <c r="BL319" s="3166">
        <f t="shared" si="194"/>
        <v>0</v>
      </c>
      <c r="BM319" s="3166">
        <f t="shared" si="195"/>
        <v>0</v>
      </c>
      <c r="BN319" s="3166">
        <f t="shared" si="196"/>
        <v>0</v>
      </c>
      <c r="BO319" s="3166">
        <f t="shared" si="197"/>
        <v>0</v>
      </c>
      <c r="BP319" s="3166">
        <f t="shared" si="198"/>
        <v>0</v>
      </c>
      <c r="BQ319" s="3166">
        <f t="shared" si="199"/>
        <v>0</v>
      </c>
      <c r="BR319" s="3166">
        <f t="shared" si="200"/>
        <v>0</v>
      </c>
      <c r="BS319" s="3166">
        <f t="shared" si="201"/>
        <v>0</v>
      </c>
      <c r="BT319" s="3240">
        <f t="shared" si="202"/>
        <v>0</v>
      </c>
    </row>
    <row r="320" spans="1:72">
      <c r="A320" s="3163"/>
      <c r="B320" s="3173"/>
      <c r="C320" s="3171"/>
      <c r="D320" s="3172"/>
      <c r="E320" s="3166">
        <f t="shared" si="203"/>
        <v>0</v>
      </c>
      <c r="F320" s="3167"/>
      <c r="G320" s="3168">
        <f t="shared" si="178"/>
        <v>0</v>
      </c>
      <c r="H320" s="3169">
        <f t="shared" si="179"/>
        <v>0</v>
      </c>
      <c r="I320" s="3175"/>
      <c r="J320" s="3187"/>
      <c r="K320" s="3175"/>
      <c r="L320" s="3187"/>
      <c r="M320" s="3187"/>
      <c r="N320" s="3187"/>
      <c r="O320" s="3187"/>
      <c r="P320" s="3187"/>
      <c r="Q320" s="3187"/>
      <c r="R320" s="3187"/>
      <c r="S320" s="3187"/>
      <c r="T320" s="3187"/>
      <c r="U320" s="3187"/>
      <c r="V320" s="3187"/>
      <c r="W320" s="3187"/>
      <c r="X320" s="3187"/>
      <c r="Y320" s="3187"/>
      <c r="Z320" s="3187"/>
      <c r="AA320" s="3187"/>
      <c r="AB320" s="3187"/>
      <c r="AC320" s="3166">
        <f t="shared" si="180"/>
        <v>0</v>
      </c>
      <c r="AD320" s="3198"/>
      <c r="AE320" s="3198"/>
      <c r="AF320" s="3175"/>
      <c r="AG320" s="3198"/>
      <c r="AH320" s="3198"/>
      <c r="AI320" s="3198"/>
      <c r="AJ320" s="3198"/>
      <c r="AK320" s="3198"/>
      <c r="AL320" s="3198"/>
      <c r="AM320" s="3198"/>
      <c r="AN320" s="3198"/>
      <c r="AO320" s="3198"/>
      <c r="AP320" s="3198"/>
      <c r="AQ320" s="3198"/>
      <c r="AR320" s="3198"/>
      <c r="AS320" s="3198"/>
      <c r="AT320" s="3218"/>
      <c r="AU320" s="3219"/>
      <c r="AV320" s="488">
        <f t="shared" si="204"/>
        <v>0</v>
      </c>
      <c r="AW320" s="488">
        <f t="shared" si="205"/>
        <v>0</v>
      </c>
      <c r="AX320" s="488">
        <f t="shared" si="206"/>
        <v>0</v>
      </c>
      <c r="AY320" s="3235">
        <f t="shared" si="181"/>
        <v>0</v>
      </c>
      <c r="AZ320" s="3166">
        <f t="shared" si="182"/>
        <v>0</v>
      </c>
      <c r="BA320" s="3166">
        <f t="shared" si="183"/>
        <v>0</v>
      </c>
      <c r="BB320" s="3166">
        <f t="shared" si="184"/>
        <v>0</v>
      </c>
      <c r="BC320" s="3166">
        <f t="shared" si="185"/>
        <v>0</v>
      </c>
      <c r="BD320" s="3166">
        <f t="shared" si="186"/>
        <v>0</v>
      </c>
      <c r="BE320" s="3166">
        <f t="shared" si="187"/>
        <v>0</v>
      </c>
      <c r="BF320" s="3166">
        <f t="shared" si="188"/>
        <v>0</v>
      </c>
      <c r="BG320" s="3166">
        <f t="shared" si="189"/>
        <v>0</v>
      </c>
      <c r="BH320" s="3166">
        <f t="shared" si="190"/>
        <v>0</v>
      </c>
      <c r="BI320" s="3166">
        <f t="shared" si="191"/>
        <v>0</v>
      </c>
      <c r="BJ320" s="3166">
        <f t="shared" si="192"/>
        <v>0</v>
      </c>
      <c r="BK320" s="3166">
        <f t="shared" si="193"/>
        <v>0</v>
      </c>
      <c r="BL320" s="3166">
        <f t="shared" si="194"/>
        <v>0</v>
      </c>
      <c r="BM320" s="3166">
        <f t="shared" si="195"/>
        <v>0</v>
      </c>
      <c r="BN320" s="3166">
        <f t="shared" si="196"/>
        <v>0</v>
      </c>
      <c r="BO320" s="3166">
        <f t="shared" si="197"/>
        <v>0</v>
      </c>
      <c r="BP320" s="3166">
        <f t="shared" si="198"/>
        <v>0</v>
      </c>
      <c r="BQ320" s="3166">
        <f t="shared" si="199"/>
        <v>0</v>
      </c>
      <c r="BR320" s="3166">
        <f t="shared" si="200"/>
        <v>0</v>
      </c>
      <c r="BS320" s="3166">
        <f t="shared" si="201"/>
        <v>0</v>
      </c>
      <c r="BT320" s="3240">
        <f t="shared" si="202"/>
        <v>0</v>
      </c>
    </row>
    <row r="321" spans="1:72">
      <c r="A321" s="3163"/>
      <c r="B321" s="3173"/>
      <c r="C321" s="3171"/>
      <c r="D321" s="3172"/>
      <c r="E321" s="3166">
        <f t="shared" si="203"/>
        <v>0</v>
      </c>
      <c r="F321" s="3167"/>
      <c r="G321" s="3168">
        <f t="shared" si="178"/>
        <v>0</v>
      </c>
      <c r="H321" s="3169">
        <f t="shared" si="179"/>
        <v>0</v>
      </c>
      <c r="I321" s="3175"/>
      <c r="J321" s="3187"/>
      <c r="K321" s="3175"/>
      <c r="L321" s="3187"/>
      <c r="M321" s="3187"/>
      <c r="N321" s="3187"/>
      <c r="O321" s="3187"/>
      <c r="P321" s="3187"/>
      <c r="Q321" s="3187"/>
      <c r="R321" s="3187"/>
      <c r="S321" s="3187"/>
      <c r="T321" s="3187"/>
      <c r="U321" s="3187"/>
      <c r="V321" s="3187"/>
      <c r="W321" s="3187"/>
      <c r="X321" s="3187"/>
      <c r="Y321" s="3187"/>
      <c r="Z321" s="3187"/>
      <c r="AA321" s="3187"/>
      <c r="AB321" s="3187"/>
      <c r="AC321" s="3166">
        <f t="shared" si="180"/>
        <v>0</v>
      </c>
      <c r="AD321" s="3198"/>
      <c r="AE321" s="3198"/>
      <c r="AF321" s="3175"/>
      <c r="AG321" s="3198"/>
      <c r="AH321" s="3198"/>
      <c r="AI321" s="3198"/>
      <c r="AJ321" s="3198"/>
      <c r="AK321" s="3198"/>
      <c r="AL321" s="3198"/>
      <c r="AM321" s="3198"/>
      <c r="AN321" s="3198"/>
      <c r="AO321" s="3198"/>
      <c r="AP321" s="3198"/>
      <c r="AQ321" s="3198"/>
      <c r="AR321" s="3198"/>
      <c r="AS321" s="3198"/>
      <c r="AT321" s="3218"/>
      <c r="AU321" s="3219"/>
      <c r="AV321" s="488">
        <f t="shared" si="204"/>
        <v>0</v>
      </c>
      <c r="AW321" s="488">
        <f t="shared" si="205"/>
        <v>0</v>
      </c>
      <c r="AX321" s="488">
        <f t="shared" si="206"/>
        <v>0</v>
      </c>
      <c r="AY321" s="3235">
        <f t="shared" si="181"/>
        <v>0</v>
      </c>
      <c r="AZ321" s="3166">
        <f t="shared" si="182"/>
        <v>0</v>
      </c>
      <c r="BA321" s="3166">
        <f t="shared" si="183"/>
        <v>0</v>
      </c>
      <c r="BB321" s="3166">
        <f t="shared" si="184"/>
        <v>0</v>
      </c>
      <c r="BC321" s="3166">
        <f t="shared" si="185"/>
        <v>0</v>
      </c>
      <c r="BD321" s="3166">
        <f t="shared" si="186"/>
        <v>0</v>
      </c>
      <c r="BE321" s="3166">
        <f t="shared" si="187"/>
        <v>0</v>
      </c>
      <c r="BF321" s="3166">
        <f t="shared" si="188"/>
        <v>0</v>
      </c>
      <c r="BG321" s="3166">
        <f t="shared" si="189"/>
        <v>0</v>
      </c>
      <c r="BH321" s="3166">
        <f t="shared" si="190"/>
        <v>0</v>
      </c>
      <c r="BI321" s="3166">
        <f t="shared" si="191"/>
        <v>0</v>
      </c>
      <c r="BJ321" s="3166">
        <f t="shared" si="192"/>
        <v>0</v>
      </c>
      <c r="BK321" s="3166">
        <f t="shared" si="193"/>
        <v>0</v>
      </c>
      <c r="BL321" s="3166">
        <f t="shared" si="194"/>
        <v>0</v>
      </c>
      <c r="BM321" s="3166">
        <f t="shared" si="195"/>
        <v>0</v>
      </c>
      <c r="BN321" s="3166">
        <f t="shared" si="196"/>
        <v>0</v>
      </c>
      <c r="BO321" s="3166">
        <f t="shared" si="197"/>
        <v>0</v>
      </c>
      <c r="BP321" s="3166">
        <f t="shared" si="198"/>
        <v>0</v>
      </c>
      <c r="BQ321" s="3166">
        <f t="shared" si="199"/>
        <v>0</v>
      </c>
      <c r="BR321" s="3166">
        <f t="shared" si="200"/>
        <v>0</v>
      </c>
      <c r="BS321" s="3166">
        <f t="shared" si="201"/>
        <v>0</v>
      </c>
      <c r="BT321" s="3240">
        <f t="shared" si="202"/>
        <v>0</v>
      </c>
    </row>
    <row r="322" spans="1:72">
      <c r="A322" s="3163"/>
      <c r="B322" s="3173"/>
      <c r="C322" s="3171"/>
      <c r="D322" s="3172"/>
      <c r="E322" s="3166">
        <f t="shared" si="203"/>
        <v>0</v>
      </c>
      <c r="F322" s="3167"/>
      <c r="G322" s="3168">
        <f t="shared" si="178"/>
        <v>0</v>
      </c>
      <c r="H322" s="3169">
        <f t="shared" si="179"/>
        <v>0</v>
      </c>
      <c r="I322" s="3175"/>
      <c r="J322" s="3187"/>
      <c r="K322" s="3175"/>
      <c r="L322" s="3187"/>
      <c r="M322" s="3187"/>
      <c r="N322" s="3187"/>
      <c r="O322" s="3187"/>
      <c r="P322" s="3187"/>
      <c r="Q322" s="3187"/>
      <c r="R322" s="3187"/>
      <c r="S322" s="3187"/>
      <c r="T322" s="3187"/>
      <c r="U322" s="3187"/>
      <c r="V322" s="3187"/>
      <c r="W322" s="3187"/>
      <c r="X322" s="3187"/>
      <c r="Y322" s="3187"/>
      <c r="Z322" s="3187"/>
      <c r="AA322" s="3187"/>
      <c r="AB322" s="3187"/>
      <c r="AC322" s="3166">
        <f t="shared" si="180"/>
        <v>0</v>
      </c>
      <c r="AD322" s="3198"/>
      <c r="AE322" s="3198"/>
      <c r="AF322" s="3175"/>
      <c r="AG322" s="3198"/>
      <c r="AH322" s="3198"/>
      <c r="AI322" s="3198"/>
      <c r="AJ322" s="3198"/>
      <c r="AK322" s="3198"/>
      <c r="AL322" s="3198"/>
      <c r="AM322" s="3198"/>
      <c r="AN322" s="3198"/>
      <c r="AO322" s="3198"/>
      <c r="AP322" s="3198"/>
      <c r="AQ322" s="3198"/>
      <c r="AR322" s="3198"/>
      <c r="AS322" s="3198"/>
      <c r="AT322" s="3218"/>
      <c r="AU322" s="3219"/>
      <c r="AV322" s="488">
        <f t="shared" si="204"/>
        <v>0</v>
      </c>
      <c r="AW322" s="488">
        <f t="shared" si="205"/>
        <v>0</v>
      </c>
      <c r="AX322" s="488">
        <f t="shared" si="206"/>
        <v>0</v>
      </c>
      <c r="AY322" s="3235">
        <f t="shared" si="181"/>
        <v>0</v>
      </c>
      <c r="AZ322" s="3166">
        <f t="shared" si="182"/>
        <v>0</v>
      </c>
      <c r="BA322" s="3166">
        <f t="shared" si="183"/>
        <v>0</v>
      </c>
      <c r="BB322" s="3166">
        <f t="shared" si="184"/>
        <v>0</v>
      </c>
      <c r="BC322" s="3166">
        <f t="shared" si="185"/>
        <v>0</v>
      </c>
      <c r="BD322" s="3166">
        <f t="shared" si="186"/>
        <v>0</v>
      </c>
      <c r="BE322" s="3166">
        <f t="shared" si="187"/>
        <v>0</v>
      </c>
      <c r="BF322" s="3166">
        <f t="shared" si="188"/>
        <v>0</v>
      </c>
      <c r="BG322" s="3166">
        <f t="shared" si="189"/>
        <v>0</v>
      </c>
      <c r="BH322" s="3166">
        <f t="shared" si="190"/>
        <v>0</v>
      </c>
      <c r="BI322" s="3166">
        <f t="shared" si="191"/>
        <v>0</v>
      </c>
      <c r="BJ322" s="3166">
        <f t="shared" si="192"/>
        <v>0</v>
      </c>
      <c r="BK322" s="3166">
        <f t="shared" si="193"/>
        <v>0</v>
      </c>
      <c r="BL322" s="3166">
        <f t="shared" si="194"/>
        <v>0</v>
      </c>
      <c r="BM322" s="3166">
        <f t="shared" si="195"/>
        <v>0</v>
      </c>
      <c r="BN322" s="3166">
        <f t="shared" si="196"/>
        <v>0</v>
      </c>
      <c r="BO322" s="3166">
        <f t="shared" si="197"/>
        <v>0</v>
      </c>
      <c r="BP322" s="3166">
        <f t="shared" si="198"/>
        <v>0</v>
      </c>
      <c r="BQ322" s="3166">
        <f t="shared" si="199"/>
        <v>0</v>
      </c>
      <c r="BR322" s="3166">
        <f t="shared" si="200"/>
        <v>0</v>
      </c>
      <c r="BS322" s="3166">
        <f t="shared" si="201"/>
        <v>0</v>
      </c>
      <c r="BT322" s="3240">
        <f t="shared" si="202"/>
        <v>0</v>
      </c>
    </row>
    <row r="323" spans="1:72">
      <c r="A323" s="3163"/>
      <c r="B323" s="3173"/>
      <c r="C323" s="3171"/>
      <c r="D323" s="3172"/>
      <c r="E323" s="3166">
        <f t="shared" si="203"/>
        <v>0</v>
      </c>
      <c r="F323" s="3167"/>
      <c r="G323" s="3168">
        <f t="shared" si="178"/>
        <v>0</v>
      </c>
      <c r="H323" s="3169">
        <f t="shared" si="179"/>
        <v>0</v>
      </c>
      <c r="I323" s="3175"/>
      <c r="J323" s="3187"/>
      <c r="K323" s="3175"/>
      <c r="L323" s="3187"/>
      <c r="M323" s="3187"/>
      <c r="N323" s="3187"/>
      <c r="O323" s="3187"/>
      <c r="P323" s="3187"/>
      <c r="Q323" s="3187"/>
      <c r="R323" s="3187"/>
      <c r="S323" s="3187"/>
      <c r="T323" s="3187"/>
      <c r="U323" s="3187"/>
      <c r="V323" s="3187"/>
      <c r="W323" s="3187"/>
      <c r="X323" s="3187"/>
      <c r="Y323" s="3187"/>
      <c r="Z323" s="3187"/>
      <c r="AA323" s="3187"/>
      <c r="AB323" s="3187"/>
      <c r="AC323" s="3166">
        <f t="shared" si="180"/>
        <v>0</v>
      </c>
      <c r="AD323" s="3198"/>
      <c r="AE323" s="3198"/>
      <c r="AF323" s="3171"/>
      <c r="AG323" s="3198"/>
      <c r="AH323" s="3198"/>
      <c r="AI323" s="3198"/>
      <c r="AJ323" s="3198"/>
      <c r="AK323" s="3198"/>
      <c r="AL323" s="3198"/>
      <c r="AM323" s="3198"/>
      <c r="AN323" s="3198"/>
      <c r="AO323" s="3198"/>
      <c r="AP323" s="3198"/>
      <c r="AQ323" s="3198"/>
      <c r="AR323" s="3198"/>
      <c r="AS323" s="3198"/>
      <c r="AT323" s="3218"/>
      <c r="AU323" s="3219"/>
      <c r="AV323" s="488">
        <f t="shared" si="204"/>
        <v>0</v>
      </c>
      <c r="AW323" s="488">
        <f t="shared" si="205"/>
        <v>0</v>
      </c>
      <c r="AX323" s="488">
        <f t="shared" si="206"/>
        <v>0</v>
      </c>
      <c r="AY323" s="3235">
        <f t="shared" si="181"/>
        <v>0</v>
      </c>
      <c r="AZ323" s="3166">
        <f t="shared" si="182"/>
        <v>0</v>
      </c>
      <c r="BA323" s="3166">
        <f t="shared" si="183"/>
        <v>0</v>
      </c>
      <c r="BB323" s="3166">
        <f t="shared" si="184"/>
        <v>0</v>
      </c>
      <c r="BC323" s="3166">
        <f t="shared" si="185"/>
        <v>0</v>
      </c>
      <c r="BD323" s="3166">
        <f t="shared" si="186"/>
        <v>0</v>
      </c>
      <c r="BE323" s="3166">
        <f t="shared" si="187"/>
        <v>0</v>
      </c>
      <c r="BF323" s="3166">
        <f t="shared" si="188"/>
        <v>0</v>
      </c>
      <c r="BG323" s="3166">
        <f t="shared" si="189"/>
        <v>0</v>
      </c>
      <c r="BH323" s="3166">
        <f t="shared" si="190"/>
        <v>0</v>
      </c>
      <c r="BI323" s="3166">
        <f t="shared" si="191"/>
        <v>0</v>
      </c>
      <c r="BJ323" s="3166">
        <f t="shared" si="192"/>
        <v>0</v>
      </c>
      <c r="BK323" s="3166">
        <f t="shared" si="193"/>
        <v>0</v>
      </c>
      <c r="BL323" s="3166">
        <f t="shared" si="194"/>
        <v>0</v>
      </c>
      <c r="BM323" s="3166">
        <f t="shared" si="195"/>
        <v>0</v>
      </c>
      <c r="BN323" s="3166">
        <f t="shared" si="196"/>
        <v>0</v>
      </c>
      <c r="BO323" s="3166">
        <f t="shared" si="197"/>
        <v>0</v>
      </c>
      <c r="BP323" s="3166">
        <f t="shared" si="198"/>
        <v>0</v>
      </c>
      <c r="BQ323" s="3166">
        <f t="shared" si="199"/>
        <v>0</v>
      </c>
      <c r="BR323" s="3166">
        <f t="shared" si="200"/>
        <v>0</v>
      </c>
      <c r="BS323" s="3166">
        <f t="shared" si="201"/>
        <v>0</v>
      </c>
      <c r="BT323" s="3240">
        <f t="shared" si="202"/>
        <v>0</v>
      </c>
    </row>
    <row r="324" spans="1:72">
      <c r="A324" s="3163"/>
      <c r="B324" s="3173"/>
      <c r="C324" s="3171"/>
      <c r="D324" s="3172"/>
      <c r="E324" s="3166">
        <f t="shared" si="203"/>
        <v>0</v>
      </c>
      <c r="F324" s="3167"/>
      <c r="G324" s="3168">
        <f t="shared" si="178"/>
        <v>0</v>
      </c>
      <c r="H324" s="3169">
        <f t="shared" si="179"/>
        <v>0</v>
      </c>
      <c r="I324" s="3171"/>
      <c r="J324" s="3187"/>
      <c r="K324" s="3171"/>
      <c r="L324" s="3187"/>
      <c r="M324" s="3187"/>
      <c r="N324" s="3187"/>
      <c r="O324" s="3187"/>
      <c r="P324" s="3187"/>
      <c r="Q324" s="3187"/>
      <c r="R324" s="3187"/>
      <c r="S324" s="3187"/>
      <c r="T324" s="3187"/>
      <c r="U324" s="3187"/>
      <c r="V324" s="3187"/>
      <c r="W324" s="3187"/>
      <c r="X324" s="3187"/>
      <c r="Y324" s="3187"/>
      <c r="Z324" s="3187"/>
      <c r="AA324" s="3187"/>
      <c r="AB324" s="3187"/>
      <c r="AC324" s="3166">
        <f t="shared" si="180"/>
        <v>0</v>
      </c>
      <c r="AD324" s="3198"/>
      <c r="AE324" s="3198"/>
      <c r="AF324" s="3171"/>
      <c r="AG324" s="3198"/>
      <c r="AH324" s="3198"/>
      <c r="AI324" s="3198"/>
      <c r="AJ324" s="3198"/>
      <c r="AK324" s="3198"/>
      <c r="AL324" s="3198"/>
      <c r="AM324" s="3198"/>
      <c r="AN324" s="3198"/>
      <c r="AO324" s="3198"/>
      <c r="AP324" s="3198"/>
      <c r="AQ324" s="3198"/>
      <c r="AR324" s="3198"/>
      <c r="AS324" s="3198"/>
      <c r="AT324" s="3218"/>
      <c r="AU324" s="3219"/>
      <c r="AV324" s="488">
        <f t="shared" si="204"/>
        <v>0</v>
      </c>
      <c r="AW324" s="488">
        <f t="shared" si="205"/>
        <v>0</v>
      </c>
      <c r="AX324" s="488">
        <f t="shared" si="206"/>
        <v>0</v>
      </c>
      <c r="AY324" s="3235">
        <f t="shared" si="181"/>
        <v>0</v>
      </c>
      <c r="AZ324" s="3166">
        <f t="shared" si="182"/>
        <v>0</v>
      </c>
      <c r="BA324" s="3166">
        <f t="shared" si="183"/>
        <v>0</v>
      </c>
      <c r="BB324" s="3166">
        <f t="shared" si="184"/>
        <v>0</v>
      </c>
      <c r="BC324" s="3166">
        <f t="shared" si="185"/>
        <v>0</v>
      </c>
      <c r="BD324" s="3166">
        <f t="shared" si="186"/>
        <v>0</v>
      </c>
      <c r="BE324" s="3166">
        <f t="shared" si="187"/>
        <v>0</v>
      </c>
      <c r="BF324" s="3166">
        <f t="shared" si="188"/>
        <v>0</v>
      </c>
      <c r="BG324" s="3166">
        <f t="shared" si="189"/>
        <v>0</v>
      </c>
      <c r="BH324" s="3166">
        <f t="shared" si="190"/>
        <v>0</v>
      </c>
      <c r="BI324" s="3166">
        <f t="shared" si="191"/>
        <v>0</v>
      </c>
      <c r="BJ324" s="3166">
        <f t="shared" si="192"/>
        <v>0</v>
      </c>
      <c r="BK324" s="3166">
        <f t="shared" si="193"/>
        <v>0</v>
      </c>
      <c r="BL324" s="3166">
        <f t="shared" si="194"/>
        <v>0</v>
      </c>
      <c r="BM324" s="3166">
        <f t="shared" si="195"/>
        <v>0</v>
      </c>
      <c r="BN324" s="3166">
        <f t="shared" si="196"/>
        <v>0</v>
      </c>
      <c r="BO324" s="3166">
        <f t="shared" si="197"/>
        <v>0</v>
      </c>
      <c r="BP324" s="3166">
        <f t="shared" si="198"/>
        <v>0</v>
      </c>
      <c r="BQ324" s="3166">
        <f t="shared" si="199"/>
        <v>0</v>
      </c>
      <c r="BR324" s="3166">
        <f t="shared" si="200"/>
        <v>0</v>
      </c>
      <c r="BS324" s="3166">
        <f t="shared" si="201"/>
        <v>0</v>
      </c>
      <c r="BT324" s="3240">
        <f t="shared" si="202"/>
        <v>0</v>
      </c>
    </row>
    <row r="325" spans="1:72">
      <c r="A325" s="3163"/>
      <c r="B325" s="3173"/>
      <c r="C325" s="3171"/>
      <c r="D325" s="3172"/>
      <c r="E325" s="3166">
        <f t="shared" si="203"/>
        <v>0</v>
      </c>
      <c r="F325" s="3167"/>
      <c r="G325" s="3168">
        <f t="shared" si="178"/>
        <v>0</v>
      </c>
      <c r="H325" s="3169">
        <f t="shared" si="179"/>
        <v>0</v>
      </c>
      <c r="I325" s="3171"/>
      <c r="J325" s="3187"/>
      <c r="K325" s="3171"/>
      <c r="L325" s="3187"/>
      <c r="M325" s="3187"/>
      <c r="N325" s="3187"/>
      <c r="O325" s="3187"/>
      <c r="P325" s="3187"/>
      <c r="Q325" s="3187"/>
      <c r="R325" s="3187"/>
      <c r="S325" s="3187"/>
      <c r="T325" s="3187"/>
      <c r="U325" s="3187"/>
      <c r="V325" s="3187"/>
      <c r="W325" s="3187"/>
      <c r="X325" s="3187"/>
      <c r="Y325" s="3187"/>
      <c r="Z325" s="3187"/>
      <c r="AA325" s="3187"/>
      <c r="AB325" s="3187"/>
      <c r="AC325" s="3166">
        <f t="shared" si="180"/>
        <v>0</v>
      </c>
      <c r="AD325" s="3198"/>
      <c r="AE325" s="3198"/>
      <c r="AF325" s="3171"/>
      <c r="AG325" s="3198"/>
      <c r="AH325" s="3198"/>
      <c r="AI325" s="3198"/>
      <c r="AJ325" s="3198"/>
      <c r="AK325" s="3198"/>
      <c r="AL325" s="3198"/>
      <c r="AM325" s="3198"/>
      <c r="AN325" s="3198"/>
      <c r="AO325" s="3198"/>
      <c r="AP325" s="3198"/>
      <c r="AQ325" s="3198"/>
      <c r="AR325" s="3198"/>
      <c r="AS325" s="3198"/>
      <c r="AT325" s="3218"/>
      <c r="AU325" s="3219"/>
      <c r="AV325" s="488">
        <f t="shared" si="204"/>
        <v>0</v>
      </c>
      <c r="AW325" s="488">
        <f t="shared" si="205"/>
        <v>0</v>
      </c>
      <c r="AX325" s="488">
        <f t="shared" si="206"/>
        <v>0</v>
      </c>
      <c r="AY325" s="3235">
        <f t="shared" si="181"/>
        <v>0</v>
      </c>
      <c r="AZ325" s="3166">
        <f t="shared" si="182"/>
        <v>0</v>
      </c>
      <c r="BA325" s="3166">
        <f t="shared" si="183"/>
        <v>0</v>
      </c>
      <c r="BB325" s="3166">
        <f t="shared" si="184"/>
        <v>0</v>
      </c>
      <c r="BC325" s="3166">
        <f t="shared" si="185"/>
        <v>0</v>
      </c>
      <c r="BD325" s="3166">
        <f t="shared" si="186"/>
        <v>0</v>
      </c>
      <c r="BE325" s="3166">
        <f t="shared" si="187"/>
        <v>0</v>
      </c>
      <c r="BF325" s="3166">
        <f t="shared" si="188"/>
        <v>0</v>
      </c>
      <c r="BG325" s="3166">
        <f t="shared" si="189"/>
        <v>0</v>
      </c>
      <c r="BH325" s="3166">
        <f t="shared" si="190"/>
        <v>0</v>
      </c>
      <c r="BI325" s="3166">
        <f t="shared" si="191"/>
        <v>0</v>
      </c>
      <c r="BJ325" s="3166">
        <f t="shared" si="192"/>
        <v>0</v>
      </c>
      <c r="BK325" s="3166">
        <f t="shared" si="193"/>
        <v>0</v>
      </c>
      <c r="BL325" s="3166">
        <f t="shared" si="194"/>
        <v>0</v>
      </c>
      <c r="BM325" s="3166">
        <f t="shared" si="195"/>
        <v>0</v>
      </c>
      <c r="BN325" s="3166">
        <f t="shared" si="196"/>
        <v>0</v>
      </c>
      <c r="BO325" s="3166">
        <f t="shared" si="197"/>
        <v>0</v>
      </c>
      <c r="BP325" s="3166">
        <f t="shared" si="198"/>
        <v>0</v>
      </c>
      <c r="BQ325" s="3166">
        <f t="shared" si="199"/>
        <v>0</v>
      </c>
      <c r="BR325" s="3166">
        <f t="shared" si="200"/>
        <v>0</v>
      </c>
      <c r="BS325" s="3166">
        <f t="shared" si="201"/>
        <v>0</v>
      </c>
      <c r="BT325" s="3240">
        <f t="shared" si="202"/>
        <v>0</v>
      </c>
    </row>
    <row r="326" spans="1:72">
      <c r="A326" s="3163"/>
      <c r="B326" s="3173"/>
      <c r="C326" s="3171"/>
      <c r="D326" s="3172"/>
      <c r="E326" s="3166">
        <f t="shared" si="203"/>
        <v>0</v>
      </c>
      <c r="F326" s="3167"/>
      <c r="G326" s="3168">
        <f t="shared" ref="G326:G357" si="207">H326+AC326+AT326</f>
        <v>0</v>
      </c>
      <c r="H326" s="3169">
        <f t="shared" ref="H326:H357" si="208">SUMIF(I$12:AB$12,"总值",I326:AB326)</f>
        <v>0</v>
      </c>
      <c r="I326" s="3171"/>
      <c r="J326" s="3187"/>
      <c r="K326" s="3171"/>
      <c r="L326" s="3187"/>
      <c r="M326" s="3187"/>
      <c r="N326" s="3187"/>
      <c r="O326" s="3187"/>
      <c r="P326" s="3187"/>
      <c r="Q326" s="3187"/>
      <c r="R326" s="3187"/>
      <c r="S326" s="3187"/>
      <c r="T326" s="3187"/>
      <c r="U326" s="3187"/>
      <c r="V326" s="3187"/>
      <c r="W326" s="3187"/>
      <c r="X326" s="3187"/>
      <c r="Y326" s="3187"/>
      <c r="Z326" s="3187"/>
      <c r="AA326" s="3187"/>
      <c r="AB326" s="3187"/>
      <c r="AC326" s="3166">
        <f t="shared" ref="AC326:AC357" si="209">SUMIF(AD$12:AS$12,"总值",AD326:AS326)</f>
        <v>0</v>
      </c>
      <c r="AD326" s="3198"/>
      <c r="AE326" s="3198"/>
      <c r="AF326" s="3171"/>
      <c r="AG326" s="3198"/>
      <c r="AH326" s="3198"/>
      <c r="AI326" s="3198"/>
      <c r="AJ326" s="3198"/>
      <c r="AK326" s="3198"/>
      <c r="AL326" s="3198"/>
      <c r="AM326" s="3198"/>
      <c r="AN326" s="3198"/>
      <c r="AO326" s="3198"/>
      <c r="AP326" s="3198"/>
      <c r="AQ326" s="3198"/>
      <c r="AR326" s="3198"/>
      <c r="AS326" s="3198"/>
      <c r="AT326" s="3218"/>
      <c r="AU326" s="3219"/>
      <c r="AV326" s="488">
        <f t="shared" si="204"/>
        <v>0</v>
      </c>
      <c r="AW326" s="488">
        <f t="shared" si="205"/>
        <v>0</v>
      </c>
      <c r="AX326" s="488">
        <f t="shared" si="206"/>
        <v>0</v>
      </c>
      <c r="AY326" s="3235">
        <f t="shared" ref="AY326:AY357" si="210">ROUND($AY$6*AZ326/$AZ$5,2)</f>
        <v>0</v>
      </c>
      <c r="AZ326" s="3166">
        <f t="shared" ref="AZ326:AZ357" si="211">BA326+BL326</f>
        <v>0</v>
      </c>
      <c r="BA326" s="3166">
        <f t="shared" ref="BA326:BA357" si="212">SUM(BB326:BK326)</f>
        <v>0</v>
      </c>
      <c r="BB326" s="3166">
        <f t="shared" ref="BB326:BB357" si="213">IF($D326="是",I326-J326,0)</f>
        <v>0</v>
      </c>
      <c r="BC326" s="3166">
        <f t="shared" ref="BC326:BC357" si="214">IF($D326="是",K326-L326,0)</f>
        <v>0</v>
      </c>
      <c r="BD326" s="3166">
        <f t="shared" ref="BD326:BD357" si="215">IF($D326="是",M326-N326,0)</f>
        <v>0</v>
      </c>
      <c r="BE326" s="3166">
        <f t="shared" ref="BE326:BE357" si="216">IF($D326="是",O326-P326,0)</f>
        <v>0</v>
      </c>
      <c r="BF326" s="3166">
        <f t="shared" ref="BF326:BF357" si="217">IF($D326="是",Q326-R326,0)</f>
        <v>0</v>
      </c>
      <c r="BG326" s="3166">
        <f t="shared" ref="BG326:BG357" si="218">IF($D326="是",S326-T326,0)</f>
        <v>0</v>
      </c>
      <c r="BH326" s="3166">
        <f t="shared" ref="BH326:BH357" si="219">IF($D326="是",U326-V326,0)</f>
        <v>0</v>
      </c>
      <c r="BI326" s="3166">
        <f t="shared" ref="BI326:BI357" si="220">IF($D326="是",W326-X326,0)</f>
        <v>0</v>
      </c>
      <c r="BJ326" s="3166">
        <f t="shared" ref="BJ326:BJ357" si="221">IF($D326="是",Y326-Z326,0)</f>
        <v>0</v>
      </c>
      <c r="BK326" s="3166">
        <f t="shared" ref="BK326:BK357" si="222">IF($D326="是",AA326-AB326,0)</f>
        <v>0</v>
      </c>
      <c r="BL326" s="3166">
        <f t="shared" ref="BL326:BL357" si="223">SUM(BM326:BT326)</f>
        <v>0</v>
      </c>
      <c r="BM326" s="3166">
        <f t="shared" ref="BM326:BM357" si="224">IF($D326="是",AD326-AE326,0)</f>
        <v>0</v>
      </c>
      <c r="BN326" s="3166">
        <f t="shared" ref="BN326:BN357" si="225">IF($D326="是",AF326-AG326,0)</f>
        <v>0</v>
      </c>
      <c r="BO326" s="3166">
        <f t="shared" ref="BO326:BO357" si="226">IF($D326="是",AH326-AI326,0)</f>
        <v>0</v>
      </c>
      <c r="BP326" s="3166">
        <f t="shared" ref="BP326:BP357" si="227">IF($D326="是",AJ326-AK326,0)</f>
        <v>0</v>
      </c>
      <c r="BQ326" s="3166">
        <f t="shared" ref="BQ326:BQ357" si="228">IF($D326="是",AL326-AM326,0)</f>
        <v>0</v>
      </c>
      <c r="BR326" s="3166">
        <f t="shared" ref="BR326:BR357" si="229">IF($D326="是",AN326-AO326,0)</f>
        <v>0</v>
      </c>
      <c r="BS326" s="3166">
        <f t="shared" ref="BS326:BS357" si="230">IF($D326="是",AP326-AQ326,0)</f>
        <v>0</v>
      </c>
      <c r="BT326" s="3240">
        <f t="shared" ref="BT326:BT357" si="231">IF($D326="是",AR326-AS326,0)</f>
        <v>0</v>
      </c>
    </row>
    <row r="327" spans="1:72">
      <c r="A327" s="3163"/>
      <c r="B327" s="3173"/>
      <c r="C327" s="3171"/>
      <c r="D327" s="3172"/>
      <c r="E327" s="3166">
        <f t="shared" si="203"/>
        <v>0</v>
      </c>
      <c r="F327" s="3167"/>
      <c r="G327" s="3168">
        <f t="shared" si="207"/>
        <v>0</v>
      </c>
      <c r="H327" s="3169">
        <f t="shared" si="208"/>
        <v>0</v>
      </c>
      <c r="I327" s="3171"/>
      <c r="J327" s="3187"/>
      <c r="K327" s="3171"/>
      <c r="L327" s="3187"/>
      <c r="M327" s="3187"/>
      <c r="N327" s="3187"/>
      <c r="O327" s="3187"/>
      <c r="P327" s="3187"/>
      <c r="Q327" s="3187"/>
      <c r="R327" s="3187"/>
      <c r="S327" s="3187"/>
      <c r="T327" s="3187"/>
      <c r="U327" s="3187"/>
      <c r="V327" s="3187"/>
      <c r="W327" s="3187"/>
      <c r="X327" s="3187"/>
      <c r="Y327" s="3187"/>
      <c r="Z327" s="3187"/>
      <c r="AA327" s="3187"/>
      <c r="AB327" s="3187"/>
      <c r="AC327" s="3166">
        <f t="shared" si="209"/>
        <v>0</v>
      </c>
      <c r="AD327" s="3198"/>
      <c r="AE327" s="3198"/>
      <c r="AF327" s="3171"/>
      <c r="AG327" s="3198"/>
      <c r="AH327" s="3198"/>
      <c r="AI327" s="3198"/>
      <c r="AJ327" s="3198"/>
      <c r="AK327" s="3198"/>
      <c r="AL327" s="3198"/>
      <c r="AM327" s="3198"/>
      <c r="AN327" s="3198"/>
      <c r="AO327" s="3198"/>
      <c r="AP327" s="3198"/>
      <c r="AQ327" s="3198"/>
      <c r="AR327" s="3198"/>
      <c r="AS327" s="3198"/>
      <c r="AT327" s="3218"/>
      <c r="AU327" s="3219"/>
      <c r="AV327" s="488">
        <f t="shared" si="204"/>
        <v>0</v>
      </c>
      <c r="AW327" s="488">
        <f t="shared" si="205"/>
        <v>0</v>
      </c>
      <c r="AX327" s="488">
        <f t="shared" si="206"/>
        <v>0</v>
      </c>
      <c r="AY327" s="3235">
        <f t="shared" si="210"/>
        <v>0</v>
      </c>
      <c r="AZ327" s="3166">
        <f t="shared" si="211"/>
        <v>0</v>
      </c>
      <c r="BA327" s="3166">
        <f t="shared" si="212"/>
        <v>0</v>
      </c>
      <c r="BB327" s="3166">
        <f t="shared" si="213"/>
        <v>0</v>
      </c>
      <c r="BC327" s="3166">
        <f t="shared" si="214"/>
        <v>0</v>
      </c>
      <c r="BD327" s="3166">
        <f t="shared" si="215"/>
        <v>0</v>
      </c>
      <c r="BE327" s="3166">
        <f t="shared" si="216"/>
        <v>0</v>
      </c>
      <c r="BF327" s="3166">
        <f t="shared" si="217"/>
        <v>0</v>
      </c>
      <c r="BG327" s="3166">
        <f t="shared" si="218"/>
        <v>0</v>
      </c>
      <c r="BH327" s="3166">
        <f t="shared" si="219"/>
        <v>0</v>
      </c>
      <c r="BI327" s="3166">
        <f t="shared" si="220"/>
        <v>0</v>
      </c>
      <c r="BJ327" s="3166">
        <f t="shared" si="221"/>
        <v>0</v>
      </c>
      <c r="BK327" s="3166">
        <f t="shared" si="222"/>
        <v>0</v>
      </c>
      <c r="BL327" s="3166">
        <f t="shared" si="223"/>
        <v>0</v>
      </c>
      <c r="BM327" s="3166">
        <f t="shared" si="224"/>
        <v>0</v>
      </c>
      <c r="BN327" s="3166">
        <f t="shared" si="225"/>
        <v>0</v>
      </c>
      <c r="BO327" s="3166">
        <f t="shared" si="226"/>
        <v>0</v>
      </c>
      <c r="BP327" s="3166">
        <f t="shared" si="227"/>
        <v>0</v>
      </c>
      <c r="BQ327" s="3166">
        <f t="shared" si="228"/>
        <v>0</v>
      </c>
      <c r="BR327" s="3166">
        <f t="shared" si="229"/>
        <v>0</v>
      </c>
      <c r="BS327" s="3166">
        <f t="shared" si="230"/>
        <v>0</v>
      </c>
      <c r="BT327" s="3240">
        <f t="shared" si="231"/>
        <v>0</v>
      </c>
    </row>
    <row r="328" spans="1:72">
      <c r="A328" s="3163"/>
      <c r="B328" s="3173"/>
      <c r="C328" s="3171"/>
      <c r="D328" s="3172"/>
      <c r="E328" s="3166">
        <f t="shared" si="203"/>
        <v>0</v>
      </c>
      <c r="F328" s="3167"/>
      <c r="G328" s="3168">
        <f t="shared" si="207"/>
        <v>0</v>
      </c>
      <c r="H328" s="3169">
        <f t="shared" si="208"/>
        <v>0</v>
      </c>
      <c r="I328" s="3171"/>
      <c r="J328" s="3187"/>
      <c r="K328" s="3171"/>
      <c r="L328" s="3187"/>
      <c r="M328" s="3187"/>
      <c r="N328" s="3187"/>
      <c r="O328" s="3187"/>
      <c r="P328" s="3187"/>
      <c r="Q328" s="3187"/>
      <c r="R328" s="3187"/>
      <c r="S328" s="3187"/>
      <c r="T328" s="3187"/>
      <c r="U328" s="3187"/>
      <c r="V328" s="3187"/>
      <c r="W328" s="3187"/>
      <c r="X328" s="3187"/>
      <c r="Y328" s="3187"/>
      <c r="Z328" s="3187"/>
      <c r="AA328" s="3187"/>
      <c r="AB328" s="3187"/>
      <c r="AC328" s="3166">
        <f t="shared" si="209"/>
        <v>0</v>
      </c>
      <c r="AD328" s="3198"/>
      <c r="AE328" s="3198"/>
      <c r="AF328" s="3171"/>
      <c r="AG328" s="3198"/>
      <c r="AH328" s="3198"/>
      <c r="AI328" s="3198"/>
      <c r="AJ328" s="3198"/>
      <c r="AK328" s="3198"/>
      <c r="AL328" s="3198"/>
      <c r="AM328" s="3198"/>
      <c r="AN328" s="3198"/>
      <c r="AO328" s="3198"/>
      <c r="AP328" s="3198"/>
      <c r="AQ328" s="3198"/>
      <c r="AR328" s="3198"/>
      <c r="AS328" s="3198"/>
      <c r="AT328" s="3218"/>
      <c r="AU328" s="3219"/>
      <c r="AV328" s="488">
        <f t="shared" si="204"/>
        <v>0</v>
      </c>
      <c r="AW328" s="488">
        <f t="shared" si="205"/>
        <v>0</v>
      </c>
      <c r="AX328" s="488">
        <f t="shared" si="206"/>
        <v>0</v>
      </c>
      <c r="AY328" s="3235">
        <f t="shared" si="210"/>
        <v>0</v>
      </c>
      <c r="AZ328" s="3166">
        <f t="shared" si="211"/>
        <v>0</v>
      </c>
      <c r="BA328" s="3166">
        <f t="shared" si="212"/>
        <v>0</v>
      </c>
      <c r="BB328" s="3166">
        <f t="shared" si="213"/>
        <v>0</v>
      </c>
      <c r="BC328" s="3166">
        <f t="shared" si="214"/>
        <v>0</v>
      </c>
      <c r="BD328" s="3166">
        <f t="shared" si="215"/>
        <v>0</v>
      </c>
      <c r="BE328" s="3166">
        <f t="shared" si="216"/>
        <v>0</v>
      </c>
      <c r="BF328" s="3166">
        <f t="shared" si="217"/>
        <v>0</v>
      </c>
      <c r="BG328" s="3166">
        <f t="shared" si="218"/>
        <v>0</v>
      </c>
      <c r="BH328" s="3166">
        <f t="shared" si="219"/>
        <v>0</v>
      </c>
      <c r="BI328" s="3166">
        <f t="shared" si="220"/>
        <v>0</v>
      </c>
      <c r="BJ328" s="3166">
        <f t="shared" si="221"/>
        <v>0</v>
      </c>
      <c r="BK328" s="3166">
        <f t="shared" si="222"/>
        <v>0</v>
      </c>
      <c r="BL328" s="3166">
        <f t="shared" si="223"/>
        <v>0</v>
      </c>
      <c r="BM328" s="3166">
        <f t="shared" si="224"/>
        <v>0</v>
      </c>
      <c r="BN328" s="3166">
        <f t="shared" si="225"/>
        <v>0</v>
      </c>
      <c r="BO328" s="3166">
        <f t="shared" si="226"/>
        <v>0</v>
      </c>
      <c r="BP328" s="3166">
        <f t="shared" si="227"/>
        <v>0</v>
      </c>
      <c r="BQ328" s="3166">
        <f t="shared" si="228"/>
        <v>0</v>
      </c>
      <c r="BR328" s="3166">
        <f t="shared" si="229"/>
        <v>0</v>
      </c>
      <c r="BS328" s="3166">
        <f t="shared" si="230"/>
        <v>0</v>
      </c>
      <c r="BT328" s="3240">
        <f t="shared" si="231"/>
        <v>0</v>
      </c>
    </row>
    <row r="329" spans="1:72">
      <c r="A329" s="3163"/>
      <c r="B329" s="3173"/>
      <c r="C329" s="3171"/>
      <c r="D329" s="3172"/>
      <c r="E329" s="3166">
        <f t="shared" ref="E329:E360" si="232">IF($C$3="是",ROUND($A$3*G329/$B$3,2),ROUND($A$3*(G329-AT329)/$B$3,2))</f>
        <v>0</v>
      </c>
      <c r="F329" s="3167"/>
      <c r="G329" s="3168">
        <f t="shared" si="207"/>
        <v>0</v>
      </c>
      <c r="H329" s="3169">
        <f t="shared" si="208"/>
        <v>0</v>
      </c>
      <c r="I329" s="3171"/>
      <c r="J329" s="3187"/>
      <c r="K329" s="3171"/>
      <c r="L329" s="3187"/>
      <c r="M329" s="3187"/>
      <c r="N329" s="3187"/>
      <c r="O329" s="3187"/>
      <c r="P329" s="3187"/>
      <c r="Q329" s="3187"/>
      <c r="R329" s="3187"/>
      <c r="S329" s="3187"/>
      <c r="T329" s="3187"/>
      <c r="U329" s="3187"/>
      <c r="V329" s="3187"/>
      <c r="W329" s="3187"/>
      <c r="X329" s="3187"/>
      <c r="Y329" s="3187"/>
      <c r="Z329" s="3187"/>
      <c r="AA329" s="3187"/>
      <c r="AB329" s="3187"/>
      <c r="AC329" s="3166">
        <f t="shared" si="209"/>
        <v>0</v>
      </c>
      <c r="AD329" s="3198"/>
      <c r="AE329" s="3198"/>
      <c r="AF329" s="3171"/>
      <c r="AG329" s="3198"/>
      <c r="AH329" s="3198"/>
      <c r="AI329" s="3198"/>
      <c r="AJ329" s="3198"/>
      <c r="AK329" s="3198"/>
      <c r="AL329" s="3198"/>
      <c r="AM329" s="3198"/>
      <c r="AN329" s="3198"/>
      <c r="AO329" s="3198"/>
      <c r="AP329" s="3198"/>
      <c r="AQ329" s="3198"/>
      <c r="AR329" s="3198"/>
      <c r="AS329" s="3198"/>
      <c r="AT329" s="3218"/>
      <c r="AU329" s="3219"/>
      <c r="AV329" s="488">
        <f t="shared" ref="AV329:AV360" si="233">A329</f>
        <v>0</v>
      </c>
      <c r="AW329" s="488">
        <f t="shared" ref="AW329:AW360" si="234">B329</f>
        <v>0</v>
      </c>
      <c r="AX329" s="488">
        <f t="shared" ref="AX329:AX360" si="235">C329</f>
        <v>0</v>
      </c>
      <c r="AY329" s="3235">
        <f t="shared" si="210"/>
        <v>0</v>
      </c>
      <c r="AZ329" s="3166">
        <f t="shared" si="211"/>
        <v>0</v>
      </c>
      <c r="BA329" s="3166">
        <f t="shared" si="212"/>
        <v>0</v>
      </c>
      <c r="BB329" s="3166">
        <f t="shared" si="213"/>
        <v>0</v>
      </c>
      <c r="BC329" s="3166">
        <f t="shared" si="214"/>
        <v>0</v>
      </c>
      <c r="BD329" s="3166">
        <f t="shared" si="215"/>
        <v>0</v>
      </c>
      <c r="BE329" s="3166">
        <f t="shared" si="216"/>
        <v>0</v>
      </c>
      <c r="BF329" s="3166">
        <f t="shared" si="217"/>
        <v>0</v>
      </c>
      <c r="BG329" s="3166">
        <f t="shared" si="218"/>
        <v>0</v>
      </c>
      <c r="BH329" s="3166">
        <f t="shared" si="219"/>
        <v>0</v>
      </c>
      <c r="BI329" s="3166">
        <f t="shared" si="220"/>
        <v>0</v>
      </c>
      <c r="BJ329" s="3166">
        <f t="shared" si="221"/>
        <v>0</v>
      </c>
      <c r="BK329" s="3166">
        <f t="shared" si="222"/>
        <v>0</v>
      </c>
      <c r="BL329" s="3166">
        <f t="shared" si="223"/>
        <v>0</v>
      </c>
      <c r="BM329" s="3166">
        <f t="shared" si="224"/>
        <v>0</v>
      </c>
      <c r="BN329" s="3166">
        <f t="shared" si="225"/>
        <v>0</v>
      </c>
      <c r="BO329" s="3166">
        <f t="shared" si="226"/>
        <v>0</v>
      </c>
      <c r="BP329" s="3166">
        <f t="shared" si="227"/>
        <v>0</v>
      </c>
      <c r="BQ329" s="3166">
        <f t="shared" si="228"/>
        <v>0</v>
      </c>
      <c r="BR329" s="3166">
        <f t="shared" si="229"/>
        <v>0</v>
      </c>
      <c r="BS329" s="3166">
        <f t="shared" si="230"/>
        <v>0</v>
      </c>
      <c r="BT329" s="3240">
        <f t="shared" si="231"/>
        <v>0</v>
      </c>
    </row>
    <row r="330" spans="1:72">
      <c r="A330" s="3163"/>
      <c r="B330" s="3173"/>
      <c r="C330" s="3171"/>
      <c r="D330" s="3172"/>
      <c r="E330" s="3166">
        <f t="shared" si="232"/>
        <v>0</v>
      </c>
      <c r="F330" s="3167"/>
      <c r="G330" s="3168">
        <f t="shared" si="207"/>
        <v>0</v>
      </c>
      <c r="H330" s="3169">
        <f t="shared" si="208"/>
        <v>0</v>
      </c>
      <c r="I330" s="3171"/>
      <c r="J330" s="3187"/>
      <c r="K330" s="3171"/>
      <c r="L330" s="3187"/>
      <c r="M330" s="3187"/>
      <c r="N330" s="3187"/>
      <c r="O330" s="3187"/>
      <c r="P330" s="3187"/>
      <c r="Q330" s="3187"/>
      <c r="R330" s="3187"/>
      <c r="S330" s="3187"/>
      <c r="T330" s="3187"/>
      <c r="U330" s="3187"/>
      <c r="V330" s="3187"/>
      <c r="W330" s="3187"/>
      <c r="X330" s="3187"/>
      <c r="Y330" s="3187"/>
      <c r="Z330" s="3187"/>
      <c r="AA330" s="3187"/>
      <c r="AB330" s="3187"/>
      <c r="AC330" s="3166">
        <f t="shared" si="209"/>
        <v>0</v>
      </c>
      <c r="AD330" s="3198"/>
      <c r="AE330" s="3198"/>
      <c r="AF330" s="3171"/>
      <c r="AG330" s="3198"/>
      <c r="AH330" s="3198"/>
      <c r="AI330" s="3198"/>
      <c r="AJ330" s="3198"/>
      <c r="AK330" s="3198"/>
      <c r="AL330" s="3198"/>
      <c r="AM330" s="3198"/>
      <c r="AN330" s="3198"/>
      <c r="AO330" s="3198"/>
      <c r="AP330" s="3198"/>
      <c r="AQ330" s="3198"/>
      <c r="AR330" s="3198"/>
      <c r="AS330" s="3198"/>
      <c r="AT330" s="3218"/>
      <c r="AU330" s="3219"/>
      <c r="AV330" s="488">
        <f t="shared" si="233"/>
        <v>0</v>
      </c>
      <c r="AW330" s="488">
        <f t="shared" si="234"/>
        <v>0</v>
      </c>
      <c r="AX330" s="488">
        <f t="shared" si="235"/>
        <v>0</v>
      </c>
      <c r="AY330" s="3235">
        <f t="shared" si="210"/>
        <v>0</v>
      </c>
      <c r="AZ330" s="3166">
        <f t="shared" si="211"/>
        <v>0</v>
      </c>
      <c r="BA330" s="3166">
        <f t="shared" si="212"/>
        <v>0</v>
      </c>
      <c r="BB330" s="3166">
        <f t="shared" si="213"/>
        <v>0</v>
      </c>
      <c r="BC330" s="3166">
        <f t="shared" si="214"/>
        <v>0</v>
      </c>
      <c r="BD330" s="3166">
        <f t="shared" si="215"/>
        <v>0</v>
      </c>
      <c r="BE330" s="3166">
        <f t="shared" si="216"/>
        <v>0</v>
      </c>
      <c r="BF330" s="3166">
        <f t="shared" si="217"/>
        <v>0</v>
      </c>
      <c r="BG330" s="3166">
        <f t="shared" si="218"/>
        <v>0</v>
      </c>
      <c r="BH330" s="3166">
        <f t="shared" si="219"/>
        <v>0</v>
      </c>
      <c r="BI330" s="3166">
        <f t="shared" si="220"/>
        <v>0</v>
      </c>
      <c r="BJ330" s="3166">
        <f t="shared" si="221"/>
        <v>0</v>
      </c>
      <c r="BK330" s="3166">
        <f t="shared" si="222"/>
        <v>0</v>
      </c>
      <c r="BL330" s="3166">
        <f t="shared" si="223"/>
        <v>0</v>
      </c>
      <c r="BM330" s="3166">
        <f t="shared" si="224"/>
        <v>0</v>
      </c>
      <c r="BN330" s="3166">
        <f t="shared" si="225"/>
        <v>0</v>
      </c>
      <c r="BO330" s="3166">
        <f t="shared" si="226"/>
        <v>0</v>
      </c>
      <c r="BP330" s="3166">
        <f t="shared" si="227"/>
        <v>0</v>
      </c>
      <c r="BQ330" s="3166">
        <f t="shared" si="228"/>
        <v>0</v>
      </c>
      <c r="BR330" s="3166">
        <f t="shared" si="229"/>
        <v>0</v>
      </c>
      <c r="BS330" s="3166">
        <f t="shared" si="230"/>
        <v>0</v>
      </c>
      <c r="BT330" s="3240">
        <f t="shared" si="231"/>
        <v>0</v>
      </c>
    </row>
    <row r="331" spans="1:72">
      <c r="A331" s="3163"/>
      <c r="B331" s="3174"/>
      <c r="C331" s="3175"/>
      <c r="D331" s="3172"/>
      <c r="E331" s="3166">
        <f t="shared" si="232"/>
        <v>0</v>
      </c>
      <c r="F331" s="3167"/>
      <c r="G331" s="3168">
        <f t="shared" si="207"/>
        <v>0</v>
      </c>
      <c r="H331" s="3169">
        <f t="shared" si="208"/>
        <v>0</v>
      </c>
      <c r="I331" s="3171"/>
      <c r="J331" s="3187"/>
      <c r="K331" s="3171"/>
      <c r="L331" s="3187"/>
      <c r="M331" s="3171"/>
      <c r="N331" s="3187"/>
      <c r="O331" s="3187"/>
      <c r="P331" s="3187"/>
      <c r="Q331" s="3187"/>
      <c r="R331" s="3187"/>
      <c r="S331" s="3187"/>
      <c r="T331" s="3187"/>
      <c r="U331" s="3187"/>
      <c r="V331" s="3187"/>
      <c r="W331" s="3187"/>
      <c r="X331" s="3187"/>
      <c r="Y331" s="3187"/>
      <c r="Z331" s="3187"/>
      <c r="AA331" s="3187"/>
      <c r="AB331" s="3187"/>
      <c r="AC331" s="3166">
        <f t="shared" si="209"/>
        <v>0</v>
      </c>
      <c r="AD331" s="3198"/>
      <c r="AE331" s="3198"/>
      <c r="AF331" s="3171"/>
      <c r="AG331" s="3198"/>
      <c r="AH331" s="3198"/>
      <c r="AI331" s="3198"/>
      <c r="AJ331" s="3198"/>
      <c r="AK331" s="3198"/>
      <c r="AL331" s="3198"/>
      <c r="AM331" s="3198"/>
      <c r="AN331" s="3198"/>
      <c r="AO331" s="3198"/>
      <c r="AP331" s="3198"/>
      <c r="AQ331" s="3198"/>
      <c r="AR331" s="3198"/>
      <c r="AS331" s="3198"/>
      <c r="AT331" s="3218"/>
      <c r="AU331" s="3219"/>
      <c r="AV331" s="488">
        <f t="shared" si="233"/>
        <v>0</v>
      </c>
      <c r="AW331" s="488">
        <f t="shared" si="234"/>
        <v>0</v>
      </c>
      <c r="AX331" s="488">
        <f t="shared" si="235"/>
        <v>0</v>
      </c>
      <c r="AY331" s="3235">
        <f t="shared" si="210"/>
        <v>0</v>
      </c>
      <c r="AZ331" s="3166">
        <f t="shared" si="211"/>
        <v>0</v>
      </c>
      <c r="BA331" s="3166">
        <f t="shared" si="212"/>
        <v>0</v>
      </c>
      <c r="BB331" s="3166">
        <f t="shared" si="213"/>
        <v>0</v>
      </c>
      <c r="BC331" s="3166">
        <f t="shared" si="214"/>
        <v>0</v>
      </c>
      <c r="BD331" s="3166">
        <f t="shared" si="215"/>
        <v>0</v>
      </c>
      <c r="BE331" s="3166">
        <f t="shared" si="216"/>
        <v>0</v>
      </c>
      <c r="BF331" s="3166">
        <f t="shared" si="217"/>
        <v>0</v>
      </c>
      <c r="BG331" s="3166">
        <f t="shared" si="218"/>
        <v>0</v>
      </c>
      <c r="BH331" s="3166">
        <f t="shared" si="219"/>
        <v>0</v>
      </c>
      <c r="BI331" s="3166">
        <f t="shared" si="220"/>
        <v>0</v>
      </c>
      <c r="BJ331" s="3166">
        <f t="shared" si="221"/>
        <v>0</v>
      </c>
      <c r="BK331" s="3166">
        <f t="shared" si="222"/>
        <v>0</v>
      </c>
      <c r="BL331" s="3166">
        <f t="shared" si="223"/>
        <v>0</v>
      </c>
      <c r="BM331" s="3166">
        <f t="shared" si="224"/>
        <v>0</v>
      </c>
      <c r="BN331" s="3166">
        <f t="shared" si="225"/>
        <v>0</v>
      </c>
      <c r="BO331" s="3166">
        <f t="shared" si="226"/>
        <v>0</v>
      </c>
      <c r="BP331" s="3166">
        <f t="shared" si="227"/>
        <v>0</v>
      </c>
      <c r="BQ331" s="3166">
        <f t="shared" si="228"/>
        <v>0</v>
      </c>
      <c r="BR331" s="3166">
        <f t="shared" si="229"/>
        <v>0</v>
      </c>
      <c r="BS331" s="3166">
        <f t="shared" si="230"/>
        <v>0</v>
      </c>
      <c r="BT331" s="3240">
        <f t="shared" si="231"/>
        <v>0</v>
      </c>
    </row>
    <row r="332" spans="1:72">
      <c r="A332" s="3163"/>
      <c r="B332" s="3164"/>
      <c r="C332" s="3164"/>
      <c r="D332" s="3176"/>
      <c r="E332" s="3166">
        <f t="shared" si="232"/>
        <v>0</v>
      </c>
      <c r="F332" s="3167"/>
      <c r="G332" s="3168">
        <f t="shared" si="207"/>
        <v>0</v>
      </c>
      <c r="H332" s="3169">
        <f t="shared" si="208"/>
        <v>0</v>
      </c>
      <c r="I332" s="3187"/>
      <c r="J332" s="3187"/>
      <c r="K332" s="3187"/>
      <c r="L332" s="3187"/>
      <c r="M332" s="3187"/>
      <c r="N332" s="3187"/>
      <c r="O332" s="3187"/>
      <c r="P332" s="3187"/>
      <c r="Q332" s="3187"/>
      <c r="R332" s="3187"/>
      <c r="S332" s="3187"/>
      <c r="T332" s="3187"/>
      <c r="U332" s="3187"/>
      <c r="V332" s="3187"/>
      <c r="W332" s="3187"/>
      <c r="X332" s="3187"/>
      <c r="Y332" s="3187"/>
      <c r="Z332" s="3187"/>
      <c r="AA332" s="3187"/>
      <c r="AB332" s="3187"/>
      <c r="AC332" s="3166">
        <f t="shared" si="209"/>
        <v>0</v>
      </c>
      <c r="AD332" s="3198"/>
      <c r="AE332" s="3198"/>
      <c r="AF332" s="3198"/>
      <c r="AG332" s="3198"/>
      <c r="AH332" s="3198"/>
      <c r="AI332" s="3198"/>
      <c r="AJ332" s="3198"/>
      <c r="AK332" s="3198"/>
      <c r="AL332" s="3198"/>
      <c r="AM332" s="3198"/>
      <c r="AN332" s="3198"/>
      <c r="AO332" s="3198"/>
      <c r="AP332" s="3198"/>
      <c r="AQ332" s="3198"/>
      <c r="AR332" s="3198"/>
      <c r="AS332" s="3198"/>
      <c r="AT332" s="3218"/>
      <c r="AU332" s="3219"/>
      <c r="AV332" s="488">
        <f t="shared" si="233"/>
        <v>0</v>
      </c>
      <c r="AW332" s="488">
        <f t="shared" si="234"/>
        <v>0</v>
      </c>
      <c r="AX332" s="488">
        <f t="shared" si="235"/>
        <v>0</v>
      </c>
      <c r="AY332" s="3235">
        <f t="shared" si="210"/>
        <v>0</v>
      </c>
      <c r="AZ332" s="3166">
        <f t="shared" si="211"/>
        <v>0</v>
      </c>
      <c r="BA332" s="3166">
        <f t="shared" si="212"/>
        <v>0</v>
      </c>
      <c r="BB332" s="3166">
        <f t="shared" si="213"/>
        <v>0</v>
      </c>
      <c r="BC332" s="3166">
        <f t="shared" si="214"/>
        <v>0</v>
      </c>
      <c r="BD332" s="3166">
        <f t="shared" si="215"/>
        <v>0</v>
      </c>
      <c r="BE332" s="3166">
        <f t="shared" si="216"/>
        <v>0</v>
      </c>
      <c r="BF332" s="3166">
        <f t="shared" si="217"/>
        <v>0</v>
      </c>
      <c r="BG332" s="3166">
        <f t="shared" si="218"/>
        <v>0</v>
      </c>
      <c r="BH332" s="3166">
        <f t="shared" si="219"/>
        <v>0</v>
      </c>
      <c r="BI332" s="3166">
        <f t="shared" si="220"/>
        <v>0</v>
      </c>
      <c r="BJ332" s="3166">
        <f t="shared" si="221"/>
        <v>0</v>
      </c>
      <c r="BK332" s="3166">
        <f t="shared" si="222"/>
        <v>0</v>
      </c>
      <c r="BL332" s="3166">
        <f t="shared" si="223"/>
        <v>0</v>
      </c>
      <c r="BM332" s="3166">
        <f t="shared" si="224"/>
        <v>0</v>
      </c>
      <c r="BN332" s="3166">
        <f t="shared" si="225"/>
        <v>0</v>
      </c>
      <c r="BO332" s="3166">
        <f t="shared" si="226"/>
        <v>0</v>
      </c>
      <c r="BP332" s="3166">
        <f t="shared" si="227"/>
        <v>0</v>
      </c>
      <c r="BQ332" s="3166">
        <f t="shared" si="228"/>
        <v>0</v>
      </c>
      <c r="BR332" s="3166">
        <f t="shared" si="229"/>
        <v>0</v>
      </c>
      <c r="BS332" s="3166">
        <f t="shared" si="230"/>
        <v>0</v>
      </c>
      <c r="BT332" s="3240">
        <f t="shared" si="231"/>
        <v>0</v>
      </c>
    </row>
    <row r="333" spans="1:72">
      <c r="A333" s="3163"/>
      <c r="B333" s="3164"/>
      <c r="C333" s="3164"/>
      <c r="D333" s="3176"/>
      <c r="E333" s="3166">
        <f t="shared" si="232"/>
        <v>0</v>
      </c>
      <c r="F333" s="3167"/>
      <c r="G333" s="3168">
        <f t="shared" si="207"/>
        <v>0</v>
      </c>
      <c r="H333" s="3169">
        <f t="shared" si="208"/>
        <v>0</v>
      </c>
      <c r="I333" s="3187"/>
      <c r="J333" s="3187"/>
      <c r="K333" s="3187"/>
      <c r="L333" s="3187"/>
      <c r="M333" s="3187"/>
      <c r="N333" s="3187"/>
      <c r="O333" s="3187"/>
      <c r="P333" s="3187"/>
      <c r="Q333" s="3187"/>
      <c r="R333" s="3187"/>
      <c r="S333" s="3187"/>
      <c r="T333" s="3187"/>
      <c r="U333" s="3187"/>
      <c r="V333" s="3187"/>
      <c r="W333" s="3187"/>
      <c r="X333" s="3187"/>
      <c r="Y333" s="3187"/>
      <c r="Z333" s="3187"/>
      <c r="AA333" s="3187"/>
      <c r="AB333" s="3187"/>
      <c r="AC333" s="3166">
        <f t="shared" si="209"/>
        <v>0</v>
      </c>
      <c r="AD333" s="3198"/>
      <c r="AE333" s="3198"/>
      <c r="AF333" s="3198"/>
      <c r="AG333" s="3198"/>
      <c r="AH333" s="3198"/>
      <c r="AI333" s="3198"/>
      <c r="AJ333" s="3198"/>
      <c r="AK333" s="3198"/>
      <c r="AL333" s="3198"/>
      <c r="AM333" s="3198"/>
      <c r="AN333" s="3198"/>
      <c r="AO333" s="3198"/>
      <c r="AP333" s="3198"/>
      <c r="AQ333" s="3198"/>
      <c r="AR333" s="3198"/>
      <c r="AS333" s="3198"/>
      <c r="AT333" s="3218"/>
      <c r="AU333" s="3219"/>
      <c r="AV333" s="488">
        <f t="shared" si="233"/>
        <v>0</v>
      </c>
      <c r="AW333" s="488">
        <f t="shared" si="234"/>
        <v>0</v>
      </c>
      <c r="AX333" s="488">
        <f t="shared" si="235"/>
        <v>0</v>
      </c>
      <c r="AY333" s="3235">
        <f t="shared" si="210"/>
        <v>0</v>
      </c>
      <c r="AZ333" s="3166">
        <f t="shared" si="211"/>
        <v>0</v>
      </c>
      <c r="BA333" s="3166">
        <f t="shared" si="212"/>
        <v>0</v>
      </c>
      <c r="BB333" s="3166">
        <f t="shared" si="213"/>
        <v>0</v>
      </c>
      <c r="BC333" s="3166">
        <f t="shared" si="214"/>
        <v>0</v>
      </c>
      <c r="BD333" s="3166">
        <f t="shared" si="215"/>
        <v>0</v>
      </c>
      <c r="BE333" s="3166">
        <f t="shared" si="216"/>
        <v>0</v>
      </c>
      <c r="BF333" s="3166">
        <f t="shared" si="217"/>
        <v>0</v>
      </c>
      <c r="BG333" s="3166">
        <f t="shared" si="218"/>
        <v>0</v>
      </c>
      <c r="BH333" s="3166">
        <f t="shared" si="219"/>
        <v>0</v>
      </c>
      <c r="BI333" s="3166">
        <f t="shared" si="220"/>
        <v>0</v>
      </c>
      <c r="BJ333" s="3166">
        <f t="shared" si="221"/>
        <v>0</v>
      </c>
      <c r="BK333" s="3166">
        <f t="shared" si="222"/>
        <v>0</v>
      </c>
      <c r="BL333" s="3166">
        <f t="shared" si="223"/>
        <v>0</v>
      </c>
      <c r="BM333" s="3166">
        <f t="shared" si="224"/>
        <v>0</v>
      </c>
      <c r="BN333" s="3166">
        <f t="shared" si="225"/>
        <v>0</v>
      </c>
      <c r="BO333" s="3166">
        <f t="shared" si="226"/>
        <v>0</v>
      </c>
      <c r="BP333" s="3166">
        <f t="shared" si="227"/>
        <v>0</v>
      </c>
      <c r="BQ333" s="3166">
        <f t="shared" si="228"/>
        <v>0</v>
      </c>
      <c r="BR333" s="3166">
        <f t="shared" si="229"/>
        <v>0</v>
      </c>
      <c r="BS333" s="3166">
        <f t="shared" si="230"/>
        <v>0</v>
      </c>
      <c r="BT333" s="3240">
        <f t="shared" si="231"/>
        <v>0</v>
      </c>
    </row>
    <row r="334" spans="1:72">
      <c r="A334" s="3163"/>
      <c r="B334" s="3164"/>
      <c r="C334" s="3164"/>
      <c r="D334" s="3176"/>
      <c r="E334" s="3166">
        <f t="shared" si="232"/>
        <v>0</v>
      </c>
      <c r="F334" s="3167"/>
      <c r="G334" s="3168">
        <f t="shared" si="207"/>
        <v>0</v>
      </c>
      <c r="H334" s="3169">
        <f t="shared" si="208"/>
        <v>0</v>
      </c>
      <c r="I334" s="3187"/>
      <c r="J334" s="3187"/>
      <c r="K334" s="3187"/>
      <c r="L334" s="3187"/>
      <c r="M334" s="3187"/>
      <c r="N334" s="3187"/>
      <c r="O334" s="3187"/>
      <c r="P334" s="3187"/>
      <c r="Q334" s="3187"/>
      <c r="R334" s="3187"/>
      <c r="S334" s="3187"/>
      <c r="T334" s="3187"/>
      <c r="U334" s="3187"/>
      <c r="V334" s="3187"/>
      <c r="W334" s="3187"/>
      <c r="X334" s="3187"/>
      <c r="Y334" s="3187"/>
      <c r="Z334" s="3187"/>
      <c r="AA334" s="3187"/>
      <c r="AB334" s="3187"/>
      <c r="AC334" s="3166">
        <f t="shared" si="209"/>
        <v>0</v>
      </c>
      <c r="AD334" s="3198"/>
      <c r="AE334" s="3198"/>
      <c r="AF334" s="3198"/>
      <c r="AG334" s="3198"/>
      <c r="AH334" s="3198"/>
      <c r="AI334" s="3198"/>
      <c r="AJ334" s="3198"/>
      <c r="AK334" s="3198"/>
      <c r="AL334" s="3198"/>
      <c r="AM334" s="3198"/>
      <c r="AN334" s="3198"/>
      <c r="AO334" s="3198"/>
      <c r="AP334" s="3198"/>
      <c r="AQ334" s="3198"/>
      <c r="AR334" s="3198"/>
      <c r="AS334" s="3198"/>
      <c r="AT334" s="3218"/>
      <c r="AU334" s="3219"/>
      <c r="AV334" s="488">
        <f t="shared" si="233"/>
        <v>0</v>
      </c>
      <c r="AW334" s="488">
        <f t="shared" si="234"/>
        <v>0</v>
      </c>
      <c r="AX334" s="488">
        <f t="shared" si="235"/>
        <v>0</v>
      </c>
      <c r="AY334" s="3235">
        <f t="shared" si="210"/>
        <v>0</v>
      </c>
      <c r="AZ334" s="3166">
        <f t="shared" si="211"/>
        <v>0</v>
      </c>
      <c r="BA334" s="3166">
        <f t="shared" si="212"/>
        <v>0</v>
      </c>
      <c r="BB334" s="3166">
        <f t="shared" si="213"/>
        <v>0</v>
      </c>
      <c r="BC334" s="3166">
        <f t="shared" si="214"/>
        <v>0</v>
      </c>
      <c r="BD334" s="3166">
        <f t="shared" si="215"/>
        <v>0</v>
      </c>
      <c r="BE334" s="3166">
        <f t="shared" si="216"/>
        <v>0</v>
      </c>
      <c r="BF334" s="3166">
        <f t="shared" si="217"/>
        <v>0</v>
      </c>
      <c r="BG334" s="3166">
        <f t="shared" si="218"/>
        <v>0</v>
      </c>
      <c r="BH334" s="3166">
        <f t="shared" si="219"/>
        <v>0</v>
      </c>
      <c r="BI334" s="3166">
        <f t="shared" si="220"/>
        <v>0</v>
      </c>
      <c r="BJ334" s="3166">
        <f t="shared" si="221"/>
        <v>0</v>
      </c>
      <c r="BK334" s="3166">
        <f t="shared" si="222"/>
        <v>0</v>
      </c>
      <c r="BL334" s="3166">
        <f t="shared" si="223"/>
        <v>0</v>
      </c>
      <c r="BM334" s="3166">
        <f t="shared" si="224"/>
        <v>0</v>
      </c>
      <c r="BN334" s="3166">
        <f t="shared" si="225"/>
        <v>0</v>
      </c>
      <c r="BO334" s="3166">
        <f t="shared" si="226"/>
        <v>0</v>
      </c>
      <c r="BP334" s="3166">
        <f t="shared" si="227"/>
        <v>0</v>
      </c>
      <c r="BQ334" s="3166">
        <f t="shared" si="228"/>
        <v>0</v>
      </c>
      <c r="BR334" s="3166">
        <f t="shared" si="229"/>
        <v>0</v>
      </c>
      <c r="BS334" s="3166">
        <f t="shared" si="230"/>
        <v>0</v>
      </c>
      <c r="BT334" s="3240">
        <f t="shared" si="231"/>
        <v>0</v>
      </c>
    </row>
    <row r="335" spans="1:72">
      <c r="A335" s="3163"/>
      <c r="B335" s="3164"/>
      <c r="C335" s="3164"/>
      <c r="D335" s="3176"/>
      <c r="E335" s="3166">
        <f t="shared" si="232"/>
        <v>0</v>
      </c>
      <c r="F335" s="3167"/>
      <c r="G335" s="3168">
        <f t="shared" si="207"/>
        <v>0</v>
      </c>
      <c r="H335" s="3169">
        <f t="shared" si="208"/>
        <v>0</v>
      </c>
      <c r="I335" s="3187"/>
      <c r="J335" s="3187"/>
      <c r="K335" s="3187"/>
      <c r="L335" s="3187"/>
      <c r="M335" s="3187"/>
      <c r="N335" s="3187"/>
      <c r="O335" s="3187"/>
      <c r="P335" s="3187"/>
      <c r="Q335" s="3187"/>
      <c r="R335" s="3187"/>
      <c r="S335" s="3187"/>
      <c r="T335" s="3187"/>
      <c r="U335" s="3187"/>
      <c r="V335" s="3187"/>
      <c r="W335" s="3187"/>
      <c r="X335" s="3187"/>
      <c r="Y335" s="3187"/>
      <c r="Z335" s="3187"/>
      <c r="AA335" s="3187"/>
      <c r="AB335" s="3187"/>
      <c r="AC335" s="3166">
        <f t="shared" si="209"/>
        <v>0</v>
      </c>
      <c r="AD335" s="3198"/>
      <c r="AE335" s="3198"/>
      <c r="AF335" s="3198"/>
      <c r="AG335" s="3198"/>
      <c r="AH335" s="3198"/>
      <c r="AI335" s="3198"/>
      <c r="AJ335" s="3198"/>
      <c r="AK335" s="3198"/>
      <c r="AL335" s="3198"/>
      <c r="AM335" s="3198"/>
      <c r="AN335" s="3198"/>
      <c r="AO335" s="3198"/>
      <c r="AP335" s="3198"/>
      <c r="AQ335" s="3198"/>
      <c r="AR335" s="3198"/>
      <c r="AS335" s="3198"/>
      <c r="AT335" s="3218"/>
      <c r="AU335" s="3219"/>
      <c r="AV335" s="488">
        <f t="shared" si="233"/>
        <v>0</v>
      </c>
      <c r="AW335" s="488">
        <f t="shared" si="234"/>
        <v>0</v>
      </c>
      <c r="AX335" s="488">
        <f t="shared" si="235"/>
        <v>0</v>
      </c>
      <c r="AY335" s="3235">
        <f t="shared" si="210"/>
        <v>0</v>
      </c>
      <c r="AZ335" s="3166">
        <f t="shared" si="211"/>
        <v>0</v>
      </c>
      <c r="BA335" s="3166">
        <f t="shared" si="212"/>
        <v>0</v>
      </c>
      <c r="BB335" s="3166">
        <f t="shared" si="213"/>
        <v>0</v>
      </c>
      <c r="BC335" s="3166">
        <f t="shared" si="214"/>
        <v>0</v>
      </c>
      <c r="BD335" s="3166">
        <f t="shared" si="215"/>
        <v>0</v>
      </c>
      <c r="BE335" s="3166">
        <f t="shared" si="216"/>
        <v>0</v>
      </c>
      <c r="BF335" s="3166">
        <f t="shared" si="217"/>
        <v>0</v>
      </c>
      <c r="BG335" s="3166">
        <f t="shared" si="218"/>
        <v>0</v>
      </c>
      <c r="BH335" s="3166">
        <f t="shared" si="219"/>
        <v>0</v>
      </c>
      <c r="BI335" s="3166">
        <f t="shared" si="220"/>
        <v>0</v>
      </c>
      <c r="BJ335" s="3166">
        <f t="shared" si="221"/>
        <v>0</v>
      </c>
      <c r="BK335" s="3166">
        <f t="shared" si="222"/>
        <v>0</v>
      </c>
      <c r="BL335" s="3166">
        <f t="shared" si="223"/>
        <v>0</v>
      </c>
      <c r="BM335" s="3166">
        <f t="shared" si="224"/>
        <v>0</v>
      </c>
      <c r="BN335" s="3166">
        <f t="shared" si="225"/>
        <v>0</v>
      </c>
      <c r="BO335" s="3166">
        <f t="shared" si="226"/>
        <v>0</v>
      </c>
      <c r="BP335" s="3166">
        <f t="shared" si="227"/>
        <v>0</v>
      </c>
      <c r="BQ335" s="3166">
        <f t="shared" si="228"/>
        <v>0</v>
      </c>
      <c r="BR335" s="3166">
        <f t="shared" si="229"/>
        <v>0</v>
      </c>
      <c r="BS335" s="3166">
        <f t="shared" si="230"/>
        <v>0</v>
      </c>
      <c r="BT335" s="3240">
        <f t="shared" si="231"/>
        <v>0</v>
      </c>
    </row>
    <row r="336" spans="1:72">
      <c r="A336" s="3163"/>
      <c r="B336" s="3164"/>
      <c r="C336" s="3164"/>
      <c r="D336" s="3176"/>
      <c r="E336" s="3166">
        <f t="shared" si="232"/>
        <v>0</v>
      </c>
      <c r="F336" s="3167"/>
      <c r="G336" s="3168">
        <f t="shared" si="207"/>
        <v>0</v>
      </c>
      <c r="H336" s="3169">
        <f t="shared" si="208"/>
        <v>0</v>
      </c>
      <c r="I336" s="3187"/>
      <c r="J336" s="3187"/>
      <c r="K336" s="3187"/>
      <c r="L336" s="3187"/>
      <c r="M336" s="3187"/>
      <c r="N336" s="3187"/>
      <c r="O336" s="3187"/>
      <c r="P336" s="3187"/>
      <c r="Q336" s="3187"/>
      <c r="R336" s="3187"/>
      <c r="S336" s="3187"/>
      <c r="T336" s="3187"/>
      <c r="U336" s="3187"/>
      <c r="V336" s="3187"/>
      <c r="W336" s="3187"/>
      <c r="X336" s="3187"/>
      <c r="Y336" s="3187"/>
      <c r="Z336" s="3187"/>
      <c r="AA336" s="3187"/>
      <c r="AB336" s="3187"/>
      <c r="AC336" s="3166">
        <f t="shared" si="209"/>
        <v>0</v>
      </c>
      <c r="AD336" s="3198"/>
      <c r="AE336" s="3198"/>
      <c r="AF336" s="3198"/>
      <c r="AG336" s="3198"/>
      <c r="AH336" s="3198"/>
      <c r="AI336" s="3198"/>
      <c r="AJ336" s="3198"/>
      <c r="AK336" s="3198"/>
      <c r="AL336" s="3198"/>
      <c r="AM336" s="3198"/>
      <c r="AN336" s="3198"/>
      <c r="AO336" s="3198"/>
      <c r="AP336" s="3198"/>
      <c r="AQ336" s="3198"/>
      <c r="AR336" s="3198"/>
      <c r="AS336" s="3198"/>
      <c r="AT336" s="3218"/>
      <c r="AU336" s="3219"/>
      <c r="AV336" s="488">
        <f t="shared" si="233"/>
        <v>0</v>
      </c>
      <c r="AW336" s="488">
        <f t="shared" si="234"/>
        <v>0</v>
      </c>
      <c r="AX336" s="488">
        <f t="shared" si="235"/>
        <v>0</v>
      </c>
      <c r="AY336" s="3235">
        <f t="shared" si="210"/>
        <v>0</v>
      </c>
      <c r="AZ336" s="3166">
        <f t="shared" si="211"/>
        <v>0</v>
      </c>
      <c r="BA336" s="3166">
        <f t="shared" si="212"/>
        <v>0</v>
      </c>
      <c r="BB336" s="3166">
        <f t="shared" si="213"/>
        <v>0</v>
      </c>
      <c r="BC336" s="3166">
        <f t="shared" si="214"/>
        <v>0</v>
      </c>
      <c r="BD336" s="3166">
        <f t="shared" si="215"/>
        <v>0</v>
      </c>
      <c r="BE336" s="3166">
        <f t="shared" si="216"/>
        <v>0</v>
      </c>
      <c r="BF336" s="3166">
        <f t="shared" si="217"/>
        <v>0</v>
      </c>
      <c r="BG336" s="3166">
        <f t="shared" si="218"/>
        <v>0</v>
      </c>
      <c r="BH336" s="3166">
        <f t="shared" si="219"/>
        <v>0</v>
      </c>
      <c r="BI336" s="3166">
        <f t="shared" si="220"/>
        <v>0</v>
      </c>
      <c r="BJ336" s="3166">
        <f t="shared" si="221"/>
        <v>0</v>
      </c>
      <c r="BK336" s="3166">
        <f t="shared" si="222"/>
        <v>0</v>
      </c>
      <c r="BL336" s="3166">
        <f t="shared" si="223"/>
        <v>0</v>
      </c>
      <c r="BM336" s="3166">
        <f t="shared" si="224"/>
        <v>0</v>
      </c>
      <c r="BN336" s="3166">
        <f t="shared" si="225"/>
        <v>0</v>
      </c>
      <c r="BO336" s="3166">
        <f t="shared" si="226"/>
        <v>0</v>
      </c>
      <c r="BP336" s="3166">
        <f t="shared" si="227"/>
        <v>0</v>
      </c>
      <c r="BQ336" s="3166">
        <f t="shared" si="228"/>
        <v>0</v>
      </c>
      <c r="BR336" s="3166">
        <f t="shared" si="229"/>
        <v>0</v>
      </c>
      <c r="BS336" s="3166">
        <f t="shared" si="230"/>
        <v>0</v>
      </c>
      <c r="BT336" s="3240">
        <f t="shared" si="231"/>
        <v>0</v>
      </c>
    </row>
    <row r="337" spans="1:72">
      <c r="A337" s="3163"/>
      <c r="B337" s="3164"/>
      <c r="C337" s="3164"/>
      <c r="D337" s="3176"/>
      <c r="E337" s="3166">
        <f t="shared" si="232"/>
        <v>0</v>
      </c>
      <c r="F337" s="3167"/>
      <c r="G337" s="3168">
        <f t="shared" si="207"/>
        <v>0</v>
      </c>
      <c r="H337" s="3169">
        <f t="shared" si="208"/>
        <v>0</v>
      </c>
      <c r="I337" s="3187"/>
      <c r="J337" s="3187"/>
      <c r="K337" s="3187"/>
      <c r="L337" s="3187"/>
      <c r="M337" s="3187"/>
      <c r="N337" s="3187"/>
      <c r="O337" s="3187"/>
      <c r="P337" s="3187"/>
      <c r="Q337" s="3187"/>
      <c r="R337" s="3187"/>
      <c r="S337" s="3187"/>
      <c r="T337" s="3187"/>
      <c r="U337" s="3187"/>
      <c r="V337" s="3187"/>
      <c r="W337" s="3187"/>
      <c r="X337" s="3187"/>
      <c r="Y337" s="3187"/>
      <c r="Z337" s="3187"/>
      <c r="AA337" s="3187"/>
      <c r="AB337" s="3187"/>
      <c r="AC337" s="3166">
        <f t="shared" si="209"/>
        <v>0</v>
      </c>
      <c r="AD337" s="3198"/>
      <c r="AE337" s="3198"/>
      <c r="AF337" s="3198"/>
      <c r="AG337" s="3198"/>
      <c r="AH337" s="3198"/>
      <c r="AI337" s="3198"/>
      <c r="AJ337" s="3198"/>
      <c r="AK337" s="3198"/>
      <c r="AL337" s="3198"/>
      <c r="AM337" s="3198"/>
      <c r="AN337" s="3198"/>
      <c r="AO337" s="3198"/>
      <c r="AP337" s="3198"/>
      <c r="AQ337" s="3198"/>
      <c r="AR337" s="3198"/>
      <c r="AS337" s="3198"/>
      <c r="AT337" s="3218"/>
      <c r="AU337" s="3219"/>
      <c r="AV337" s="488">
        <f t="shared" si="233"/>
        <v>0</v>
      </c>
      <c r="AW337" s="488">
        <f t="shared" si="234"/>
        <v>0</v>
      </c>
      <c r="AX337" s="488">
        <f t="shared" si="235"/>
        <v>0</v>
      </c>
      <c r="AY337" s="3235">
        <f t="shared" si="210"/>
        <v>0</v>
      </c>
      <c r="AZ337" s="3166">
        <f t="shared" si="211"/>
        <v>0</v>
      </c>
      <c r="BA337" s="3166">
        <f t="shared" si="212"/>
        <v>0</v>
      </c>
      <c r="BB337" s="3166">
        <f t="shared" si="213"/>
        <v>0</v>
      </c>
      <c r="BC337" s="3166">
        <f t="shared" si="214"/>
        <v>0</v>
      </c>
      <c r="BD337" s="3166">
        <f t="shared" si="215"/>
        <v>0</v>
      </c>
      <c r="BE337" s="3166">
        <f t="shared" si="216"/>
        <v>0</v>
      </c>
      <c r="BF337" s="3166">
        <f t="shared" si="217"/>
        <v>0</v>
      </c>
      <c r="BG337" s="3166">
        <f t="shared" si="218"/>
        <v>0</v>
      </c>
      <c r="BH337" s="3166">
        <f t="shared" si="219"/>
        <v>0</v>
      </c>
      <c r="BI337" s="3166">
        <f t="shared" si="220"/>
        <v>0</v>
      </c>
      <c r="BJ337" s="3166">
        <f t="shared" si="221"/>
        <v>0</v>
      </c>
      <c r="BK337" s="3166">
        <f t="shared" si="222"/>
        <v>0</v>
      </c>
      <c r="BL337" s="3166">
        <f t="shared" si="223"/>
        <v>0</v>
      </c>
      <c r="BM337" s="3166">
        <f t="shared" si="224"/>
        <v>0</v>
      </c>
      <c r="BN337" s="3166">
        <f t="shared" si="225"/>
        <v>0</v>
      </c>
      <c r="BO337" s="3166">
        <f t="shared" si="226"/>
        <v>0</v>
      </c>
      <c r="BP337" s="3166">
        <f t="shared" si="227"/>
        <v>0</v>
      </c>
      <c r="BQ337" s="3166">
        <f t="shared" si="228"/>
        <v>0</v>
      </c>
      <c r="BR337" s="3166">
        <f t="shared" si="229"/>
        <v>0</v>
      </c>
      <c r="BS337" s="3166">
        <f t="shared" si="230"/>
        <v>0</v>
      </c>
      <c r="BT337" s="3240">
        <f t="shared" si="231"/>
        <v>0</v>
      </c>
    </row>
    <row r="338" spans="1:72">
      <c r="A338" s="3163"/>
      <c r="B338" s="3164"/>
      <c r="C338" s="3164"/>
      <c r="D338" s="3176"/>
      <c r="E338" s="3166">
        <f t="shared" si="232"/>
        <v>0</v>
      </c>
      <c r="F338" s="3167"/>
      <c r="G338" s="3168">
        <f t="shared" si="207"/>
        <v>0</v>
      </c>
      <c r="H338" s="3169">
        <f t="shared" si="208"/>
        <v>0</v>
      </c>
      <c r="I338" s="3187"/>
      <c r="J338" s="3187"/>
      <c r="K338" s="3187"/>
      <c r="L338" s="3187"/>
      <c r="M338" s="3187"/>
      <c r="N338" s="3187"/>
      <c r="O338" s="3187"/>
      <c r="P338" s="3187"/>
      <c r="Q338" s="3187"/>
      <c r="R338" s="3187"/>
      <c r="S338" s="3187"/>
      <c r="T338" s="3187"/>
      <c r="U338" s="3187"/>
      <c r="V338" s="3187"/>
      <c r="W338" s="3187"/>
      <c r="X338" s="3187"/>
      <c r="Y338" s="3187"/>
      <c r="Z338" s="3187"/>
      <c r="AA338" s="3187"/>
      <c r="AB338" s="3187"/>
      <c r="AC338" s="3166">
        <f t="shared" si="209"/>
        <v>0</v>
      </c>
      <c r="AD338" s="3198"/>
      <c r="AE338" s="3198"/>
      <c r="AF338" s="3198"/>
      <c r="AG338" s="3198"/>
      <c r="AH338" s="3198"/>
      <c r="AI338" s="3198"/>
      <c r="AJ338" s="3198"/>
      <c r="AK338" s="3198"/>
      <c r="AL338" s="3198"/>
      <c r="AM338" s="3198"/>
      <c r="AN338" s="3198"/>
      <c r="AO338" s="3198"/>
      <c r="AP338" s="3198"/>
      <c r="AQ338" s="3198"/>
      <c r="AR338" s="3198"/>
      <c r="AS338" s="3198"/>
      <c r="AT338" s="3218"/>
      <c r="AU338" s="3219"/>
      <c r="AV338" s="488">
        <f t="shared" si="233"/>
        <v>0</v>
      </c>
      <c r="AW338" s="488">
        <f t="shared" si="234"/>
        <v>0</v>
      </c>
      <c r="AX338" s="488">
        <f t="shared" si="235"/>
        <v>0</v>
      </c>
      <c r="AY338" s="3235">
        <f t="shared" si="210"/>
        <v>0</v>
      </c>
      <c r="AZ338" s="3166">
        <f t="shared" si="211"/>
        <v>0</v>
      </c>
      <c r="BA338" s="3166">
        <f t="shared" si="212"/>
        <v>0</v>
      </c>
      <c r="BB338" s="3166">
        <f t="shared" si="213"/>
        <v>0</v>
      </c>
      <c r="BC338" s="3166">
        <f t="shared" si="214"/>
        <v>0</v>
      </c>
      <c r="BD338" s="3166">
        <f t="shared" si="215"/>
        <v>0</v>
      </c>
      <c r="BE338" s="3166">
        <f t="shared" si="216"/>
        <v>0</v>
      </c>
      <c r="BF338" s="3166">
        <f t="shared" si="217"/>
        <v>0</v>
      </c>
      <c r="BG338" s="3166">
        <f t="shared" si="218"/>
        <v>0</v>
      </c>
      <c r="BH338" s="3166">
        <f t="shared" si="219"/>
        <v>0</v>
      </c>
      <c r="BI338" s="3166">
        <f t="shared" si="220"/>
        <v>0</v>
      </c>
      <c r="BJ338" s="3166">
        <f t="shared" si="221"/>
        <v>0</v>
      </c>
      <c r="BK338" s="3166">
        <f t="shared" si="222"/>
        <v>0</v>
      </c>
      <c r="BL338" s="3166">
        <f t="shared" si="223"/>
        <v>0</v>
      </c>
      <c r="BM338" s="3166">
        <f t="shared" si="224"/>
        <v>0</v>
      </c>
      <c r="BN338" s="3166">
        <f t="shared" si="225"/>
        <v>0</v>
      </c>
      <c r="BO338" s="3166">
        <f t="shared" si="226"/>
        <v>0</v>
      </c>
      <c r="BP338" s="3166">
        <f t="shared" si="227"/>
        <v>0</v>
      </c>
      <c r="BQ338" s="3166">
        <f t="shared" si="228"/>
        <v>0</v>
      </c>
      <c r="BR338" s="3166">
        <f t="shared" si="229"/>
        <v>0</v>
      </c>
      <c r="BS338" s="3166">
        <f t="shared" si="230"/>
        <v>0</v>
      </c>
      <c r="BT338" s="3240">
        <f t="shared" si="231"/>
        <v>0</v>
      </c>
    </row>
    <row r="339" spans="1:72">
      <c r="A339" s="3163"/>
      <c r="B339" s="3164"/>
      <c r="C339" s="3164"/>
      <c r="D339" s="3176"/>
      <c r="E339" s="3166">
        <f t="shared" si="232"/>
        <v>0</v>
      </c>
      <c r="F339" s="3167"/>
      <c r="G339" s="3168">
        <f t="shared" si="207"/>
        <v>0</v>
      </c>
      <c r="H339" s="3169">
        <f t="shared" si="208"/>
        <v>0</v>
      </c>
      <c r="I339" s="3187"/>
      <c r="J339" s="3187"/>
      <c r="K339" s="3187"/>
      <c r="L339" s="3187"/>
      <c r="M339" s="3187"/>
      <c r="N339" s="3187"/>
      <c r="O339" s="3187"/>
      <c r="P339" s="3187"/>
      <c r="Q339" s="3187"/>
      <c r="R339" s="3187"/>
      <c r="S339" s="3187"/>
      <c r="T339" s="3187"/>
      <c r="U339" s="3187"/>
      <c r="V339" s="3187"/>
      <c r="W339" s="3187"/>
      <c r="X339" s="3187"/>
      <c r="Y339" s="3187"/>
      <c r="Z339" s="3187"/>
      <c r="AA339" s="3187"/>
      <c r="AB339" s="3187"/>
      <c r="AC339" s="3166">
        <f t="shared" si="209"/>
        <v>0</v>
      </c>
      <c r="AD339" s="3198"/>
      <c r="AE339" s="3198"/>
      <c r="AF339" s="3198"/>
      <c r="AG339" s="3198"/>
      <c r="AH339" s="3198"/>
      <c r="AI339" s="3198"/>
      <c r="AJ339" s="3198"/>
      <c r="AK339" s="3198"/>
      <c r="AL339" s="3198"/>
      <c r="AM339" s="3198"/>
      <c r="AN339" s="3198"/>
      <c r="AO339" s="3198"/>
      <c r="AP339" s="3198"/>
      <c r="AQ339" s="3198"/>
      <c r="AR339" s="3198"/>
      <c r="AS339" s="3198"/>
      <c r="AT339" s="3218"/>
      <c r="AU339" s="3219"/>
      <c r="AV339" s="488">
        <f t="shared" si="233"/>
        <v>0</v>
      </c>
      <c r="AW339" s="488">
        <f t="shared" si="234"/>
        <v>0</v>
      </c>
      <c r="AX339" s="488">
        <f t="shared" si="235"/>
        <v>0</v>
      </c>
      <c r="AY339" s="3235">
        <f t="shared" si="210"/>
        <v>0</v>
      </c>
      <c r="AZ339" s="3166">
        <f t="shared" si="211"/>
        <v>0</v>
      </c>
      <c r="BA339" s="3166">
        <f t="shared" si="212"/>
        <v>0</v>
      </c>
      <c r="BB339" s="3166">
        <f t="shared" si="213"/>
        <v>0</v>
      </c>
      <c r="BC339" s="3166">
        <f t="shared" si="214"/>
        <v>0</v>
      </c>
      <c r="BD339" s="3166">
        <f t="shared" si="215"/>
        <v>0</v>
      </c>
      <c r="BE339" s="3166">
        <f t="shared" si="216"/>
        <v>0</v>
      </c>
      <c r="BF339" s="3166">
        <f t="shared" si="217"/>
        <v>0</v>
      </c>
      <c r="BG339" s="3166">
        <f t="shared" si="218"/>
        <v>0</v>
      </c>
      <c r="BH339" s="3166">
        <f t="shared" si="219"/>
        <v>0</v>
      </c>
      <c r="BI339" s="3166">
        <f t="shared" si="220"/>
        <v>0</v>
      </c>
      <c r="BJ339" s="3166">
        <f t="shared" si="221"/>
        <v>0</v>
      </c>
      <c r="BK339" s="3166">
        <f t="shared" si="222"/>
        <v>0</v>
      </c>
      <c r="BL339" s="3166">
        <f t="shared" si="223"/>
        <v>0</v>
      </c>
      <c r="BM339" s="3166">
        <f t="shared" si="224"/>
        <v>0</v>
      </c>
      <c r="BN339" s="3166">
        <f t="shared" si="225"/>
        <v>0</v>
      </c>
      <c r="BO339" s="3166">
        <f t="shared" si="226"/>
        <v>0</v>
      </c>
      <c r="BP339" s="3166">
        <f t="shared" si="227"/>
        <v>0</v>
      </c>
      <c r="BQ339" s="3166">
        <f t="shared" si="228"/>
        <v>0</v>
      </c>
      <c r="BR339" s="3166">
        <f t="shared" si="229"/>
        <v>0</v>
      </c>
      <c r="BS339" s="3166">
        <f t="shared" si="230"/>
        <v>0</v>
      </c>
      <c r="BT339" s="3240">
        <f t="shared" si="231"/>
        <v>0</v>
      </c>
    </row>
    <row r="340" spans="1:72">
      <c r="A340" s="3163"/>
      <c r="B340" s="3164"/>
      <c r="C340" s="3164"/>
      <c r="D340" s="3176"/>
      <c r="E340" s="3166">
        <f t="shared" si="232"/>
        <v>0</v>
      </c>
      <c r="F340" s="3167"/>
      <c r="G340" s="3168">
        <f t="shared" si="207"/>
        <v>0</v>
      </c>
      <c r="H340" s="3169">
        <f t="shared" si="208"/>
        <v>0</v>
      </c>
      <c r="I340" s="3187"/>
      <c r="J340" s="3187"/>
      <c r="K340" s="3187"/>
      <c r="L340" s="3187"/>
      <c r="M340" s="3187"/>
      <c r="N340" s="3187"/>
      <c r="O340" s="3187"/>
      <c r="P340" s="3187"/>
      <c r="Q340" s="3187"/>
      <c r="R340" s="3187"/>
      <c r="S340" s="3187"/>
      <c r="T340" s="3187"/>
      <c r="U340" s="3187"/>
      <c r="V340" s="3187"/>
      <c r="W340" s="3187"/>
      <c r="X340" s="3187"/>
      <c r="Y340" s="3187"/>
      <c r="Z340" s="3187"/>
      <c r="AA340" s="3187"/>
      <c r="AB340" s="3187"/>
      <c r="AC340" s="3166">
        <f t="shared" si="209"/>
        <v>0</v>
      </c>
      <c r="AD340" s="3198"/>
      <c r="AE340" s="3198"/>
      <c r="AF340" s="3198"/>
      <c r="AG340" s="3198"/>
      <c r="AH340" s="3198"/>
      <c r="AI340" s="3198"/>
      <c r="AJ340" s="3198"/>
      <c r="AK340" s="3198"/>
      <c r="AL340" s="3198"/>
      <c r="AM340" s="3198"/>
      <c r="AN340" s="3198"/>
      <c r="AO340" s="3198"/>
      <c r="AP340" s="3198"/>
      <c r="AQ340" s="3198"/>
      <c r="AR340" s="3198"/>
      <c r="AS340" s="3198"/>
      <c r="AT340" s="3218"/>
      <c r="AU340" s="3219"/>
      <c r="AV340" s="488">
        <f t="shared" si="233"/>
        <v>0</v>
      </c>
      <c r="AW340" s="488">
        <f t="shared" si="234"/>
        <v>0</v>
      </c>
      <c r="AX340" s="488">
        <f t="shared" si="235"/>
        <v>0</v>
      </c>
      <c r="AY340" s="3235">
        <f t="shared" si="210"/>
        <v>0</v>
      </c>
      <c r="AZ340" s="3166">
        <f t="shared" si="211"/>
        <v>0</v>
      </c>
      <c r="BA340" s="3166">
        <f t="shared" si="212"/>
        <v>0</v>
      </c>
      <c r="BB340" s="3166">
        <f t="shared" si="213"/>
        <v>0</v>
      </c>
      <c r="BC340" s="3166">
        <f t="shared" si="214"/>
        <v>0</v>
      </c>
      <c r="BD340" s="3166">
        <f t="shared" si="215"/>
        <v>0</v>
      </c>
      <c r="BE340" s="3166">
        <f t="shared" si="216"/>
        <v>0</v>
      </c>
      <c r="BF340" s="3166">
        <f t="shared" si="217"/>
        <v>0</v>
      </c>
      <c r="BG340" s="3166">
        <f t="shared" si="218"/>
        <v>0</v>
      </c>
      <c r="BH340" s="3166">
        <f t="shared" si="219"/>
        <v>0</v>
      </c>
      <c r="BI340" s="3166">
        <f t="shared" si="220"/>
        <v>0</v>
      </c>
      <c r="BJ340" s="3166">
        <f t="shared" si="221"/>
        <v>0</v>
      </c>
      <c r="BK340" s="3166">
        <f t="shared" si="222"/>
        <v>0</v>
      </c>
      <c r="BL340" s="3166">
        <f t="shared" si="223"/>
        <v>0</v>
      </c>
      <c r="BM340" s="3166">
        <f t="shared" si="224"/>
        <v>0</v>
      </c>
      <c r="BN340" s="3166">
        <f t="shared" si="225"/>
        <v>0</v>
      </c>
      <c r="BO340" s="3166">
        <f t="shared" si="226"/>
        <v>0</v>
      </c>
      <c r="BP340" s="3166">
        <f t="shared" si="227"/>
        <v>0</v>
      </c>
      <c r="BQ340" s="3166">
        <f t="shared" si="228"/>
        <v>0</v>
      </c>
      <c r="BR340" s="3166">
        <f t="shared" si="229"/>
        <v>0</v>
      </c>
      <c r="BS340" s="3166">
        <f t="shared" si="230"/>
        <v>0</v>
      </c>
      <c r="BT340" s="3240">
        <f t="shared" si="231"/>
        <v>0</v>
      </c>
    </row>
    <row r="341" spans="1:72">
      <c r="A341" s="3163"/>
      <c r="B341" s="3164"/>
      <c r="C341" s="3164"/>
      <c r="D341" s="3176"/>
      <c r="E341" s="3166">
        <f t="shared" si="232"/>
        <v>0</v>
      </c>
      <c r="F341" s="3167"/>
      <c r="G341" s="3168">
        <f t="shared" si="207"/>
        <v>0</v>
      </c>
      <c r="H341" s="3169">
        <f t="shared" si="208"/>
        <v>0</v>
      </c>
      <c r="I341" s="3187"/>
      <c r="J341" s="3187"/>
      <c r="K341" s="3187"/>
      <c r="L341" s="3187"/>
      <c r="M341" s="3187"/>
      <c r="N341" s="3187"/>
      <c r="O341" s="3187"/>
      <c r="P341" s="3187"/>
      <c r="Q341" s="3187"/>
      <c r="R341" s="3187"/>
      <c r="S341" s="3187"/>
      <c r="T341" s="3187"/>
      <c r="U341" s="3187"/>
      <c r="V341" s="3187"/>
      <c r="W341" s="3187"/>
      <c r="X341" s="3187"/>
      <c r="Y341" s="3187"/>
      <c r="Z341" s="3187"/>
      <c r="AA341" s="3187"/>
      <c r="AB341" s="3187"/>
      <c r="AC341" s="3166">
        <f t="shared" si="209"/>
        <v>0</v>
      </c>
      <c r="AD341" s="3198"/>
      <c r="AE341" s="3198"/>
      <c r="AF341" s="3198"/>
      <c r="AG341" s="3198"/>
      <c r="AH341" s="3198"/>
      <c r="AI341" s="3198"/>
      <c r="AJ341" s="3198"/>
      <c r="AK341" s="3198"/>
      <c r="AL341" s="3198"/>
      <c r="AM341" s="3198"/>
      <c r="AN341" s="3198"/>
      <c r="AO341" s="3198"/>
      <c r="AP341" s="3198"/>
      <c r="AQ341" s="3198"/>
      <c r="AR341" s="3198"/>
      <c r="AS341" s="3198"/>
      <c r="AT341" s="3218"/>
      <c r="AU341" s="3219"/>
      <c r="AV341" s="488">
        <f t="shared" si="233"/>
        <v>0</v>
      </c>
      <c r="AW341" s="488">
        <f t="shared" si="234"/>
        <v>0</v>
      </c>
      <c r="AX341" s="488">
        <f t="shared" si="235"/>
        <v>0</v>
      </c>
      <c r="AY341" s="3235">
        <f t="shared" si="210"/>
        <v>0</v>
      </c>
      <c r="AZ341" s="3166">
        <f t="shared" si="211"/>
        <v>0</v>
      </c>
      <c r="BA341" s="3166">
        <f t="shared" si="212"/>
        <v>0</v>
      </c>
      <c r="BB341" s="3166">
        <f t="shared" si="213"/>
        <v>0</v>
      </c>
      <c r="BC341" s="3166">
        <f t="shared" si="214"/>
        <v>0</v>
      </c>
      <c r="BD341" s="3166">
        <f t="shared" si="215"/>
        <v>0</v>
      </c>
      <c r="BE341" s="3166">
        <f t="shared" si="216"/>
        <v>0</v>
      </c>
      <c r="BF341" s="3166">
        <f t="shared" si="217"/>
        <v>0</v>
      </c>
      <c r="BG341" s="3166">
        <f t="shared" si="218"/>
        <v>0</v>
      </c>
      <c r="BH341" s="3166">
        <f t="shared" si="219"/>
        <v>0</v>
      </c>
      <c r="BI341" s="3166">
        <f t="shared" si="220"/>
        <v>0</v>
      </c>
      <c r="BJ341" s="3166">
        <f t="shared" si="221"/>
        <v>0</v>
      </c>
      <c r="BK341" s="3166">
        <f t="shared" si="222"/>
        <v>0</v>
      </c>
      <c r="BL341" s="3166">
        <f t="shared" si="223"/>
        <v>0</v>
      </c>
      <c r="BM341" s="3166">
        <f t="shared" si="224"/>
        <v>0</v>
      </c>
      <c r="BN341" s="3166">
        <f t="shared" si="225"/>
        <v>0</v>
      </c>
      <c r="BO341" s="3166">
        <f t="shared" si="226"/>
        <v>0</v>
      </c>
      <c r="BP341" s="3166">
        <f t="shared" si="227"/>
        <v>0</v>
      </c>
      <c r="BQ341" s="3166">
        <f t="shared" si="228"/>
        <v>0</v>
      </c>
      <c r="BR341" s="3166">
        <f t="shared" si="229"/>
        <v>0</v>
      </c>
      <c r="BS341" s="3166">
        <f t="shared" si="230"/>
        <v>0</v>
      </c>
      <c r="BT341" s="3240">
        <f t="shared" si="231"/>
        <v>0</v>
      </c>
    </row>
    <row r="342" spans="1:72">
      <c r="A342" s="3163"/>
      <c r="B342" s="3164"/>
      <c r="C342" s="3164"/>
      <c r="D342" s="3176"/>
      <c r="E342" s="3166">
        <f t="shared" si="232"/>
        <v>0</v>
      </c>
      <c r="F342" s="3167"/>
      <c r="G342" s="3168">
        <f t="shared" si="207"/>
        <v>0</v>
      </c>
      <c r="H342" s="3169">
        <f t="shared" si="208"/>
        <v>0</v>
      </c>
      <c r="I342" s="3187"/>
      <c r="J342" s="3187"/>
      <c r="K342" s="3187"/>
      <c r="L342" s="3187"/>
      <c r="M342" s="3187"/>
      <c r="N342" s="3187"/>
      <c r="O342" s="3187"/>
      <c r="P342" s="3187"/>
      <c r="Q342" s="3187"/>
      <c r="R342" s="3187"/>
      <c r="S342" s="3187"/>
      <c r="T342" s="3187"/>
      <c r="U342" s="3187"/>
      <c r="V342" s="3187"/>
      <c r="W342" s="3187"/>
      <c r="X342" s="3187"/>
      <c r="Y342" s="3187"/>
      <c r="Z342" s="3187"/>
      <c r="AA342" s="3187"/>
      <c r="AB342" s="3187"/>
      <c r="AC342" s="3166">
        <f t="shared" si="209"/>
        <v>0</v>
      </c>
      <c r="AD342" s="3198"/>
      <c r="AE342" s="3198"/>
      <c r="AF342" s="3198"/>
      <c r="AG342" s="3198"/>
      <c r="AH342" s="3198"/>
      <c r="AI342" s="3198"/>
      <c r="AJ342" s="3198"/>
      <c r="AK342" s="3198"/>
      <c r="AL342" s="3198"/>
      <c r="AM342" s="3198"/>
      <c r="AN342" s="3198"/>
      <c r="AO342" s="3198"/>
      <c r="AP342" s="3198"/>
      <c r="AQ342" s="3198"/>
      <c r="AR342" s="3198"/>
      <c r="AS342" s="3198"/>
      <c r="AT342" s="3218"/>
      <c r="AU342" s="3219"/>
      <c r="AV342" s="488">
        <f t="shared" si="233"/>
        <v>0</v>
      </c>
      <c r="AW342" s="488">
        <f t="shared" si="234"/>
        <v>0</v>
      </c>
      <c r="AX342" s="488">
        <f t="shared" si="235"/>
        <v>0</v>
      </c>
      <c r="AY342" s="3235">
        <f t="shared" si="210"/>
        <v>0</v>
      </c>
      <c r="AZ342" s="3166">
        <f t="shared" si="211"/>
        <v>0</v>
      </c>
      <c r="BA342" s="3166">
        <f t="shared" si="212"/>
        <v>0</v>
      </c>
      <c r="BB342" s="3166">
        <f t="shared" si="213"/>
        <v>0</v>
      </c>
      <c r="BC342" s="3166">
        <f t="shared" si="214"/>
        <v>0</v>
      </c>
      <c r="BD342" s="3166">
        <f t="shared" si="215"/>
        <v>0</v>
      </c>
      <c r="BE342" s="3166">
        <f t="shared" si="216"/>
        <v>0</v>
      </c>
      <c r="BF342" s="3166">
        <f t="shared" si="217"/>
        <v>0</v>
      </c>
      <c r="BG342" s="3166">
        <f t="shared" si="218"/>
        <v>0</v>
      </c>
      <c r="BH342" s="3166">
        <f t="shared" si="219"/>
        <v>0</v>
      </c>
      <c r="BI342" s="3166">
        <f t="shared" si="220"/>
        <v>0</v>
      </c>
      <c r="BJ342" s="3166">
        <f t="shared" si="221"/>
        <v>0</v>
      </c>
      <c r="BK342" s="3166">
        <f t="shared" si="222"/>
        <v>0</v>
      </c>
      <c r="BL342" s="3166">
        <f t="shared" si="223"/>
        <v>0</v>
      </c>
      <c r="BM342" s="3166">
        <f t="shared" si="224"/>
        <v>0</v>
      </c>
      <c r="BN342" s="3166">
        <f t="shared" si="225"/>
        <v>0</v>
      </c>
      <c r="BO342" s="3166">
        <f t="shared" si="226"/>
        <v>0</v>
      </c>
      <c r="BP342" s="3166">
        <f t="shared" si="227"/>
        <v>0</v>
      </c>
      <c r="BQ342" s="3166">
        <f t="shared" si="228"/>
        <v>0</v>
      </c>
      <c r="BR342" s="3166">
        <f t="shared" si="229"/>
        <v>0</v>
      </c>
      <c r="BS342" s="3166">
        <f t="shared" si="230"/>
        <v>0</v>
      </c>
      <c r="BT342" s="3240">
        <f t="shared" si="231"/>
        <v>0</v>
      </c>
    </row>
    <row r="343" spans="1:72">
      <c r="A343" s="3163"/>
      <c r="B343" s="3164"/>
      <c r="C343" s="3164"/>
      <c r="D343" s="3176"/>
      <c r="E343" s="3166">
        <f t="shared" si="232"/>
        <v>0</v>
      </c>
      <c r="F343" s="3167"/>
      <c r="G343" s="3168">
        <f t="shared" si="207"/>
        <v>0</v>
      </c>
      <c r="H343" s="3169">
        <f t="shared" si="208"/>
        <v>0</v>
      </c>
      <c r="I343" s="3187"/>
      <c r="J343" s="3187"/>
      <c r="K343" s="3187"/>
      <c r="L343" s="3187"/>
      <c r="M343" s="3187"/>
      <c r="N343" s="3187"/>
      <c r="O343" s="3187"/>
      <c r="P343" s="3187"/>
      <c r="Q343" s="3187"/>
      <c r="R343" s="3187"/>
      <c r="S343" s="3187"/>
      <c r="T343" s="3187"/>
      <c r="U343" s="3187"/>
      <c r="V343" s="3187"/>
      <c r="W343" s="3187"/>
      <c r="X343" s="3187"/>
      <c r="Y343" s="3187"/>
      <c r="Z343" s="3187"/>
      <c r="AA343" s="3187"/>
      <c r="AB343" s="3187"/>
      <c r="AC343" s="3166">
        <f t="shared" si="209"/>
        <v>0</v>
      </c>
      <c r="AD343" s="3198"/>
      <c r="AE343" s="3198"/>
      <c r="AF343" s="3198"/>
      <c r="AG343" s="3198"/>
      <c r="AH343" s="3198"/>
      <c r="AI343" s="3198"/>
      <c r="AJ343" s="3198"/>
      <c r="AK343" s="3198"/>
      <c r="AL343" s="3198"/>
      <c r="AM343" s="3198"/>
      <c r="AN343" s="3198"/>
      <c r="AO343" s="3198"/>
      <c r="AP343" s="3198"/>
      <c r="AQ343" s="3198"/>
      <c r="AR343" s="3198"/>
      <c r="AS343" s="3198"/>
      <c r="AT343" s="3218"/>
      <c r="AU343" s="3219"/>
      <c r="AV343" s="488">
        <f t="shared" si="233"/>
        <v>0</v>
      </c>
      <c r="AW343" s="488">
        <f t="shared" si="234"/>
        <v>0</v>
      </c>
      <c r="AX343" s="488">
        <f t="shared" si="235"/>
        <v>0</v>
      </c>
      <c r="AY343" s="3235">
        <f t="shared" si="210"/>
        <v>0</v>
      </c>
      <c r="AZ343" s="3166">
        <f t="shared" si="211"/>
        <v>0</v>
      </c>
      <c r="BA343" s="3166">
        <f t="shared" si="212"/>
        <v>0</v>
      </c>
      <c r="BB343" s="3166">
        <f t="shared" si="213"/>
        <v>0</v>
      </c>
      <c r="BC343" s="3166">
        <f t="shared" si="214"/>
        <v>0</v>
      </c>
      <c r="BD343" s="3166">
        <f t="shared" si="215"/>
        <v>0</v>
      </c>
      <c r="BE343" s="3166">
        <f t="shared" si="216"/>
        <v>0</v>
      </c>
      <c r="BF343" s="3166">
        <f t="shared" si="217"/>
        <v>0</v>
      </c>
      <c r="BG343" s="3166">
        <f t="shared" si="218"/>
        <v>0</v>
      </c>
      <c r="BH343" s="3166">
        <f t="shared" si="219"/>
        <v>0</v>
      </c>
      <c r="BI343" s="3166">
        <f t="shared" si="220"/>
        <v>0</v>
      </c>
      <c r="BJ343" s="3166">
        <f t="shared" si="221"/>
        <v>0</v>
      </c>
      <c r="BK343" s="3166">
        <f t="shared" si="222"/>
        <v>0</v>
      </c>
      <c r="BL343" s="3166">
        <f t="shared" si="223"/>
        <v>0</v>
      </c>
      <c r="BM343" s="3166">
        <f t="shared" si="224"/>
        <v>0</v>
      </c>
      <c r="BN343" s="3166">
        <f t="shared" si="225"/>
        <v>0</v>
      </c>
      <c r="BO343" s="3166">
        <f t="shared" si="226"/>
        <v>0</v>
      </c>
      <c r="BP343" s="3166">
        <f t="shared" si="227"/>
        <v>0</v>
      </c>
      <c r="BQ343" s="3166">
        <f t="shared" si="228"/>
        <v>0</v>
      </c>
      <c r="BR343" s="3166">
        <f t="shared" si="229"/>
        <v>0</v>
      </c>
      <c r="BS343" s="3166">
        <f t="shared" si="230"/>
        <v>0</v>
      </c>
      <c r="BT343" s="3240">
        <f t="shared" si="231"/>
        <v>0</v>
      </c>
    </row>
    <row r="344" spans="1:72">
      <c r="A344" s="3163"/>
      <c r="B344" s="3164"/>
      <c r="C344" s="3164"/>
      <c r="D344" s="3176"/>
      <c r="E344" s="3166">
        <f t="shared" si="232"/>
        <v>0</v>
      </c>
      <c r="F344" s="3167"/>
      <c r="G344" s="3168">
        <f t="shared" si="207"/>
        <v>0</v>
      </c>
      <c r="H344" s="3169">
        <f t="shared" si="208"/>
        <v>0</v>
      </c>
      <c r="I344" s="3187"/>
      <c r="J344" s="3187"/>
      <c r="K344" s="3187"/>
      <c r="L344" s="3187"/>
      <c r="M344" s="3187"/>
      <c r="N344" s="3187"/>
      <c r="O344" s="3187"/>
      <c r="P344" s="3187"/>
      <c r="Q344" s="3187"/>
      <c r="R344" s="3187"/>
      <c r="S344" s="3187"/>
      <c r="T344" s="3187"/>
      <c r="U344" s="3187"/>
      <c r="V344" s="3187"/>
      <c r="W344" s="3187"/>
      <c r="X344" s="3187"/>
      <c r="Y344" s="3187"/>
      <c r="Z344" s="3187"/>
      <c r="AA344" s="3187"/>
      <c r="AB344" s="3187"/>
      <c r="AC344" s="3166">
        <f t="shared" si="209"/>
        <v>0</v>
      </c>
      <c r="AD344" s="3198"/>
      <c r="AE344" s="3198"/>
      <c r="AF344" s="3198"/>
      <c r="AG344" s="3198"/>
      <c r="AH344" s="3198"/>
      <c r="AI344" s="3198"/>
      <c r="AJ344" s="3198"/>
      <c r="AK344" s="3198"/>
      <c r="AL344" s="3198"/>
      <c r="AM344" s="3198"/>
      <c r="AN344" s="3198"/>
      <c r="AO344" s="3198"/>
      <c r="AP344" s="3198"/>
      <c r="AQ344" s="3198"/>
      <c r="AR344" s="3198"/>
      <c r="AS344" s="3198"/>
      <c r="AT344" s="3218"/>
      <c r="AU344" s="3219"/>
      <c r="AV344" s="488">
        <f t="shared" si="233"/>
        <v>0</v>
      </c>
      <c r="AW344" s="488">
        <f t="shared" si="234"/>
        <v>0</v>
      </c>
      <c r="AX344" s="488">
        <f t="shared" si="235"/>
        <v>0</v>
      </c>
      <c r="AY344" s="3235">
        <f t="shared" si="210"/>
        <v>0</v>
      </c>
      <c r="AZ344" s="3166">
        <f t="shared" si="211"/>
        <v>0</v>
      </c>
      <c r="BA344" s="3166">
        <f t="shared" si="212"/>
        <v>0</v>
      </c>
      <c r="BB344" s="3166">
        <f t="shared" si="213"/>
        <v>0</v>
      </c>
      <c r="BC344" s="3166">
        <f t="shared" si="214"/>
        <v>0</v>
      </c>
      <c r="BD344" s="3166">
        <f t="shared" si="215"/>
        <v>0</v>
      </c>
      <c r="BE344" s="3166">
        <f t="shared" si="216"/>
        <v>0</v>
      </c>
      <c r="BF344" s="3166">
        <f t="shared" si="217"/>
        <v>0</v>
      </c>
      <c r="BG344" s="3166">
        <f t="shared" si="218"/>
        <v>0</v>
      </c>
      <c r="BH344" s="3166">
        <f t="shared" si="219"/>
        <v>0</v>
      </c>
      <c r="BI344" s="3166">
        <f t="shared" si="220"/>
        <v>0</v>
      </c>
      <c r="BJ344" s="3166">
        <f t="shared" si="221"/>
        <v>0</v>
      </c>
      <c r="BK344" s="3166">
        <f t="shared" si="222"/>
        <v>0</v>
      </c>
      <c r="BL344" s="3166">
        <f t="shared" si="223"/>
        <v>0</v>
      </c>
      <c r="BM344" s="3166">
        <f t="shared" si="224"/>
        <v>0</v>
      </c>
      <c r="BN344" s="3166">
        <f t="shared" si="225"/>
        <v>0</v>
      </c>
      <c r="BO344" s="3166">
        <f t="shared" si="226"/>
        <v>0</v>
      </c>
      <c r="BP344" s="3166">
        <f t="shared" si="227"/>
        <v>0</v>
      </c>
      <c r="BQ344" s="3166">
        <f t="shared" si="228"/>
        <v>0</v>
      </c>
      <c r="BR344" s="3166">
        <f t="shared" si="229"/>
        <v>0</v>
      </c>
      <c r="BS344" s="3166">
        <f t="shared" si="230"/>
        <v>0</v>
      </c>
      <c r="BT344" s="3240">
        <f t="shared" si="231"/>
        <v>0</v>
      </c>
    </row>
    <row r="345" spans="1:72">
      <c r="A345" s="3163"/>
      <c r="B345" s="3164"/>
      <c r="C345" s="3164"/>
      <c r="D345" s="3176"/>
      <c r="E345" s="3166">
        <f t="shared" si="232"/>
        <v>0</v>
      </c>
      <c r="F345" s="3167"/>
      <c r="G345" s="3168">
        <f t="shared" si="207"/>
        <v>0</v>
      </c>
      <c r="H345" s="3169">
        <f t="shared" si="208"/>
        <v>0</v>
      </c>
      <c r="I345" s="3187"/>
      <c r="J345" s="3187"/>
      <c r="K345" s="3187"/>
      <c r="L345" s="3187"/>
      <c r="M345" s="3187"/>
      <c r="N345" s="3187"/>
      <c r="O345" s="3187"/>
      <c r="P345" s="3187"/>
      <c r="Q345" s="3187"/>
      <c r="R345" s="3187"/>
      <c r="S345" s="3187"/>
      <c r="T345" s="3187"/>
      <c r="U345" s="3187"/>
      <c r="V345" s="3187"/>
      <c r="W345" s="3187"/>
      <c r="X345" s="3187"/>
      <c r="Y345" s="3187"/>
      <c r="Z345" s="3187"/>
      <c r="AA345" s="3187"/>
      <c r="AB345" s="3187"/>
      <c r="AC345" s="3166">
        <f t="shared" si="209"/>
        <v>0</v>
      </c>
      <c r="AD345" s="3198"/>
      <c r="AE345" s="3198"/>
      <c r="AF345" s="3198"/>
      <c r="AG345" s="3198"/>
      <c r="AH345" s="3198"/>
      <c r="AI345" s="3198"/>
      <c r="AJ345" s="3198"/>
      <c r="AK345" s="3198"/>
      <c r="AL345" s="3198"/>
      <c r="AM345" s="3198"/>
      <c r="AN345" s="3198"/>
      <c r="AO345" s="3198"/>
      <c r="AP345" s="3198"/>
      <c r="AQ345" s="3198"/>
      <c r="AR345" s="3198"/>
      <c r="AS345" s="3198"/>
      <c r="AT345" s="3218"/>
      <c r="AU345" s="3219"/>
      <c r="AV345" s="488">
        <f t="shared" si="233"/>
        <v>0</v>
      </c>
      <c r="AW345" s="488">
        <f t="shared" si="234"/>
        <v>0</v>
      </c>
      <c r="AX345" s="488">
        <f t="shared" si="235"/>
        <v>0</v>
      </c>
      <c r="AY345" s="3235">
        <f t="shared" si="210"/>
        <v>0</v>
      </c>
      <c r="AZ345" s="3166">
        <f t="shared" si="211"/>
        <v>0</v>
      </c>
      <c r="BA345" s="3166">
        <f t="shared" si="212"/>
        <v>0</v>
      </c>
      <c r="BB345" s="3166">
        <f t="shared" si="213"/>
        <v>0</v>
      </c>
      <c r="BC345" s="3166">
        <f t="shared" si="214"/>
        <v>0</v>
      </c>
      <c r="BD345" s="3166">
        <f t="shared" si="215"/>
        <v>0</v>
      </c>
      <c r="BE345" s="3166">
        <f t="shared" si="216"/>
        <v>0</v>
      </c>
      <c r="BF345" s="3166">
        <f t="shared" si="217"/>
        <v>0</v>
      </c>
      <c r="BG345" s="3166">
        <f t="shared" si="218"/>
        <v>0</v>
      </c>
      <c r="BH345" s="3166">
        <f t="shared" si="219"/>
        <v>0</v>
      </c>
      <c r="BI345" s="3166">
        <f t="shared" si="220"/>
        <v>0</v>
      </c>
      <c r="BJ345" s="3166">
        <f t="shared" si="221"/>
        <v>0</v>
      </c>
      <c r="BK345" s="3166">
        <f t="shared" si="222"/>
        <v>0</v>
      </c>
      <c r="BL345" s="3166">
        <f t="shared" si="223"/>
        <v>0</v>
      </c>
      <c r="BM345" s="3166">
        <f t="shared" si="224"/>
        <v>0</v>
      </c>
      <c r="BN345" s="3166">
        <f t="shared" si="225"/>
        <v>0</v>
      </c>
      <c r="BO345" s="3166">
        <f t="shared" si="226"/>
        <v>0</v>
      </c>
      <c r="BP345" s="3166">
        <f t="shared" si="227"/>
        <v>0</v>
      </c>
      <c r="BQ345" s="3166">
        <f t="shared" si="228"/>
        <v>0</v>
      </c>
      <c r="BR345" s="3166">
        <f t="shared" si="229"/>
        <v>0</v>
      </c>
      <c r="BS345" s="3166">
        <f t="shared" si="230"/>
        <v>0</v>
      </c>
      <c r="BT345" s="3240">
        <f t="shared" si="231"/>
        <v>0</v>
      </c>
    </row>
    <row r="346" spans="1:72">
      <c r="A346" s="3163"/>
      <c r="B346" s="3164"/>
      <c r="C346" s="3164"/>
      <c r="D346" s="3176"/>
      <c r="E346" s="3166">
        <f t="shared" si="232"/>
        <v>0</v>
      </c>
      <c r="F346" s="3167"/>
      <c r="G346" s="3168">
        <f t="shared" si="207"/>
        <v>0</v>
      </c>
      <c r="H346" s="3169">
        <f t="shared" si="208"/>
        <v>0</v>
      </c>
      <c r="I346" s="3187"/>
      <c r="J346" s="3187"/>
      <c r="K346" s="3187"/>
      <c r="L346" s="3187"/>
      <c r="M346" s="3187"/>
      <c r="N346" s="3187"/>
      <c r="O346" s="3187"/>
      <c r="P346" s="3187"/>
      <c r="Q346" s="3187"/>
      <c r="R346" s="3187"/>
      <c r="S346" s="3187"/>
      <c r="T346" s="3187"/>
      <c r="U346" s="3187"/>
      <c r="V346" s="3187"/>
      <c r="W346" s="3187"/>
      <c r="X346" s="3187"/>
      <c r="Y346" s="3187"/>
      <c r="Z346" s="3187"/>
      <c r="AA346" s="3187"/>
      <c r="AB346" s="3187"/>
      <c r="AC346" s="3166">
        <f t="shared" si="209"/>
        <v>0</v>
      </c>
      <c r="AD346" s="3198"/>
      <c r="AE346" s="3198"/>
      <c r="AF346" s="3198"/>
      <c r="AG346" s="3198"/>
      <c r="AH346" s="3198"/>
      <c r="AI346" s="3198"/>
      <c r="AJ346" s="3198"/>
      <c r="AK346" s="3198"/>
      <c r="AL346" s="3198"/>
      <c r="AM346" s="3198"/>
      <c r="AN346" s="3198"/>
      <c r="AO346" s="3198"/>
      <c r="AP346" s="3198"/>
      <c r="AQ346" s="3198"/>
      <c r="AR346" s="3198"/>
      <c r="AS346" s="3198"/>
      <c r="AT346" s="3218"/>
      <c r="AU346" s="3219"/>
      <c r="AV346" s="488">
        <f t="shared" si="233"/>
        <v>0</v>
      </c>
      <c r="AW346" s="488">
        <f t="shared" si="234"/>
        <v>0</v>
      </c>
      <c r="AX346" s="488">
        <f t="shared" si="235"/>
        <v>0</v>
      </c>
      <c r="AY346" s="3235">
        <f t="shared" si="210"/>
        <v>0</v>
      </c>
      <c r="AZ346" s="3166">
        <f t="shared" si="211"/>
        <v>0</v>
      </c>
      <c r="BA346" s="3166">
        <f t="shared" si="212"/>
        <v>0</v>
      </c>
      <c r="BB346" s="3166">
        <f t="shared" si="213"/>
        <v>0</v>
      </c>
      <c r="BC346" s="3166">
        <f t="shared" si="214"/>
        <v>0</v>
      </c>
      <c r="BD346" s="3166">
        <f t="shared" si="215"/>
        <v>0</v>
      </c>
      <c r="BE346" s="3166">
        <f t="shared" si="216"/>
        <v>0</v>
      </c>
      <c r="BF346" s="3166">
        <f t="shared" si="217"/>
        <v>0</v>
      </c>
      <c r="BG346" s="3166">
        <f t="shared" si="218"/>
        <v>0</v>
      </c>
      <c r="BH346" s="3166">
        <f t="shared" si="219"/>
        <v>0</v>
      </c>
      <c r="BI346" s="3166">
        <f t="shared" si="220"/>
        <v>0</v>
      </c>
      <c r="BJ346" s="3166">
        <f t="shared" si="221"/>
        <v>0</v>
      </c>
      <c r="BK346" s="3166">
        <f t="shared" si="222"/>
        <v>0</v>
      </c>
      <c r="BL346" s="3166">
        <f t="shared" si="223"/>
        <v>0</v>
      </c>
      <c r="BM346" s="3166">
        <f t="shared" si="224"/>
        <v>0</v>
      </c>
      <c r="BN346" s="3166">
        <f t="shared" si="225"/>
        <v>0</v>
      </c>
      <c r="BO346" s="3166">
        <f t="shared" si="226"/>
        <v>0</v>
      </c>
      <c r="BP346" s="3166">
        <f t="shared" si="227"/>
        <v>0</v>
      </c>
      <c r="BQ346" s="3166">
        <f t="shared" si="228"/>
        <v>0</v>
      </c>
      <c r="BR346" s="3166">
        <f t="shared" si="229"/>
        <v>0</v>
      </c>
      <c r="BS346" s="3166">
        <f t="shared" si="230"/>
        <v>0</v>
      </c>
      <c r="BT346" s="3240">
        <f t="shared" si="231"/>
        <v>0</v>
      </c>
    </row>
    <row r="347" spans="1:72">
      <c r="A347" s="3163"/>
      <c r="B347" s="3164"/>
      <c r="C347" s="3164"/>
      <c r="D347" s="3176"/>
      <c r="E347" s="3166">
        <f t="shared" si="232"/>
        <v>0</v>
      </c>
      <c r="F347" s="3167"/>
      <c r="G347" s="3168">
        <f t="shared" si="207"/>
        <v>0</v>
      </c>
      <c r="H347" s="3169">
        <f t="shared" si="208"/>
        <v>0</v>
      </c>
      <c r="I347" s="3187"/>
      <c r="J347" s="3187"/>
      <c r="K347" s="3187"/>
      <c r="L347" s="3187"/>
      <c r="M347" s="3187"/>
      <c r="N347" s="3187"/>
      <c r="O347" s="3187"/>
      <c r="P347" s="3187"/>
      <c r="Q347" s="3187"/>
      <c r="R347" s="3187"/>
      <c r="S347" s="3187"/>
      <c r="T347" s="3187"/>
      <c r="U347" s="3187"/>
      <c r="V347" s="3187"/>
      <c r="W347" s="3187"/>
      <c r="X347" s="3187"/>
      <c r="Y347" s="3187"/>
      <c r="Z347" s="3187"/>
      <c r="AA347" s="3187"/>
      <c r="AB347" s="3187"/>
      <c r="AC347" s="3166">
        <f t="shared" si="209"/>
        <v>0</v>
      </c>
      <c r="AD347" s="3198"/>
      <c r="AE347" s="3198"/>
      <c r="AF347" s="3198"/>
      <c r="AG347" s="3198"/>
      <c r="AH347" s="3198"/>
      <c r="AI347" s="3198"/>
      <c r="AJ347" s="3198"/>
      <c r="AK347" s="3198"/>
      <c r="AL347" s="3198"/>
      <c r="AM347" s="3198"/>
      <c r="AN347" s="3198"/>
      <c r="AO347" s="3198"/>
      <c r="AP347" s="3198"/>
      <c r="AQ347" s="3198"/>
      <c r="AR347" s="3198"/>
      <c r="AS347" s="3198"/>
      <c r="AT347" s="3218"/>
      <c r="AU347" s="3219"/>
      <c r="AV347" s="488">
        <f t="shared" si="233"/>
        <v>0</v>
      </c>
      <c r="AW347" s="488">
        <f t="shared" si="234"/>
        <v>0</v>
      </c>
      <c r="AX347" s="488">
        <f t="shared" si="235"/>
        <v>0</v>
      </c>
      <c r="AY347" s="3235">
        <f t="shared" si="210"/>
        <v>0</v>
      </c>
      <c r="AZ347" s="3166">
        <f t="shared" si="211"/>
        <v>0</v>
      </c>
      <c r="BA347" s="3166">
        <f t="shared" si="212"/>
        <v>0</v>
      </c>
      <c r="BB347" s="3166">
        <f t="shared" si="213"/>
        <v>0</v>
      </c>
      <c r="BC347" s="3166">
        <f t="shared" si="214"/>
        <v>0</v>
      </c>
      <c r="BD347" s="3166">
        <f t="shared" si="215"/>
        <v>0</v>
      </c>
      <c r="BE347" s="3166">
        <f t="shared" si="216"/>
        <v>0</v>
      </c>
      <c r="BF347" s="3166">
        <f t="shared" si="217"/>
        <v>0</v>
      </c>
      <c r="BG347" s="3166">
        <f t="shared" si="218"/>
        <v>0</v>
      </c>
      <c r="BH347" s="3166">
        <f t="shared" si="219"/>
        <v>0</v>
      </c>
      <c r="BI347" s="3166">
        <f t="shared" si="220"/>
        <v>0</v>
      </c>
      <c r="BJ347" s="3166">
        <f t="shared" si="221"/>
        <v>0</v>
      </c>
      <c r="BK347" s="3166">
        <f t="shared" si="222"/>
        <v>0</v>
      </c>
      <c r="BL347" s="3166">
        <f t="shared" si="223"/>
        <v>0</v>
      </c>
      <c r="BM347" s="3166">
        <f t="shared" si="224"/>
        <v>0</v>
      </c>
      <c r="BN347" s="3166">
        <f t="shared" si="225"/>
        <v>0</v>
      </c>
      <c r="BO347" s="3166">
        <f t="shared" si="226"/>
        <v>0</v>
      </c>
      <c r="BP347" s="3166">
        <f t="shared" si="227"/>
        <v>0</v>
      </c>
      <c r="BQ347" s="3166">
        <f t="shared" si="228"/>
        <v>0</v>
      </c>
      <c r="BR347" s="3166">
        <f t="shared" si="229"/>
        <v>0</v>
      </c>
      <c r="BS347" s="3166">
        <f t="shared" si="230"/>
        <v>0</v>
      </c>
      <c r="BT347" s="3240">
        <f t="shared" si="231"/>
        <v>0</v>
      </c>
    </row>
    <row r="348" spans="1:72">
      <c r="A348" s="3163"/>
      <c r="B348" s="3164"/>
      <c r="C348" s="3164"/>
      <c r="D348" s="3176"/>
      <c r="E348" s="3166">
        <f t="shared" si="232"/>
        <v>0</v>
      </c>
      <c r="F348" s="3167"/>
      <c r="G348" s="3168">
        <f t="shared" si="207"/>
        <v>0</v>
      </c>
      <c r="H348" s="3169">
        <f t="shared" si="208"/>
        <v>0</v>
      </c>
      <c r="I348" s="3187"/>
      <c r="J348" s="3187"/>
      <c r="K348" s="3187"/>
      <c r="L348" s="3187"/>
      <c r="M348" s="3187"/>
      <c r="N348" s="3187"/>
      <c r="O348" s="3187"/>
      <c r="P348" s="3187"/>
      <c r="Q348" s="3187"/>
      <c r="R348" s="3187"/>
      <c r="S348" s="3187"/>
      <c r="T348" s="3187"/>
      <c r="U348" s="3187"/>
      <c r="V348" s="3187"/>
      <c r="W348" s="3187"/>
      <c r="X348" s="3187"/>
      <c r="Y348" s="3187"/>
      <c r="Z348" s="3187"/>
      <c r="AA348" s="3187"/>
      <c r="AB348" s="3187"/>
      <c r="AC348" s="3166">
        <f t="shared" si="209"/>
        <v>0</v>
      </c>
      <c r="AD348" s="3198"/>
      <c r="AE348" s="3198"/>
      <c r="AF348" s="3198"/>
      <c r="AG348" s="3198"/>
      <c r="AH348" s="3198"/>
      <c r="AI348" s="3198"/>
      <c r="AJ348" s="3198"/>
      <c r="AK348" s="3198"/>
      <c r="AL348" s="3198"/>
      <c r="AM348" s="3198"/>
      <c r="AN348" s="3198"/>
      <c r="AO348" s="3198"/>
      <c r="AP348" s="3198"/>
      <c r="AQ348" s="3198"/>
      <c r="AR348" s="3198"/>
      <c r="AS348" s="3198"/>
      <c r="AT348" s="3218"/>
      <c r="AU348" s="3219"/>
      <c r="AV348" s="488">
        <f t="shared" si="233"/>
        <v>0</v>
      </c>
      <c r="AW348" s="488">
        <f t="shared" si="234"/>
        <v>0</v>
      </c>
      <c r="AX348" s="488">
        <f t="shared" si="235"/>
        <v>0</v>
      </c>
      <c r="AY348" s="3235">
        <f t="shared" si="210"/>
        <v>0</v>
      </c>
      <c r="AZ348" s="3166">
        <f t="shared" si="211"/>
        <v>0</v>
      </c>
      <c r="BA348" s="3166">
        <f t="shared" si="212"/>
        <v>0</v>
      </c>
      <c r="BB348" s="3166">
        <f t="shared" si="213"/>
        <v>0</v>
      </c>
      <c r="BC348" s="3166">
        <f t="shared" si="214"/>
        <v>0</v>
      </c>
      <c r="BD348" s="3166">
        <f t="shared" si="215"/>
        <v>0</v>
      </c>
      <c r="BE348" s="3166">
        <f t="shared" si="216"/>
        <v>0</v>
      </c>
      <c r="BF348" s="3166">
        <f t="shared" si="217"/>
        <v>0</v>
      </c>
      <c r="BG348" s="3166">
        <f t="shared" si="218"/>
        <v>0</v>
      </c>
      <c r="BH348" s="3166">
        <f t="shared" si="219"/>
        <v>0</v>
      </c>
      <c r="BI348" s="3166">
        <f t="shared" si="220"/>
        <v>0</v>
      </c>
      <c r="BJ348" s="3166">
        <f t="shared" si="221"/>
        <v>0</v>
      </c>
      <c r="BK348" s="3166">
        <f t="shared" si="222"/>
        <v>0</v>
      </c>
      <c r="BL348" s="3166">
        <f t="shared" si="223"/>
        <v>0</v>
      </c>
      <c r="BM348" s="3166">
        <f t="shared" si="224"/>
        <v>0</v>
      </c>
      <c r="BN348" s="3166">
        <f t="shared" si="225"/>
        <v>0</v>
      </c>
      <c r="BO348" s="3166">
        <f t="shared" si="226"/>
        <v>0</v>
      </c>
      <c r="BP348" s="3166">
        <f t="shared" si="227"/>
        <v>0</v>
      </c>
      <c r="BQ348" s="3166">
        <f t="shared" si="228"/>
        <v>0</v>
      </c>
      <c r="BR348" s="3166">
        <f t="shared" si="229"/>
        <v>0</v>
      </c>
      <c r="BS348" s="3166">
        <f t="shared" si="230"/>
        <v>0</v>
      </c>
      <c r="BT348" s="3240">
        <f t="shared" si="231"/>
        <v>0</v>
      </c>
    </row>
    <row r="349" spans="1:72">
      <c r="A349" s="3163"/>
      <c r="B349" s="3164"/>
      <c r="C349" s="3164"/>
      <c r="D349" s="3176"/>
      <c r="E349" s="3166">
        <f t="shared" si="232"/>
        <v>0</v>
      </c>
      <c r="F349" s="3167"/>
      <c r="G349" s="3168">
        <f t="shared" si="207"/>
        <v>0</v>
      </c>
      <c r="H349" s="3169">
        <f t="shared" si="208"/>
        <v>0</v>
      </c>
      <c r="I349" s="3187"/>
      <c r="J349" s="3187"/>
      <c r="K349" s="3187"/>
      <c r="L349" s="3187"/>
      <c r="M349" s="3187"/>
      <c r="N349" s="3187"/>
      <c r="O349" s="3187"/>
      <c r="P349" s="3187"/>
      <c r="Q349" s="3187"/>
      <c r="R349" s="3187"/>
      <c r="S349" s="3187"/>
      <c r="T349" s="3187"/>
      <c r="U349" s="3187"/>
      <c r="V349" s="3187"/>
      <c r="W349" s="3187"/>
      <c r="X349" s="3187"/>
      <c r="Y349" s="3187"/>
      <c r="Z349" s="3187"/>
      <c r="AA349" s="3187"/>
      <c r="AB349" s="3187"/>
      <c r="AC349" s="3166">
        <f t="shared" si="209"/>
        <v>0</v>
      </c>
      <c r="AD349" s="3198"/>
      <c r="AE349" s="3198"/>
      <c r="AF349" s="3198"/>
      <c r="AG349" s="3198"/>
      <c r="AH349" s="3198"/>
      <c r="AI349" s="3198"/>
      <c r="AJ349" s="3198"/>
      <c r="AK349" s="3198"/>
      <c r="AL349" s="3198"/>
      <c r="AM349" s="3198"/>
      <c r="AN349" s="3198"/>
      <c r="AO349" s="3198"/>
      <c r="AP349" s="3198"/>
      <c r="AQ349" s="3198"/>
      <c r="AR349" s="3198"/>
      <c r="AS349" s="3198"/>
      <c r="AT349" s="3218"/>
      <c r="AU349" s="3219"/>
      <c r="AV349" s="488">
        <f t="shared" si="233"/>
        <v>0</v>
      </c>
      <c r="AW349" s="488">
        <f t="shared" si="234"/>
        <v>0</v>
      </c>
      <c r="AX349" s="488">
        <f t="shared" si="235"/>
        <v>0</v>
      </c>
      <c r="AY349" s="3235">
        <f t="shared" si="210"/>
        <v>0</v>
      </c>
      <c r="AZ349" s="3166">
        <f t="shared" si="211"/>
        <v>0</v>
      </c>
      <c r="BA349" s="3166">
        <f t="shared" si="212"/>
        <v>0</v>
      </c>
      <c r="BB349" s="3166">
        <f t="shared" si="213"/>
        <v>0</v>
      </c>
      <c r="BC349" s="3166">
        <f t="shared" si="214"/>
        <v>0</v>
      </c>
      <c r="BD349" s="3166">
        <f t="shared" si="215"/>
        <v>0</v>
      </c>
      <c r="BE349" s="3166">
        <f t="shared" si="216"/>
        <v>0</v>
      </c>
      <c r="BF349" s="3166">
        <f t="shared" si="217"/>
        <v>0</v>
      </c>
      <c r="BG349" s="3166">
        <f t="shared" si="218"/>
        <v>0</v>
      </c>
      <c r="BH349" s="3166">
        <f t="shared" si="219"/>
        <v>0</v>
      </c>
      <c r="BI349" s="3166">
        <f t="shared" si="220"/>
        <v>0</v>
      </c>
      <c r="BJ349" s="3166">
        <f t="shared" si="221"/>
        <v>0</v>
      </c>
      <c r="BK349" s="3166">
        <f t="shared" si="222"/>
        <v>0</v>
      </c>
      <c r="BL349" s="3166">
        <f t="shared" si="223"/>
        <v>0</v>
      </c>
      <c r="BM349" s="3166">
        <f t="shared" si="224"/>
        <v>0</v>
      </c>
      <c r="BN349" s="3166">
        <f t="shared" si="225"/>
        <v>0</v>
      </c>
      <c r="BO349" s="3166">
        <f t="shared" si="226"/>
        <v>0</v>
      </c>
      <c r="BP349" s="3166">
        <f t="shared" si="227"/>
        <v>0</v>
      </c>
      <c r="BQ349" s="3166">
        <f t="shared" si="228"/>
        <v>0</v>
      </c>
      <c r="BR349" s="3166">
        <f t="shared" si="229"/>
        <v>0</v>
      </c>
      <c r="BS349" s="3166">
        <f t="shared" si="230"/>
        <v>0</v>
      </c>
      <c r="BT349" s="3240">
        <f t="shared" si="231"/>
        <v>0</v>
      </c>
    </row>
    <row r="350" spans="1:72">
      <c r="A350" s="3163"/>
      <c r="B350" s="3164"/>
      <c r="C350" s="3164"/>
      <c r="D350" s="3176"/>
      <c r="E350" s="3166">
        <f t="shared" si="232"/>
        <v>0</v>
      </c>
      <c r="F350" s="3167"/>
      <c r="G350" s="3168">
        <f t="shared" si="207"/>
        <v>0</v>
      </c>
      <c r="H350" s="3169">
        <f t="shared" si="208"/>
        <v>0</v>
      </c>
      <c r="I350" s="3187"/>
      <c r="J350" s="3187"/>
      <c r="K350" s="3187"/>
      <c r="L350" s="3187"/>
      <c r="M350" s="3187"/>
      <c r="N350" s="3187"/>
      <c r="O350" s="3187"/>
      <c r="P350" s="3187"/>
      <c r="Q350" s="3187"/>
      <c r="R350" s="3187"/>
      <c r="S350" s="3187"/>
      <c r="T350" s="3187"/>
      <c r="U350" s="3187"/>
      <c r="V350" s="3187"/>
      <c r="W350" s="3187"/>
      <c r="X350" s="3187"/>
      <c r="Y350" s="3187"/>
      <c r="Z350" s="3187"/>
      <c r="AA350" s="3187"/>
      <c r="AB350" s="3187"/>
      <c r="AC350" s="3166">
        <f t="shared" si="209"/>
        <v>0</v>
      </c>
      <c r="AD350" s="3198"/>
      <c r="AE350" s="3198"/>
      <c r="AF350" s="3198"/>
      <c r="AG350" s="3198"/>
      <c r="AH350" s="3198"/>
      <c r="AI350" s="3198"/>
      <c r="AJ350" s="3198"/>
      <c r="AK350" s="3198"/>
      <c r="AL350" s="3198"/>
      <c r="AM350" s="3198"/>
      <c r="AN350" s="3198"/>
      <c r="AO350" s="3198"/>
      <c r="AP350" s="3198"/>
      <c r="AQ350" s="3198"/>
      <c r="AR350" s="3198"/>
      <c r="AS350" s="3198"/>
      <c r="AT350" s="3218"/>
      <c r="AU350" s="3219"/>
      <c r="AV350" s="488">
        <f t="shared" si="233"/>
        <v>0</v>
      </c>
      <c r="AW350" s="488">
        <f t="shared" si="234"/>
        <v>0</v>
      </c>
      <c r="AX350" s="488">
        <f t="shared" si="235"/>
        <v>0</v>
      </c>
      <c r="AY350" s="3235">
        <f t="shared" si="210"/>
        <v>0</v>
      </c>
      <c r="AZ350" s="3166">
        <f t="shared" si="211"/>
        <v>0</v>
      </c>
      <c r="BA350" s="3166">
        <f t="shared" si="212"/>
        <v>0</v>
      </c>
      <c r="BB350" s="3166">
        <f t="shared" si="213"/>
        <v>0</v>
      </c>
      <c r="BC350" s="3166">
        <f t="shared" si="214"/>
        <v>0</v>
      </c>
      <c r="BD350" s="3166">
        <f t="shared" si="215"/>
        <v>0</v>
      </c>
      <c r="BE350" s="3166">
        <f t="shared" si="216"/>
        <v>0</v>
      </c>
      <c r="BF350" s="3166">
        <f t="shared" si="217"/>
        <v>0</v>
      </c>
      <c r="BG350" s="3166">
        <f t="shared" si="218"/>
        <v>0</v>
      </c>
      <c r="BH350" s="3166">
        <f t="shared" si="219"/>
        <v>0</v>
      </c>
      <c r="BI350" s="3166">
        <f t="shared" si="220"/>
        <v>0</v>
      </c>
      <c r="BJ350" s="3166">
        <f t="shared" si="221"/>
        <v>0</v>
      </c>
      <c r="BK350" s="3166">
        <f t="shared" si="222"/>
        <v>0</v>
      </c>
      <c r="BL350" s="3166">
        <f t="shared" si="223"/>
        <v>0</v>
      </c>
      <c r="BM350" s="3166">
        <f t="shared" si="224"/>
        <v>0</v>
      </c>
      <c r="BN350" s="3166">
        <f t="shared" si="225"/>
        <v>0</v>
      </c>
      <c r="BO350" s="3166">
        <f t="shared" si="226"/>
        <v>0</v>
      </c>
      <c r="BP350" s="3166">
        <f t="shared" si="227"/>
        <v>0</v>
      </c>
      <c r="BQ350" s="3166">
        <f t="shared" si="228"/>
        <v>0</v>
      </c>
      <c r="BR350" s="3166">
        <f t="shared" si="229"/>
        <v>0</v>
      </c>
      <c r="BS350" s="3166">
        <f t="shared" si="230"/>
        <v>0</v>
      </c>
      <c r="BT350" s="3240">
        <f t="shared" si="231"/>
        <v>0</v>
      </c>
    </row>
    <row r="351" spans="1:72">
      <c r="A351" s="3163"/>
      <c r="B351" s="3164"/>
      <c r="C351" s="3164"/>
      <c r="D351" s="3176"/>
      <c r="E351" s="3166">
        <f t="shared" si="232"/>
        <v>0</v>
      </c>
      <c r="F351" s="3167"/>
      <c r="G351" s="3168">
        <f t="shared" si="207"/>
        <v>0</v>
      </c>
      <c r="H351" s="3169">
        <f t="shared" si="208"/>
        <v>0</v>
      </c>
      <c r="I351" s="3187"/>
      <c r="J351" s="3187"/>
      <c r="K351" s="3187"/>
      <c r="L351" s="3187"/>
      <c r="M351" s="3187"/>
      <c r="N351" s="3187"/>
      <c r="O351" s="3187"/>
      <c r="P351" s="3187"/>
      <c r="Q351" s="3187"/>
      <c r="R351" s="3187"/>
      <c r="S351" s="3187"/>
      <c r="T351" s="3187"/>
      <c r="U351" s="3187"/>
      <c r="V351" s="3187"/>
      <c r="W351" s="3187"/>
      <c r="X351" s="3187"/>
      <c r="Y351" s="3187"/>
      <c r="Z351" s="3187"/>
      <c r="AA351" s="3187"/>
      <c r="AB351" s="3187"/>
      <c r="AC351" s="3166">
        <f t="shared" si="209"/>
        <v>0</v>
      </c>
      <c r="AD351" s="3198"/>
      <c r="AE351" s="3198"/>
      <c r="AF351" s="3198"/>
      <c r="AG351" s="3198"/>
      <c r="AH351" s="3198"/>
      <c r="AI351" s="3198"/>
      <c r="AJ351" s="3198"/>
      <c r="AK351" s="3198"/>
      <c r="AL351" s="3198"/>
      <c r="AM351" s="3198"/>
      <c r="AN351" s="3198"/>
      <c r="AO351" s="3198"/>
      <c r="AP351" s="3198"/>
      <c r="AQ351" s="3198"/>
      <c r="AR351" s="3198"/>
      <c r="AS351" s="3198"/>
      <c r="AT351" s="3218"/>
      <c r="AU351" s="3219"/>
      <c r="AV351" s="488">
        <f t="shared" si="233"/>
        <v>0</v>
      </c>
      <c r="AW351" s="488">
        <f t="shared" si="234"/>
        <v>0</v>
      </c>
      <c r="AX351" s="488">
        <f t="shared" si="235"/>
        <v>0</v>
      </c>
      <c r="AY351" s="3235">
        <f t="shared" si="210"/>
        <v>0</v>
      </c>
      <c r="AZ351" s="3166">
        <f t="shared" si="211"/>
        <v>0</v>
      </c>
      <c r="BA351" s="3166">
        <f t="shared" si="212"/>
        <v>0</v>
      </c>
      <c r="BB351" s="3166">
        <f t="shared" si="213"/>
        <v>0</v>
      </c>
      <c r="BC351" s="3166">
        <f t="shared" si="214"/>
        <v>0</v>
      </c>
      <c r="BD351" s="3166">
        <f t="shared" si="215"/>
        <v>0</v>
      </c>
      <c r="BE351" s="3166">
        <f t="shared" si="216"/>
        <v>0</v>
      </c>
      <c r="BF351" s="3166">
        <f t="shared" si="217"/>
        <v>0</v>
      </c>
      <c r="BG351" s="3166">
        <f t="shared" si="218"/>
        <v>0</v>
      </c>
      <c r="BH351" s="3166">
        <f t="shared" si="219"/>
        <v>0</v>
      </c>
      <c r="BI351" s="3166">
        <f t="shared" si="220"/>
        <v>0</v>
      </c>
      <c r="BJ351" s="3166">
        <f t="shared" si="221"/>
        <v>0</v>
      </c>
      <c r="BK351" s="3166">
        <f t="shared" si="222"/>
        <v>0</v>
      </c>
      <c r="BL351" s="3166">
        <f t="shared" si="223"/>
        <v>0</v>
      </c>
      <c r="BM351" s="3166">
        <f t="shared" si="224"/>
        <v>0</v>
      </c>
      <c r="BN351" s="3166">
        <f t="shared" si="225"/>
        <v>0</v>
      </c>
      <c r="BO351" s="3166">
        <f t="shared" si="226"/>
        <v>0</v>
      </c>
      <c r="BP351" s="3166">
        <f t="shared" si="227"/>
        <v>0</v>
      </c>
      <c r="BQ351" s="3166">
        <f t="shared" si="228"/>
        <v>0</v>
      </c>
      <c r="BR351" s="3166">
        <f t="shared" si="229"/>
        <v>0</v>
      </c>
      <c r="BS351" s="3166">
        <f t="shared" si="230"/>
        <v>0</v>
      </c>
      <c r="BT351" s="3240">
        <f t="shared" si="231"/>
        <v>0</v>
      </c>
    </row>
    <row r="352" spans="1:72">
      <c r="A352" s="3163"/>
      <c r="B352" s="3164"/>
      <c r="C352" s="3164"/>
      <c r="D352" s="3176"/>
      <c r="E352" s="3166">
        <f t="shared" si="232"/>
        <v>0</v>
      </c>
      <c r="F352" s="3167"/>
      <c r="G352" s="3168">
        <f t="shared" si="207"/>
        <v>0</v>
      </c>
      <c r="H352" s="3169">
        <f t="shared" si="208"/>
        <v>0</v>
      </c>
      <c r="I352" s="3187"/>
      <c r="J352" s="3187"/>
      <c r="K352" s="3187"/>
      <c r="L352" s="3187"/>
      <c r="M352" s="3187"/>
      <c r="N352" s="3187"/>
      <c r="O352" s="3187"/>
      <c r="P352" s="3187"/>
      <c r="Q352" s="3187"/>
      <c r="R352" s="3187"/>
      <c r="S352" s="3187"/>
      <c r="T352" s="3187"/>
      <c r="U352" s="3187"/>
      <c r="V352" s="3187"/>
      <c r="W352" s="3187"/>
      <c r="X352" s="3187"/>
      <c r="Y352" s="3187"/>
      <c r="Z352" s="3187"/>
      <c r="AA352" s="3187"/>
      <c r="AB352" s="3187"/>
      <c r="AC352" s="3166">
        <f t="shared" si="209"/>
        <v>0</v>
      </c>
      <c r="AD352" s="3198"/>
      <c r="AE352" s="3198"/>
      <c r="AF352" s="3198"/>
      <c r="AG352" s="3198"/>
      <c r="AH352" s="3198"/>
      <c r="AI352" s="3198"/>
      <c r="AJ352" s="3198"/>
      <c r="AK352" s="3198"/>
      <c r="AL352" s="3198"/>
      <c r="AM352" s="3198"/>
      <c r="AN352" s="3198"/>
      <c r="AO352" s="3198"/>
      <c r="AP352" s="3198"/>
      <c r="AQ352" s="3198"/>
      <c r="AR352" s="3198"/>
      <c r="AS352" s="3198"/>
      <c r="AT352" s="3218"/>
      <c r="AU352" s="3219"/>
      <c r="AV352" s="488">
        <f t="shared" si="233"/>
        <v>0</v>
      </c>
      <c r="AW352" s="488">
        <f t="shared" si="234"/>
        <v>0</v>
      </c>
      <c r="AX352" s="488">
        <f t="shared" si="235"/>
        <v>0</v>
      </c>
      <c r="AY352" s="3235">
        <f t="shared" si="210"/>
        <v>0</v>
      </c>
      <c r="AZ352" s="3166">
        <f t="shared" si="211"/>
        <v>0</v>
      </c>
      <c r="BA352" s="3166">
        <f t="shared" si="212"/>
        <v>0</v>
      </c>
      <c r="BB352" s="3166">
        <f t="shared" si="213"/>
        <v>0</v>
      </c>
      <c r="BC352" s="3166">
        <f t="shared" si="214"/>
        <v>0</v>
      </c>
      <c r="BD352" s="3166">
        <f t="shared" si="215"/>
        <v>0</v>
      </c>
      <c r="BE352" s="3166">
        <f t="shared" si="216"/>
        <v>0</v>
      </c>
      <c r="BF352" s="3166">
        <f t="shared" si="217"/>
        <v>0</v>
      </c>
      <c r="BG352" s="3166">
        <f t="shared" si="218"/>
        <v>0</v>
      </c>
      <c r="BH352" s="3166">
        <f t="shared" si="219"/>
        <v>0</v>
      </c>
      <c r="BI352" s="3166">
        <f t="shared" si="220"/>
        <v>0</v>
      </c>
      <c r="BJ352" s="3166">
        <f t="shared" si="221"/>
        <v>0</v>
      </c>
      <c r="BK352" s="3166">
        <f t="shared" si="222"/>
        <v>0</v>
      </c>
      <c r="BL352" s="3166">
        <f t="shared" si="223"/>
        <v>0</v>
      </c>
      <c r="BM352" s="3166">
        <f t="shared" si="224"/>
        <v>0</v>
      </c>
      <c r="BN352" s="3166">
        <f t="shared" si="225"/>
        <v>0</v>
      </c>
      <c r="BO352" s="3166">
        <f t="shared" si="226"/>
        <v>0</v>
      </c>
      <c r="BP352" s="3166">
        <f t="shared" si="227"/>
        <v>0</v>
      </c>
      <c r="BQ352" s="3166">
        <f t="shared" si="228"/>
        <v>0</v>
      </c>
      <c r="BR352" s="3166">
        <f t="shared" si="229"/>
        <v>0</v>
      </c>
      <c r="BS352" s="3166">
        <f t="shared" si="230"/>
        <v>0</v>
      </c>
      <c r="BT352" s="3240">
        <f t="shared" si="231"/>
        <v>0</v>
      </c>
    </row>
    <row r="353" spans="1:72">
      <c r="A353" s="3163"/>
      <c r="B353" s="3164"/>
      <c r="C353" s="3164"/>
      <c r="D353" s="3176"/>
      <c r="E353" s="3166">
        <f t="shared" si="232"/>
        <v>0</v>
      </c>
      <c r="F353" s="3167"/>
      <c r="G353" s="3168">
        <f t="shared" si="207"/>
        <v>0</v>
      </c>
      <c r="H353" s="3169">
        <f t="shared" si="208"/>
        <v>0</v>
      </c>
      <c r="I353" s="3187"/>
      <c r="J353" s="3187"/>
      <c r="K353" s="3187"/>
      <c r="L353" s="3187"/>
      <c r="M353" s="3187"/>
      <c r="N353" s="3187"/>
      <c r="O353" s="3187"/>
      <c r="P353" s="3187"/>
      <c r="Q353" s="3187"/>
      <c r="R353" s="3187"/>
      <c r="S353" s="3187"/>
      <c r="T353" s="3187"/>
      <c r="U353" s="3187"/>
      <c r="V353" s="3187"/>
      <c r="W353" s="3187"/>
      <c r="X353" s="3187"/>
      <c r="Y353" s="3187"/>
      <c r="Z353" s="3187"/>
      <c r="AA353" s="3187"/>
      <c r="AB353" s="3187"/>
      <c r="AC353" s="3166">
        <f t="shared" si="209"/>
        <v>0</v>
      </c>
      <c r="AD353" s="3198"/>
      <c r="AE353" s="3198"/>
      <c r="AF353" s="3198"/>
      <c r="AG353" s="3198"/>
      <c r="AH353" s="3198"/>
      <c r="AI353" s="3198"/>
      <c r="AJ353" s="3198"/>
      <c r="AK353" s="3198"/>
      <c r="AL353" s="3198"/>
      <c r="AM353" s="3198"/>
      <c r="AN353" s="3198"/>
      <c r="AO353" s="3198"/>
      <c r="AP353" s="3198"/>
      <c r="AQ353" s="3198"/>
      <c r="AR353" s="3198"/>
      <c r="AS353" s="3198"/>
      <c r="AT353" s="3218"/>
      <c r="AU353" s="3219"/>
      <c r="AV353" s="488">
        <f t="shared" si="233"/>
        <v>0</v>
      </c>
      <c r="AW353" s="488">
        <f t="shared" si="234"/>
        <v>0</v>
      </c>
      <c r="AX353" s="488">
        <f t="shared" si="235"/>
        <v>0</v>
      </c>
      <c r="AY353" s="3235">
        <f t="shared" si="210"/>
        <v>0</v>
      </c>
      <c r="AZ353" s="3166">
        <f t="shared" si="211"/>
        <v>0</v>
      </c>
      <c r="BA353" s="3166">
        <f t="shared" si="212"/>
        <v>0</v>
      </c>
      <c r="BB353" s="3166">
        <f t="shared" si="213"/>
        <v>0</v>
      </c>
      <c r="BC353" s="3166">
        <f t="shared" si="214"/>
        <v>0</v>
      </c>
      <c r="BD353" s="3166">
        <f t="shared" si="215"/>
        <v>0</v>
      </c>
      <c r="BE353" s="3166">
        <f t="shared" si="216"/>
        <v>0</v>
      </c>
      <c r="BF353" s="3166">
        <f t="shared" si="217"/>
        <v>0</v>
      </c>
      <c r="BG353" s="3166">
        <f t="shared" si="218"/>
        <v>0</v>
      </c>
      <c r="BH353" s="3166">
        <f t="shared" si="219"/>
        <v>0</v>
      </c>
      <c r="BI353" s="3166">
        <f t="shared" si="220"/>
        <v>0</v>
      </c>
      <c r="BJ353" s="3166">
        <f t="shared" si="221"/>
        <v>0</v>
      </c>
      <c r="BK353" s="3166">
        <f t="shared" si="222"/>
        <v>0</v>
      </c>
      <c r="BL353" s="3166">
        <f t="shared" si="223"/>
        <v>0</v>
      </c>
      <c r="BM353" s="3166">
        <f t="shared" si="224"/>
        <v>0</v>
      </c>
      <c r="BN353" s="3166">
        <f t="shared" si="225"/>
        <v>0</v>
      </c>
      <c r="BO353" s="3166">
        <f t="shared" si="226"/>
        <v>0</v>
      </c>
      <c r="BP353" s="3166">
        <f t="shared" si="227"/>
        <v>0</v>
      </c>
      <c r="BQ353" s="3166">
        <f t="shared" si="228"/>
        <v>0</v>
      </c>
      <c r="BR353" s="3166">
        <f t="shared" si="229"/>
        <v>0</v>
      </c>
      <c r="BS353" s="3166">
        <f t="shared" si="230"/>
        <v>0</v>
      </c>
      <c r="BT353" s="3240">
        <f t="shared" si="231"/>
        <v>0</v>
      </c>
    </row>
    <row r="354" spans="1:72">
      <c r="A354" s="3163"/>
      <c r="B354" s="3164"/>
      <c r="C354" s="3164"/>
      <c r="D354" s="3176"/>
      <c r="E354" s="3166">
        <f t="shared" si="232"/>
        <v>0</v>
      </c>
      <c r="F354" s="3167"/>
      <c r="G354" s="3168">
        <f t="shared" si="207"/>
        <v>0</v>
      </c>
      <c r="H354" s="3169">
        <f t="shared" si="208"/>
        <v>0</v>
      </c>
      <c r="I354" s="3187"/>
      <c r="J354" s="3187"/>
      <c r="K354" s="3187"/>
      <c r="L354" s="3187"/>
      <c r="M354" s="3187"/>
      <c r="N354" s="3187"/>
      <c r="O354" s="3187"/>
      <c r="P354" s="3187"/>
      <c r="Q354" s="3187"/>
      <c r="R354" s="3187"/>
      <c r="S354" s="3187"/>
      <c r="T354" s="3187"/>
      <c r="U354" s="3187"/>
      <c r="V354" s="3187"/>
      <c r="W354" s="3187"/>
      <c r="X354" s="3187"/>
      <c r="Y354" s="3187"/>
      <c r="Z354" s="3187"/>
      <c r="AA354" s="3187"/>
      <c r="AB354" s="3187"/>
      <c r="AC354" s="3166">
        <f t="shared" si="209"/>
        <v>0</v>
      </c>
      <c r="AD354" s="3198"/>
      <c r="AE354" s="3198"/>
      <c r="AF354" s="3198"/>
      <c r="AG354" s="3198"/>
      <c r="AH354" s="3198"/>
      <c r="AI354" s="3198"/>
      <c r="AJ354" s="3198"/>
      <c r="AK354" s="3198"/>
      <c r="AL354" s="3198"/>
      <c r="AM354" s="3198"/>
      <c r="AN354" s="3198"/>
      <c r="AO354" s="3198"/>
      <c r="AP354" s="3198"/>
      <c r="AQ354" s="3198"/>
      <c r="AR354" s="3198"/>
      <c r="AS354" s="3198"/>
      <c r="AT354" s="3218"/>
      <c r="AU354" s="3219"/>
      <c r="AV354" s="488">
        <f t="shared" si="233"/>
        <v>0</v>
      </c>
      <c r="AW354" s="488">
        <f t="shared" si="234"/>
        <v>0</v>
      </c>
      <c r="AX354" s="488">
        <f t="shared" si="235"/>
        <v>0</v>
      </c>
      <c r="AY354" s="3235">
        <f t="shared" si="210"/>
        <v>0</v>
      </c>
      <c r="AZ354" s="3166">
        <f t="shared" si="211"/>
        <v>0</v>
      </c>
      <c r="BA354" s="3166">
        <f t="shared" si="212"/>
        <v>0</v>
      </c>
      <c r="BB354" s="3166">
        <f t="shared" si="213"/>
        <v>0</v>
      </c>
      <c r="BC354" s="3166">
        <f t="shared" si="214"/>
        <v>0</v>
      </c>
      <c r="BD354" s="3166">
        <f t="shared" si="215"/>
        <v>0</v>
      </c>
      <c r="BE354" s="3166">
        <f t="shared" si="216"/>
        <v>0</v>
      </c>
      <c r="BF354" s="3166">
        <f t="shared" si="217"/>
        <v>0</v>
      </c>
      <c r="BG354" s="3166">
        <f t="shared" si="218"/>
        <v>0</v>
      </c>
      <c r="BH354" s="3166">
        <f t="shared" si="219"/>
        <v>0</v>
      </c>
      <c r="BI354" s="3166">
        <f t="shared" si="220"/>
        <v>0</v>
      </c>
      <c r="BJ354" s="3166">
        <f t="shared" si="221"/>
        <v>0</v>
      </c>
      <c r="BK354" s="3166">
        <f t="shared" si="222"/>
        <v>0</v>
      </c>
      <c r="BL354" s="3166">
        <f t="shared" si="223"/>
        <v>0</v>
      </c>
      <c r="BM354" s="3166">
        <f t="shared" si="224"/>
        <v>0</v>
      </c>
      <c r="BN354" s="3166">
        <f t="shared" si="225"/>
        <v>0</v>
      </c>
      <c r="BO354" s="3166">
        <f t="shared" si="226"/>
        <v>0</v>
      </c>
      <c r="BP354" s="3166">
        <f t="shared" si="227"/>
        <v>0</v>
      </c>
      <c r="BQ354" s="3166">
        <f t="shared" si="228"/>
        <v>0</v>
      </c>
      <c r="BR354" s="3166">
        <f t="shared" si="229"/>
        <v>0</v>
      </c>
      <c r="BS354" s="3166">
        <f t="shared" si="230"/>
        <v>0</v>
      </c>
      <c r="BT354" s="3240">
        <f t="shared" si="231"/>
        <v>0</v>
      </c>
    </row>
    <row r="355" spans="1:72">
      <c r="A355" s="3163"/>
      <c r="B355" s="3164"/>
      <c r="C355" s="3164"/>
      <c r="D355" s="3176"/>
      <c r="E355" s="3166">
        <f t="shared" si="232"/>
        <v>0</v>
      </c>
      <c r="F355" s="3167"/>
      <c r="G355" s="3168">
        <f t="shared" si="207"/>
        <v>0</v>
      </c>
      <c r="H355" s="3169">
        <f t="shared" si="208"/>
        <v>0</v>
      </c>
      <c r="I355" s="3187"/>
      <c r="J355" s="3187"/>
      <c r="K355" s="3187"/>
      <c r="L355" s="3187"/>
      <c r="M355" s="3187"/>
      <c r="N355" s="3187"/>
      <c r="O355" s="3187"/>
      <c r="P355" s="3187"/>
      <c r="Q355" s="3187"/>
      <c r="R355" s="3187"/>
      <c r="S355" s="3187"/>
      <c r="T355" s="3187"/>
      <c r="U355" s="3187"/>
      <c r="V355" s="3187"/>
      <c r="W355" s="3187"/>
      <c r="X355" s="3187"/>
      <c r="Y355" s="3187"/>
      <c r="Z355" s="3187"/>
      <c r="AA355" s="3187"/>
      <c r="AB355" s="3187"/>
      <c r="AC355" s="3166">
        <f t="shared" si="209"/>
        <v>0</v>
      </c>
      <c r="AD355" s="3198"/>
      <c r="AE355" s="3198"/>
      <c r="AF355" s="3198"/>
      <c r="AG355" s="3198"/>
      <c r="AH355" s="3198"/>
      <c r="AI355" s="3198"/>
      <c r="AJ355" s="3198"/>
      <c r="AK355" s="3198"/>
      <c r="AL355" s="3198"/>
      <c r="AM355" s="3198"/>
      <c r="AN355" s="3198"/>
      <c r="AO355" s="3198"/>
      <c r="AP355" s="3198"/>
      <c r="AQ355" s="3198"/>
      <c r="AR355" s="3198"/>
      <c r="AS355" s="3198"/>
      <c r="AT355" s="3218"/>
      <c r="AU355" s="3219"/>
      <c r="AV355" s="488">
        <f t="shared" si="233"/>
        <v>0</v>
      </c>
      <c r="AW355" s="488">
        <f t="shared" si="234"/>
        <v>0</v>
      </c>
      <c r="AX355" s="488">
        <f t="shared" si="235"/>
        <v>0</v>
      </c>
      <c r="AY355" s="3235">
        <f t="shared" si="210"/>
        <v>0</v>
      </c>
      <c r="AZ355" s="3166">
        <f t="shared" si="211"/>
        <v>0</v>
      </c>
      <c r="BA355" s="3166">
        <f t="shared" si="212"/>
        <v>0</v>
      </c>
      <c r="BB355" s="3166">
        <f t="shared" si="213"/>
        <v>0</v>
      </c>
      <c r="BC355" s="3166">
        <f t="shared" si="214"/>
        <v>0</v>
      </c>
      <c r="BD355" s="3166">
        <f t="shared" si="215"/>
        <v>0</v>
      </c>
      <c r="BE355" s="3166">
        <f t="shared" si="216"/>
        <v>0</v>
      </c>
      <c r="BF355" s="3166">
        <f t="shared" si="217"/>
        <v>0</v>
      </c>
      <c r="BG355" s="3166">
        <f t="shared" si="218"/>
        <v>0</v>
      </c>
      <c r="BH355" s="3166">
        <f t="shared" si="219"/>
        <v>0</v>
      </c>
      <c r="BI355" s="3166">
        <f t="shared" si="220"/>
        <v>0</v>
      </c>
      <c r="BJ355" s="3166">
        <f t="shared" si="221"/>
        <v>0</v>
      </c>
      <c r="BK355" s="3166">
        <f t="shared" si="222"/>
        <v>0</v>
      </c>
      <c r="BL355" s="3166">
        <f t="shared" si="223"/>
        <v>0</v>
      </c>
      <c r="BM355" s="3166">
        <f t="shared" si="224"/>
        <v>0</v>
      </c>
      <c r="BN355" s="3166">
        <f t="shared" si="225"/>
        <v>0</v>
      </c>
      <c r="BO355" s="3166">
        <f t="shared" si="226"/>
        <v>0</v>
      </c>
      <c r="BP355" s="3166">
        <f t="shared" si="227"/>
        <v>0</v>
      </c>
      <c r="BQ355" s="3166">
        <f t="shared" si="228"/>
        <v>0</v>
      </c>
      <c r="BR355" s="3166">
        <f t="shared" si="229"/>
        <v>0</v>
      </c>
      <c r="BS355" s="3166">
        <f t="shared" si="230"/>
        <v>0</v>
      </c>
      <c r="BT355" s="3240">
        <f t="shared" si="231"/>
        <v>0</v>
      </c>
    </row>
    <row r="356" spans="1:72">
      <c r="A356" s="3163"/>
      <c r="B356" s="3164"/>
      <c r="C356" s="3164"/>
      <c r="D356" s="3176"/>
      <c r="E356" s="3166">
        <f t="shared" si="232"/>
        <v>0</v>
      </c>
      <c r="F356" s="3167"/>
      <c r="G356" s="3168">
        <f t="shared" si="207"/>
        <v>0</v>
      </c>
      <c r="H356" s="3169">
        <f t="shared" si="208"/>
        <v>0</v>
      </c>
      <c r="I356" s="3187"/>
      <c r="J356" s="3187"/>
      <c r="K356" s="3187"/>
      <c r="L356" s="3187"/>
      <c r="M356" s="3187"/>
      <c r="N356" s="3187"/>
      <c r="O356" s="3187"/>
      <c r="P356" s="3187"/>
      <c r="Q356" s="3187"/>
      <c r="R356" s="3187"/>
      <c r="S356" s="3187"/>
      <c r="T356" s="3187"/>
      <c r="U356" s="3187"/>
      <c r="V356" s="3187"/>
      <c r="W356" s="3187"/>
      <c r="X356" s="3187"/>
      <c r="Y356" s="3187"/>
      <c r="Z356" s="3187"/>
      <c r="AA356" s="3187"/>
      <c r="AB356" s="3187"/>
      <c r="AC356" s="3166">
        <f t="shared" si="209"/>
        <v>0</v>
      </c>
      <c r="AD356" s="3198"/>
      <c r="AE356" s="3198"/>
      <c r="AF356" s="3198"/>
      <c r="AG356" s="3198"/>
      <c r="AH356" s="3198"/>
      <c r="AI356" s="3198"/>
      <c r="AJ356" s="3198"/>
      <c r="AK356" s="3198"/>
      <c r="AL356" s="3198"/>
      <c r="AM356" s="3198"/>
      <c r="AN356" s="3198"/>
      <c r="AO356" s="3198"/>
      <c r="AP356" s="3198"/>
      <c r="AQ356" s="3198"/>
      <c r="AR356" s="3198"/>
      <c r="AS356" s="3198"/>
      <c r="AT356" s="3218"/>
      <c r="AU356" s="3219"/>
      <c r="AV356" s="488">
        <f t="shared" si="233"/>
        <v>0</v>
      </c>
      <c r="AW356" s="488">
        <f t="shared" si="234"/>
        <v>0</v>
      </c>
      <c r="AX356" s="488">
        <f t="shared" si="235"/>
        <v>0</v>
      </c>
      <c r="AY356" s="3235">
        <f t="shared" si="210"/>
        <v>0</v>
      </c>
      <c r="AZ356" s="3166">
        <f t="shared" si="211"/>
        <v>0</v>
      </c>
      <c r="BA356" s="3166">
        <f t="shared" si="212"/>
        <v>0</v>
      </c>
      <c r="BB356" s="3166">
        <f t="shared" si="213"/>
        <v>0</v>
      </c>
      <c r="BC356" s="3166">
        <f t="shared" si="214"/>
        <v>0</v>
      </c>
      <c r="BD356" s="3166">
        <f t="shared" si="215"/>
        <v>0</v>
      </c>
      <c r="BE356" s="3166">
        <f t="shared" si="216"/>
        <v>0</v>
      </c>
      <c r="BF356" s="3166">
        <f t="shared" si="217"/>
        <v>0</v>
      </c>
      <c r="BG356" s="3166">
        <f t="shared" si="218"/>
        <v>0</v>
      </c>
      <c r="BH356" s="3166">
        <f t="shared" si="219"/>
        <v>0</v>
      </c>
      <c r="BI356" s="3166">
        <f t="shared" si="220"/>
        <v>0</v>
      </c>
      <c r="BJ356" s="3166">
        <f t="shared" si="221"/>
        <v>0</v>
      </c>
      <c r="BK356" s="3166">
        <f t="shared" si="222"/>
        <v>0</v>
      </c>
      <c r="BL356" s="3166">
        <f t="shared" si="223"/>
        <v>0</v>
      </c>
      <c r="BM356" s="3166">
        <f t="shared" si="224"/>
        <v>0</v>
      </c>
      <c r="BN356" s="3166">
        <f t="shared" si="225"/>
        <v>0</v>
      </c>
      <c r="BO356" s="3166">
        <f t="shared" si="226"/>
        <v>0</v>
      </c>
      <c r="BP356" s="3166">
        <f t="shared" si="227"/>
        <v>0</v>
      </c>
      <c r="BQ356" s="3166">
        <f t="shared" si="228"/>
        <v>0</v>
      </c>
      <c r="BR356" s="3166">
        <f t="shared" si="229"/>
        <v>0</v>
      </c>
      <c r="BS356" s="3166">
        <f t="shared" si="230"/>
        <v>0</v>
      </c>
      <c r="BT356" s="3240">
        <f t="shared" si="231"/>
        <v>0</v>
      </c>
    </row>
    <row r="357" spans="1:72">
      <c r="A357" s="3163"/>
      <c r="B357" s="3164"/>
      <c r="C357" s="3164"/>
      <c r="D357" s="3176"/>
      <c r="E357" s="3166">
        <f t="shared" si="232"/>
        <v>0</v>
      </c>
      <c r="F357" s="3167"/>
      <c r="G357" s="3168">
        <f t="shared" si="207"/>
        <v>0</v>
      </c>
      <c r="H357" s="3169">
        <f t="shared" si="208"/>
        <v>0</v>
      </c>
      <c r="I357" s="3187"/>
      <c r="J357" s="3187"/>
      <c r="K357" s="3187"/>
      <c r="L357" s="3187"/>
      <c r="M357" s="3187"/>
      <c r="N357" s="3187"/>
      <c r="O357" s="3187"/>
      <c r="P357" s="3187"/>
      <c r="Q357" s="3187"/>
      <c r="R357" s="3187"/>
      <c r="S357" s="3187"/>
      <c r="T357" s="3187"/>
      <c r="U357" s="3187"/>
      <c r="V357" s="3187"/>
      <c r="W357" s="3187"/>
      <c r="X357" s="3187"/>
      <c r="Y357" s="3187"/>
      <c r="Z357" s="3187"/>
      <c r="AA357" s="3187"/>
      <c r="AB357" s="3187"/>
      <c r="AC357" s="3166">
        <f t="shared" si="209"/>
        <v>0</v>
      </c>
      <c r="AD357" s="3198"/>
      <c r="AE357" s="3198"/>
      <c r="AF357" s="3198"/>
      <c r="AG357" s="3198"/>
      <c r="AH357" s="3198"/>
      <c r="AI357" s="3198"/>
      <c r="AJ357" s="3198"/>
      <c r="AK357" s="3198"/>
      <c r="AL357" s="3198"/>
      <c r="AM357" s="3198"/>
      <c r="AN357" s="3198"/>
      <c r="AO357" s="3198"/>
      <c r="AP357" s="3198"/>
      <c r="AQ357" s="3198"/>
      <c r="AR357" s="3198"/>
      <c r="AS357" s="3198"/>
      <c r="AT357" s="3218"/>
      <c r="AU357" s="3219"/>
      <c r="AV357" s="488">
        <f t="shared" si="233"/>
        <v>0</v>
      </c>
      <c r="AW357" s="488">
        <f t="shared" si="234"/>
        <v>0</v>
      </c>
      <c r="AX357" s="488">
        <f t="shared" si="235"/>
        <v>0</v>
      </c>
      <c r="AY357" s="3235">
        <f t="shared" si="210"/>
        <v>0</v>
      </c>
      <c r="AZ357" s="3166">
        <f t="shared" si="211"/>
        <v>0</v>
      </c>
      <c r="BA357" s="3166">
        <f t="shared" si="212"/>
        <v>0</v>
      </c>
      <c r="BB357" s="3166">
        <f t="shared" si="213"/>
        <v>0</v>
      </c>
      <c r="BC357" s="3166">
        <f t="shared" si="214"/>
        <v>0</v>
      </c>
      <c r="BD357" s="3166">
        <f t="shared" si="215"/>
        <v>0</v>
      </c>
      <c r="BE357" s="3166">
        <f t="shared" si="216"/>
        <v>0</v>
      </c>
      <c r="BF357" s="3166">
        <f t="shared" si="217"/>
        <v>0</v>
      </c>
      <c r="BG357" s="3166">
        <f t="shared" si="218"/>
        <v>0</v>
      </c>
      <c r="BH357" s="3166">
        <f t="shared" si="219"/>
        <v>0</v>
      </c>
      <c r="BI357" s="3166">
        <f t="shared" si="220"/>
        <v>0</v>
      </c>
      <c r="BJ357" s="3166">
        <f t="shared" si="221"/>
        <v>0</v>
      </c>
      <c r="BK357" s="3166">
        <f t="shared" si="222"/>
        <v>0</v>
      </c>
      <c r="BL357" s="3166">
        <f t="shared" si="223"/>
        <v>0</v>
      </c>
      <c r="BM357" s="3166">
        <f t="shared" si="224"/>
        <v>0</v>
      </c>
      <c r="BN357" s="3166">
        <f t="shared" si="225"/>
        <v>0</v>
      </c>
      <c r="BO357" s="3166">
        <f t="shared" si="226"/>
        <v>0</v>
      </c>
      <c r="BP357" s="3166">
        <f t="shared" si="227"/>
        <v>0</v>
      </c>
      <c r="BQ357" s="3166">
        <f t="shared" si="228"/>
        <v>0</v>
      </c>
      <c r="BR357" s="3166">
        <f t="shared" si="229"/>
        <v>0</v>
      </c>
      <c r="BS357" s="3166">
        <f t="shared" si="230"/>
        <v>0</v>
      </c>
      <c r="BT357" s="3240">
        <f t="shared" si="231"/>
        <v>0</v>
      </c>
    </row>
    <row r="358" spans="1:72">
      <c r="A358" s="3163"/>
      <c r="B358" s="3164"/>
      <c r="C358" s="3164"/>
      <c r="D358" s="3176"/>
      <c r="E358" s="3166">
        <f t="shared" si="232"/>
        <v>0</v>
      </c>
      <c r="F358" s="3167"/>
      <c r="G358" s="3168">
        <f t="shared" ref="G358:G388" si="236">H358+AC358+AT358</f>
        <v>0</v>
      </c>
      <c r="H358" s="3169">
        <f t="shared" ref="H358:H388" si="237">SUMIF(I$12:AB$12,"总值",I358:AB358)</f>
        <v>0</v>
      </c>
      <c r="I358" s="3187"/>
      <c r="J358" s="3187"/>
      <c r="K358" s="3187"/>
      <c r="L358" s="3187"/>
      <c r="M358" s="3187"/>
      <c r="N358" s="3187"/>
      <c r="O358" s="3187"/>
      <c r="P358" s="3187"/>
      <c r="Q358" s="3187"/>
      <c r="R358" s="3187"/>
      <c r="S358" s="3187"/>
      <c r="T358" s="3187"/>
      <c r="U358" s="3187"/>
      <c r="V358" s="3187"/>
      <c r="W358" s="3187"/>
      <c r="X358" s="3187"/>
      <c r="Y358" s="3187"/>
      <c r="Z358" s="3187"/>
      <c r="AA358" s="3187"/>
      <c r="AB358" s="3187"/>
      <c r="AC358" s="3166">
        <f t="shared" ref="AC358:AC388" si="238">SUMIF(AD$12:AS$12,"总值",AD358:AS358)</f>
        <v>0</v>
      </c>
      <c r="AD358" s="3198"/>
      <c r="AE358" s="3198"/>
      <c r="AF358" s="3198"/>
      <c r="AG358" s="3198"/>
      <c r="AH358" s="3198"/>
      <c r="AI358" s="3198"/>
      <c r="AJ358" s="3198"/>
      <c r="AK358" s="3198"/>
      <c r="AL358" s="3198"/>
      <c r="AM358" s="3198"/>
      <c r="AN358" s="3198"/>
      <c r="AO358" s="3198"/>
      <c r="AP358" s="3198"/>
      <c r="AQ358" s="3198"/>
      <c r="AR358" s="3198"/>
      <c r="AS358" s="3198"/>
      <c r="AT358" s="3218"/>
      <c r="AU358" s="3219"/>
      <c r="AV358" s="488">
        <f t="shared" si="233"/>
        <v>0</v>
      </c>
      <c r="AW358" s="488">
        <f t="shared" si="234"/>
        <v>0</v>
      </c>
      <c r="AX358" s="488">
        <f t="shared" si="235"/>
        <v>0</v>
      </c>
      <c r="AY358" s="3235">
        <f t="shared" ref="AY358:AY388" si="239">ROUND($AY$6*AZ358/$AZ$5,2)</f>
        <v>0</v>
      </c>
      <c r="AZ358" s="3166">
        <f t="shared" ref="AZ358:AZ388" si="240">BA358+BL358</f>
        <v>0</v>
      </c>
      <c r="BA358" s="3166">
        <f t="shared" ref="BA358:BA388" si="241">SUM(BB358:BK358)</f>
        <v>0</v>
      </c>
      <c r="BB358" s="3166">
        <f t="shared" ref="BB358:BB388" si="242">IF($D358="是",I358-J358,0)</f>
        <v>0</v>
      </c>
      <c r="BC358" s="3166">
        <f t="shared" ref="BC358:BC388" si="243">IF($D358="是",K358-L358,0)</f>
        <v>0</v>
      </c>
      <c r="BD358" s="3166">
        <f t="shared" ref="BD358:BD388" si="244">IF($D358="是",M358-N358,0)</f>
        <v>0</v>
      </c>
      <c r="BE358" s="3166">
        <f t="shared" ref="BE358:BE388" si="245">IF($D358="是",O358-P358,0)</f>
        <v>0</v>
      </c>
      <c r="BF358" s="3166">
        <f t="shared" ref="BF358:BF388" si="246">IF($D358="是",Q358-R358,0)</f>
        <v>0</v>
      </c>
      <c r="BG358" s="3166">
        <f t="shared" ref="BG358:BG388" si="247">IF($D358="是",S358-T358,0)</f>
        <v>0</v>
      </c>
      <c r="BH358" s="3166">
        <f t="shared" ref="BH358:BH388" si="248">IF($D358="是",U358-V358,0)</f>
        <v>0</v>
      </c>
      <c r="BI358" s="3166">
        <f t="shared" ref="BI358:BI388" si="249">IF($D358="是",W358-X358,0)</f>
        <v>0</v>
      </c>
      <c r="BJ358" s="3166">
        <f t="shared" ref="BJ358:BJ388" si="250">IF($D358="是",Y358-Z358,0)</f>
        <v>0</v>
      </c>
      <c r="BK358" s="3166">
        <f t="shared" ref="BK358:BK388" si="251">IF($D358="是",AA358-AB358,0)</f>
        <v>0</v>
      </c>
      <c r="BL358" s="3166">
        <f t="shared" ref="BL358:BL388" si="252">SUM(BM358:BT358)</f>
        <v>0</v>
      </c>
      <c r="BM358" s="3166">
        <f t="shared" ref="BM358:BM388" si="253">IF($D358="是",AD358-AE358,0)</f>
        <v>0</v>
      </c>
      <c r="BN358" s="3166">
        <f t="shared" ref="BN358:BN388" si="254">IF($D358="是",AF358-AG358,0)</f>
        <v>0</v>
      </c>
      <c r="BO358" s="3166">
        <f t="shared" ref="BO358:BO388" si="255">IF($D358="是",AH358-AI358,0)</f>
        <v>0</v>
      </c>
      <c r="BP358" s="3166">
        <f t="shared" ref="BP358:BP388" si="256">IF($D358="是",AJ358-AK358,0)</f>
        <v>0</v>
      </c>
      <c r="BQ358" s="3166">
        <f t="shared" ref="BQ358:BQ388" si="257">IF($D358="是",AL358-AM358,0)</f>
        <v>0</v>
      </c>
      <c r="BR358" s="3166">
        <f t="shared" ref="BR358:BR388" si="258">IF($D358="是",AN358-AO358,0)</f>
        <v>0</v>
      </c>
      <c r="BS358" s="3166">
        <f t="shared" ref="BS358:BS388" si="259">IF($D358="是",AP358-AQ358,0)</f>
        <v>0</v>
      </c>
      <c r="BT358" s="3240">
        <f t="shared" ref="BT358:BT388" si="260">IF($D358="是",AR358-AS358,0)</f>
        <v>0</v>
      </c>
    </row>
    <row r="359" spans="1:72">
      <c r="A359" s="3163"/>
      <c r="B359" s="3164"/>
      <c r="C359" s="3164"/>
      <c r="D359" s="3176"/>
      <c r="E359" s="3166">
        <f t="shared" si="232"/>
        <v>0</v>
      </c>
      <c r="F359" s="3167"/>
      <c r="G359" s="3168">
        <f t="shared" si="236"/>
        <v>0</v>
      </c>
      <c r="H359" s="3169">
        <f t="shared" si="237"/>
        <v>0</v>
      </c>
      <c r="I359" s="3187"/>
      <c r="J359" s="3187"/>
      <c r="K359" s="3187"/>
      <c r="L359" s="3187"/>
      <c r="M359" s="3187"/>
      <c r="N359" s="3187"/>
      <c r="O359" s="3187"/>
      <c r="P359" s="3187"/>
      <c r="Q359" s="3187"/>
      <c r="R359" s="3187"/>
      <c r="S359" s="3187"/>
      <c r="T359" s="3187"/>
      <c r="U359" s="3187"/>
      <c r="V359" s="3187"/>
      <c r="W359" s="3187"/>
      <c r="X359" s="3187"/>
      <c r="Y359" s="3187"/>
      <c r="Z359" s="3187"/>
      <c r="AA359" s="3187"/>
      <c r="AB359" s="3187"/>
      <c r="AC359" s="3166">
        <f t="shared" si="238"/>
        <v>0</v>
      </c>
      <c r="AD359" s="3198"/>
      <c r="AE359" s="3198"/>
      <c r="AF359" s="3198"/>
      <c r="AG359" s="3198"/>
      <c r="AH359" s="3198"/>
      <c r="AI359" s="3198"/>
      <c r="AJ359" s="3198"/>
      <c r="AK359" s="3198"/>
      <c r="AL359" s="3198"/>
      <c r="AM359" s="3198"/>
      <c r="AN359" s="3198"/>
      <c r="AO359" s="3198"/>
      <c r="AP359" s="3198"/>
      <c r="AQ359" s="3198"/>
      <c r="AR359" s="3198"/>
      <c r="AS359" s="3198"/>
      <c r="AT359" s="3218"/>
      <c r="AU359" s="3219"/>
      <c r="AV359" s="488">
        <f t="shared" si="233"/>
        <v>0</v>
      </c>
      <c r="AW359" s="488">
        <f t="shared" si="234"/>
        <v>0</v>
      </c>
      <c r="AX359" s="488">
        <f t="shared" si="235"/>
        <v>0</v>
      </c>
      <c r="AY359" s="3235">
        <f t="shared" si="239"/>
        <v>0</v>
      </c>
      <c r="AZ359" s="3166">
        <f t="shared" si="240"/>
        <v>0</v>
      </c>
      <c r="BA359" s="3166">
        <f t="shared" si="241"/>
        <v>0</v>
      </c>
      <c r="BB359" s="3166">
        <f t="shared" si="242"/>
        <v>0</v>
      </c>
      <c r="BC359" s="3166">
        <f t="shared" si="243"/>
        <v>0</v>
      </c>
      <c r="BD359" s="3166">
        <f t="shared" si="244"/>
        <v>0</v>
      </c>
      <c r="BE359" s="3166">
        <f t="shared" si="245"/>
        <v>0</v>
      </c>
      <c r="BF359" s="3166">
        <f t="shared" si="246"/>
        <v>0</v>
      </c>
      <c r="BG359" s="3166">
        <f t="shared" si="247"/>
        <v>0</v>
      </c>
      <c r="BH359" s="3166">
        <f t="shared" si="248"/>
        <v>0</v>
      </c>
      <c r="BI359" s="3166">
        <f t="shared" si="249"/>
        <v>0</v>
      </c>
      <c r="BJ359" s="3166">
        <f t="shared" si="250"/>
        <v>0</v>
      </c>
      <c r="BK359" s="3166">
        <f t="shared" si="251"/>
        <v>0</v>
      </c>
      <c r="BL359" s="3166">
        <f t="shared" si="252"/>
        <v>0</v>
      </c>
      <c r="BM359" s="3166">
        <f t="shared" si="253"/>
        <v>0</v>
      </c>
      <c r="BN359" s="3166">
        <f t="shared" si="254"/>
        <v>0</v>
      </c>
      <c r="BO359" s="3166">
        <f t="shared" si="255"/>
        <v>0</v>
      </c>
      <c r="BP359" s="3166">
        <f t="shared" si="256"/>
        <v>0</v>
      </c>
      <c r="BQ359" s="3166">
        <f t="shared" si="257"/>
        <v>0</v>
      </c>
      <c r="BR359" s="3166">
        <f t="shared" si="258"/>
        <v>0</v>
      </c>
      <c r="BS359" s="3166">
        <f t="shared" si="259"/>
        <v>0</v>
      </c>
      <c r="BT359" s="3240">
        <f t="shared" si="260"/>
        <v>0</v>
      </c>
    </row>
    <row r="360" spans="1:72">
      <c r="A360" s="3163"/>
      <c r="B360" s="3164"/>
      <c r="C360" s="3164"/>
      <c r="D360" s="3176"/>
      <c r="E360" s="3166">
        <f t="shared" si="232"/>
        <v>0</v>
      </c>
      <c r="F360" s="3167"/>
      <c r="G360" s="3168">
        <f t="shared" si="236"/>
        <v>0</v>
      </c>
      <c r="H360" s="3169">
        <f t="shared" si="237"/>
        <v>0</v>
      </c>
      <c r="I360" s="3187"/>
      <c r="J360" s="3187"/>
      <c r="K360" s="3187"/>
      <c r="L360" s="3187"/>
      <c r="M360" s="3187"/>
      <c r="N360" s="3187"/>
      <c r="O360" s="3187"/>
      <c r="P360" s="3187"/>
      <c r="Q360" s="3187"/>
      <c r="R360" s="3187"/>
      <c r="S360" s="3187"/>
      <c r="T360" s="3187"/>
      <c r="U360" s="3187"/>
      <c r="V360" s="3187"/>
      <c r="W360" s="3187"/>
      <c r="X360" s="3187"/>
      <c r="Y360" s="3187"/>
      <c r="Z360" s="3187"/>
      <c r="AA360" s="3187"/>
      <c r="AB360" s="3187"/>
      <c r="AC360" s="3166">
        <f t="shared" si="238"/>
        <v>0</v>
      </c>
      <c r="AD360" s="3198"/>
      <c r="AE360" s="3198"/>
      <c r="AF360" s="3198"/>
      <c r="AG360" s="3198"/>
      <c r="AH360" s="3198"/>
      <c r="AI360" s="3198"/>
      <c r="AJ360" s="3198"/>
      <c r="AK360" s="3198"/>
      <c r="AL360" s="3198"/>
      <c r="AM360" s="3198"/>
      <c r="AN360" s="3198"/>
      <c r="AO360" s="3198"/>
      <c r="AP360" s="3198"/>
      <c r="AQ360" s="3198"/>
      <c r="AR360" s="3198"/>
      <c r="AS360" s="3198"/>
      <c r="AT360" s="3218"/>
      <c r="AU360" s="3219"/>
      <c r="AV360" s="488">
        <f t="shared" si="233"/>
        <v>0</v>
      </c>
      <c r="AW360" s="488">
        <f t="shared" si="234"/>
        <v>0</v>
      </c>
      <c r="AX360" s="488">
        <f t="shared" si="235"/>
        <v>0</v>
      </c>
      <c r="AY360" s="3235">
        <f t="shared" si="239"/>
        <v>0</v>
      </c>
      <c r="AZ360" s="3166">
        <f t="shared" si="240"/>
        <v>0</v>
      </c>
      <c r="BA360" s="3166">
        <f t="shared" si="241"/>
        <v>0</v>
      </c>
      <c r="BB360" s="3166">
        <f t="shared" si="242"/>
        <v>0</v>
      </c>
      <c r="BC360" s="3166">
        <f t="shared" si="243"/>
        <v>0</v>
      </c>
      <c r="BD360" s="3166">
        <f t="shared" si="244"/>
        <v>0</v>
      </c>
      <c r="BE360" s="3166">
        <f t="shared" si="245"/>
        <v>0</v>
      </c>
      <c r="BF360" s="3166">
        <f t="shared" si="246"/>
        <v>0</v>
      </c>
      <c r="BG360" s="3166">
        <f t="shared" si="247"/>
        <v>0</v>
      </c>
      <c r="BH360" s="3166">
        <f t="shared" si="248"/>
        <v>0</v>
      </c>
      <c r="BI360" s="3166">
        <f t="shared" si="249"/>
        <v>0</v>
      </c>
      <c r="BJ360" s="3166">
        <f t="shared" si="250"/>
        <v>0</v>
      </c>
      <c r="BK360" s="3166">
        <f t="shared" si="251"/>
        <v>0</v>
      </c>
      <c r="BL360" s="3166">
        <f t="shared" si="252"/>
        <v>0</v>
      </c>
      <c r="BM360" s="3166">
        <f t="shared" si="253"/>
        <v>0</v>
      </c>
      <c r="BN360" s="3166">
        <f t="shared" si="254"/>
        <v>0</v>
      </c>
      <c r="BO360" s="3166">
        <f t="shared" si="255"/>
        <v>0</v>
      </c>
      <c r="BP360" s="3166">
        <f t="shared" si="256"/>
        <v>0</v>
      </c>
      <c r="BQ360" s="3166">
        <f t="shared" si="257"/>
        <v>0</v>
      </c>
      <c r="BR360" s="3166">
        <f t="shared" si="258"/>
        <v>0</v>
      </c>
      <c r="BS360" s="3166">
        <f t="shared" si="259"/>
        <v>0</v>
      </c>
      <c r="BT360" s="3240">
        <f t="shared" si="260"/>
        <v>0</v>
      </c>
    </row>
    <row r="361" spans="1:72">
      <c r="A361" s="3163"/>
      <c r="B361" s="3164"/>
      <c r="C361" s="3164"/>
      <c r="D361" s="3176"/>
      <c r="E361" s="3166">
        <f t="shared" ref="E361:E388" si="261">IF($C$3="是",ROUND($A$3*G361/$B$3,2),ROUND($A$3*(G361-AT361)/$B$3,2))</f>
        <v>0</v>
      </c>
      <c r="F361" s="3167"/>
      <c r="G361" s="3168">
        <f t="shared" si="236"/>
        <v>0</v>
      </c>
      <c r="H361" s="3169">
        <f t="shared" si="237"/>
        <v>0</v>
      </c>
      <c r="I361" s="3187"/>
      <c r="J361" s="3187"/>
      <c r="K361" s="3187"/>
      <c r="L361" s="3187"/>
      <c r="M361" s="3187"/>
      <c r="N361" s="3187"/>
      <c r="O361" s="3187"/>
      <c r="P361" s="3187"/>
      <c r="Q361" s="3187"/>
      <c r="R361" s="3187"/>
      <c r="S361" s="3187"/>
      <c r="T361" s="3187"/>
      <c r="U361" s="3187"/>
      <c r="V361" s="3187"/>
      <c r="W361" s="3187"/>
      <c r="X361" s="3187"/>
      <c r="Y361" s="3187"/>
      <c r="Z361" s="3187"/>
      <c r="AA361" s="3187"/>
      <c r="AB361" s="3187"/>
      <c r="AC361" s="3166">
        <f t="shared" si="238"/>
        <v>0</v>
      </c>
      <c r="AD361" s="3198"/>
      <c r="AE361" s="3198"/>
      <c r="AF361" s="3198"/>
      <c r="AG361" s="3198"/>
      <c r="AH361" s="3198"/>
      <c r="AI361" s="3198"/>
      <c r="AJ361" s="3198"/>
      <c r="AK361" s="3198"/>
      <c r="AL361" s="3198"/>
      <c r="AM361" s="3198"/>
      <c r="AN361" s="3198"/>
      <c r="AO361" s="3198"/>
      <c r="AP361" s="3198"/>
      <c r="AQ361" s="3198"/>
      <c r="AR361" s="3198"/>
      <c r="AS361" s="3198"/>
      <c r="AT361" s="3218"/>
      <c r="AU361" s="3219"/>
      <c r="AV361" s="488">
        <f t="shared" ref="AV361:AV388" si="262">A361</f>
        <v>0</v>
      </c>
      <c r="AW361" s="488">
        <f t="shared" ref="AW361:AW388" si="263">B361</f>
        <v>0</v>
      </c>
      <c r="AX361" s="488">
        <f t="shared" ref="AX361:AX388" si="264">C361</f>
        <v>0</v>
      </c>
      <c r="AY361" s="3235">
        <f t="shared" si="239"/>
        <v>0</v>
      </c>
      <c r="AZ361" s="3166">
        <f t="shared" si="240"/>
        <v>0</v>
      </c>
      <c r="BA361" s="3166">
        <f t="shared" si="241"/>
        <v>0</v>
      </c>
      <c r="BB361" s="3166">
        <f t="shared" si="242"/>
        <v>0</v>
      </c>
      <c r="BC361" s="3166">
        <f t="shared" si="243"/>
        <v>0</v>
      </c>
      <c r="BD361" s="3166">
        <f t="shared" si="244"/>
        <v>0</v>
      </c>
      <c r="BE361" s="3166">
        <f t="shared" si="245"/>
        <v>0</v>
      </c>
      <c r="BF361" s="3166">
        <f t="shared" si="246"/>
        <v>0</v>
      </c>
      <c r="BG361" s="3166">
        <f t="shared" si="247"/>
        <v>0</v>
      </c>
      <c r="BH361" s="3166">
        <f t="shared" si="248"/>
        <v>0</v>
      </c>
      <c r="BI361" s="3166">
        <f t="shared" si="249"/>
        <v>0</v>
      </c>
      <c r="BJ361" s="3166">
        <f t="shared" si="250"/>
        <v>0</v>
      </c>
      <c r="BK361" s="3166">
        <f t="shared" si="251"/>
        <v>0</v>
      </c>
      <c r="BL361" s="3166">
        <f t="shared" si="252"/>
        <v>0</v>
      </c>
      <c r="BM361" s="3166">
        <f t="shared" si="253"/>
        <v>0</v>
      </c>
      <c r="BN361" s="3166">
        <f t="shared" si="254"/>
        <v>0</v>
      </c>
      <c r="BO361" s="3166">
        <f t="shared" si="255"/>
        <v>0</v>
      </c>
      <c r="BP361" s="3166">
        <f t="shared" si="256"/>
        <v>0</v>
      </c>
      <c r="BQ361" s="3166">
        <f t="shared" si="257"/>
        <v>0</v>
      </c>
      <c r="BR361" s="3166">
        <f t="shared" si="258"/>
        <v>0</v>
      </c>
      <c r="BS361" s="3166">
        <f t="shared" si="259"/>
        <v>0</v>
      </c>
      <c r="BT361" s="3240">
        <f t="shared" si="260"/>
        <v>0</v>
      </c>
    </row>
    <row r="362" spans="1:72">
      <c r="A362" s="3163"/>
      <c r="B362" s="3164"/>
      <c r="C362" s="3164"/>
      <c r="D362" s="3176"/>
      <c r="E362" s="3166">
        <f t="shared" si="261"/>
        <v>0</v>
      </c>
      <c r="F362" s="3167"/>
      <c r="G362" s="3168">
        <f t="shared" si="236"/>
        <v>0</v>
      </c>
      <c r="H362" s="3169">
        <f t="shared" si="237"/>
        <v>0</v>
      </c>
      <c r="I362" s="3187"/>
      <c r="J362" s="3187"/>
      <c r="K362" s="3187"/>
      <c r="L362" s="3187"/>
      <c r="M362" s="3187"/>
      <c r="N362" s="3187"/>
      <c r="O362" s="3187"/>
      <c r="P362" s="3187"/>
      <c r="Q362" s="3187"/>
      <c r="R362" s="3187"/>
      <c r="S362" s="3187"/>
      <c r="T362" s="3187"/>
      <c r="U362" s="3187"/>
      <c r="V362" s="3187"/>
      <c r="W362" s="3187"/>
      <c r="X362" s="3187"/>
      <c r="Y362" s="3187"/>
      <c r="Z362" s="3187"/>
      <c r="AA362" s="3187"/>
      <c r="AB362" s="3187"/>
      <c r="AC362" s="3166">
        <f t="shared" si="238"/>
        <v>0</v>
      </c>
      <c r="AD362" s="3198"/>
      <c r="AE362" s="3198"/>
      <c r="AF362" s="3198"/>
      <c r="AG362" s="3198"/>
      <c r="AH362" s="3198"/>
      <c r="AI362" s="3198"/>
      <c r="AJ362" s="3198"/>
      <c r="AK362" s="3198"/>
      <c r="AL362" s="3198"/>
      <c r="AM362" s="3198"/>
      <c r="AN362" s="3198"/>
      <c r="AO362" s="3198"/>
      <c r="AP362" s="3198"/>
      <c r="AQ362" s="3198"/>
      <c r="AR362" s="3198"/>
      <c r="AS362" s="3198"/>
      <c r="AT362" s="3218"/>
      <c r="AU362" s="3219"/>
      <c r="AV362" s="488">
        <f t="shared" si="262"/>
        <v>0</v>
      </c>
      <c r="AW362" s="488">
        <f t="shared" si="263"/>
        <v>0</v>
      </c>
      <c r="AX362" s="488">
        <f t="shared" si="264"/>
        <v>0</v>
      </c>
      <c r="AY362" s="3235">
        <f t="shared" si="239"/>
        <v>0</v>
      </c>
      <c r="AZ362" s="3166">
        <f t="shared" si="240"/>
        <v>0</v>
      </c>
      <c r="BA362" s="3166">
        <f t="shared" si="241"/>
        <v>0</v>
      </c>
      <c r="BB362" s="3166">
        <f t="shared" si="242"/>
        <v>0</v>
      </c>
      <c r="BC362" s="3166">
        <f t="shared" si="243"/>
        <v>0</v>
      </c>
      <c r="BD362" s="3166">
        <f t="shared" si="244"/>
        <v>0</v>
      </c>
      <c r="BE362" s="3166">
        <f t="shared" si="245"/>
        <v>0</v>
      </c>
      <c r="BF362" s="3166">
        <f t="shared" si="246"/>
        <v>0</v>
      </c>
      <c r="BG362" s="3166">
        <f t="shared" si="247"/>
        <v>0</v>
      </c>
      <c r="BH362" s="3166">
        <f t="shared" si="248"/>
        <v>0</v>
      </c>
      <c r="BI362" s="3166">
        <f t="shared" si="249"/>
        <v>0</v>
      </c>
      <c r="BJ362" s="3166">
        <f t="shared" si="250"/>
        <v>0</v>
      </c>
      <c r="BK362" s="3166">
        <f t="shared" si="251"/>
        <v>0</v>
      </c>
      <c r="BL362" s="3166">
        <f t="shared" si="252"/>
        <v>0</v>
      </c>
      <c r="BM362" s="3166">
        <f t="shared" si="253"/>
        <v>0</v>
      </c>
      <c r="BN362" s="3166">
        <f t="shared" si="254"/>
        <v>0</v>
      </c>
      <c r="BO362" s="3166">
        <f t="shared" si="255"/>
        <v>0</v>
      </c>
      <c r="BP362" s="3166">
        <f t="shared" si="256"/>
        <v>0</v>
      </c>
      <c r="BQ362" s="3166">
        <f t="shared" si="257"/>
        <v>0</v>
      </c>
      <c r="BR362" s="3166">
        <f t="shared" si="258"/>
        <v>0</v>
      </c>
      <c r="BS362" s="3166">
        <f t="shared" si="259"/>
        <v>0</v>
      </c>
      <c r="BT362" s="3240">
        <f t="shared" si="260"/>
        <v>0</v>
      </c>
    </row>
    <row r="363" spans="1:72">
      <c r="A363" s="3163"/>
      <c r="B363" s="3164"/>
      <c r="C363" s="3164"/>
      <c r="D363" s="3176"/>
      <c r="E363" s="3166">
        <f t="shared" si="261"/>
        <v>0</v>
      </c>
      <c r="F363" s="3167"/>
      <c r="G363" s="3168">
        <f t="shared" si="236"/>
        <v>0</v>
      </c>
      <c r="H363" s="3169">
        <f t="shared" si="237"/>
        <v>0</v>
      </c>
      <c r="I363" s="3187"/>
      <c r="J363" s="3187"/>
      <c r="K363" s="3187"/>
      <c r="L363" s="3187"/>
      <c r="M363" s="3187"/>
      <c r="N363" s="3187"/>
      <c r="O363" s="3187"/>
      <c r="P363" s="3187"/>
      <c r="Q363" s="3187"/>
      <c r="R363" s="3187"/>
      <c r="S363" s="3187"/>
      <c r="T363" s="3187"/>
      <c r="U363" s="3187"/>
      <c r="V363" s="3187"/>
      <c r="W363" s="3187"/>
      <c r="X363" s="3187"/>
      <c r="Y363" s="3187"/>
      <c r="Z363" s="3187"/>
      <c r="AA363" s="3187"/>
      <c r="AB363" s="3187"/>
      <c r="AC363" s="3166">
        <f t="shared" si="238"/>
        <v>0</v>
      </c>
      <c r="AD363" s="3198"/>
      <c r="AE363" s="3198"/>
      <c r="AF363" s="3198"/>
      <c r="AG363" s="3198"/>
      <c r="AH363" s="3198"/>
      <c r="AI363" s="3198"/>
      <c r="AJ363" s="3198"/>
      <c r="AK363" s="3198"/>
      <c r="AL363" s="3198"/>
      <c r="AM363" s="3198"/>
      <c r="AN363" s="3198"/>
      <c r="AO363" s="3198"/>
      <c r="AP363" s="3198"/>
      <c r="AQ363" s="3198"/>
      <c r="AR363" s="3198"/>
      <c r="AS363" s="3198"/>
      <c r="AT363" s="3218"/>
      <c r="AU363" s="3219"/>
      <c r="AV363" s="488">
        <f t="shared" si="262"/>
        <v>0</v>
      </c>
      <c r="AW363" s="488">
        <f t="shared" si="263"/>
        <v>0</v>
      </c>
      <c r="AX363" s="488">
        <f t="shared" si="264"/>
        <v>0</v>
      </c>
      <c r="AY363" s="3235">
        <f t="shared" si="239"/>
        <v>0</v>
      </c>
      <c r="AZ363" s="3166">
        <f t="shared" si="240"/>
        <v>0</v>
      </c>
      <c r="BA363" s="3166">
        <f t="shared" si="241"/>
        <v>0</v>
      </c>
      <c r="BB363" s="3166">
        <f t="shared" si="242"/>
        <v>0</v>
      </c>
      <c r="BC363" s="3166">
        <f t="shared" si="243"/>
        <v>0</v>
      </c>
      <c r="BD363" s="3166">
        <f t="shared" si="244"/>
        <v>0</v>
      </c>
      <c r="BE363" s="3166">
        <f t="shared" si="245"/>
        <v>0</v>
      </c>
      <c r="BF363" s="3166">
        <f t="shared" si="246"/>
        <v>0</v>
      </c>
      <c r="BG363" s="3166">
        <f t="shared" si="247"/>
        <v>0</v>
      </c>
      <c r="BH363" s="3166">
        <f t="shared" si="248"/>
        <v>0</v>
      </c>
      <c r="BI363" s="3166">
        <f t="shared" si="249"/>
        <v>0</v>
      </c>
      <c r="BJ363" s="3166">
        <f t="shared" si="250"/>
        <v>0</v>
      </c>
      <c r="BK363" s="3166">
        <f t="shared" si="251"/>
        <v>0</v>
      </c>
      <c r="BL363" s="3166">
        <f t="shared" si="252"/>
        <v>0</v>
      </c>
      <c r="BM363" s="3166">
        <f t="shared" si="253"/>
        <v>0</v>
      </c>
      <c r="BN363" s="3166">
        <f t="shared" si="254"/>
        <v>0</v>
      </c>
      <c r="BO363" s="3166">
        <f t="shared" si="255"/>
        <v>0</v>
      </c>
      <c r="BP363" s="3166">
        <f t="shared" si="256"/>
        <v>0</v>
      </c>
      <c r="BQ363" s="3166">
        <f t="shared" si="257"/>
        <v>0</v>
      </c>
      <c r="BR363" s="3166">
        <f t="shared" si="258"/>
        <v>0</v>
      </c>
      <c r="BS363" s="3166">
        <f t="shared" si="259"/>
        <v>0</v>
      </c>
      <c r="BT363" s="3240">
        <f t="shared" si="260"/>
        <v>0</v>
      </c>
    </row>
    <row r="364" spans="1:72">
      <c r="A364" s="3163"/>
      <c r="B364" s="3164"/>
      <c r="C364" s="3164"/>
      <c r="D364" s="3176"/>
      <c r="E364" s="3166">
        <f t="shared" si="261"/>
        <v>0</v>
      </c>
      <c r="F364" s="3167"/>
      <c r="G364" s="3168">
        <f t="shared" si="236"/>
        <v>0</v>
      </c>
      <c r="H364" s="3169">
        <f t="shared" si="237"/>
        <v>0</v>
      </c>
      <c r="I364" s="3187"/>
      <c r="J364" s="3187"/>
      <c r="K364" s="3187"/>
      <c r="L364" s="3187"/>
      <c r="M364" s="3187"/>
      <c r="N364" s="3187"/>
      <c r="O364" s="3187"/>
      <c r="P364" s="3187"/>
      <c r="Q364" s="3187"/>
      <c r="R364" s="3187"/>
      <c r="S364" s="3187"/>
      <c r="T364" s="3187"/>
      <c r="U364" s="3187"/>
      <c r="V364" s="3187"/>
      <c r="W364" s="3187"/>
      <c r="X364" s="3187"/>
      <c r="Y364" s="3187"/>
      <c r="Z364" s="3187"/>
      <c r="AA364" s="3187"/>
      <c r="AB364" s="3187"/>
      <c r="AC364" s="3166">
        <f t="shared" si="238"/>
        <v>0</v>
      </c>
      <c r="AD364" s="3198"/>
      <c r="AE364" s="3198"/>
      <c r="AF364" s="3198"/>
      <c r="AG364" s="3198"/>
      <c r="AH364" s="3198"/>
      <c r="AI364" s="3198"/>
      <c r="AJ364" s="3198"/>
      <c r="AK364" s="3198"/>
      <c r="AL364" s="3198"/>
      <c r="AM364" s="3198"/>
      <c r="AN364" s="3198"/>
      <c r="AO364" s="3198"/>
      <c r="AP364" s="3198"/>
      <c r="AQ364" s="3198"/>
      <c r="AR364" s="3198"/>
      <c r="AS364" s="3198"/>
      <c r="AT364" s="3218"/>
      <c r="AU364" s="3219"/>
      <c r="AV364" s="488">
        <f t="shared" si="262"/>
        <v>0</v>
      </c>
      <c r="AW364" s="488">
        <f t="shared" si="263"/>
        <v>0</v>
      </c>
      <c r="AX364" s="488">
        <f t="shared" si="264"/>
        <v>0</v>
      </c>
      <c r="AY364" s="3235">
        <f t="shared" si="239"/>
        <v>0</v>
      </c>
      <c r="AZ364" s="3166">
        <f t="shared" si="240"/>
        <v>0</v>
      </c>
      <c r="BA364" s="3166">
        <f t="shared" si="241"/>
        <v>0</v>
      </c>
      <c r="BB364" s="3166">
        <f t="shared" si="242"/>
        <v>0</v>
      </c>
      <c r="BC364" s="3166">
        <f t="shared" si="243"/>
        <v>0</v>
      </c>
      <c r="BD364" s="3166">
        <f t="shared" si="244"/>
        <v>0</v>
      </c>
      <c r="BE364" s="3166">
        <f t="shared" si="245"/>
        <v>0</v>
      </c>
      <c r="BF364" s="3166">
        <f t="shared" si="246"/>
        <v>0</v>
      </c>
      <c r="BG364" s="3166">
        <f t="shared" si="247"/>
        <v>0</v>
      </c>
      <c r="BH364" s="3166">
        <f t="shared" si="248"/>
        <v>0</v>
      </c>
      <c r="BI364" s="3166">
        <f t="shared" si="249"/>
        <v>0</v>
      </c>
      <c r="BJ364" s="3166">
        <f t="shared" si="250"/>
        <v>0</v>
      </c>
      <c r="BK364" s="3166">
        <f t="shared" si="251"/>
        <v>0</v>
      </c>
      <c r="BL364" s="3166">
        <f t="shared" si="252"/>
        <v>0</v>
      </c>
      <c r="BM364" s="3166">
        <f t="shared" si="253"/>
        <v>0</v>
      </c>
      <c r="BN364" s="3166">
        <f t="shared" si="254"/>
        <v>0</v>
      </c>
      <c r="BO364" s="3166">
        <f t="shared" si="255"/>
        <v>0</v>
      </c>
      <c r="BP364" s="3166">
        <f t="shared" si="256"/>
        <v>0</v>
      </c>
      <c r="BQ364" s="3166">
        <f t="shared" si="257"/>
        <v>0</v>
      </c>
      <c r="BR364" s="3166">
        <f t="shared" si="258"/>
        <v>0</v>
      </c>
      <c r="BS364" s="3166">
        <f t="shared" si="259"/>
        <v>0</v>
      </c>
      <c r="BT364" s="3240">
        <f t="shared" si="260"/>
        <v>0</v>
      </c>
    </row>
    <row r="365" spans="1:72">
      <c r="A365" s="3163"/>
      <c r="B365" s="3164"/>
      <c r="C365" s="3164"/>
      <c r="D365" s="3176"/>
      <c r="E365" s="3166">
        <f t="shared" si="261"/>
        <v>0</v>
      </c>
      <c r="F365" s="3167"/>
      <c r="G365" s="3168">
        <f t="shared" si="236"/>
        <v>0</v>
      </c>
      <c r="H365" s="3169">
        <f t="shared" si="237"/>
        <v>0</v>
      </c>
      <c r="I365" s="3187"/>
      <c r="J365" s="3187"/>
      <c r="K365" s="3187"/>
      <c r="L365" s="3187"/>
      <c r="M365" s="3187"/>
      <c r="N365" s="3187"/>
      <c r="O365" s="3187"/>
      <c r="P365" s="3187"/>
      <c r="Q365" s="3187"/>
      <c r="R365" s="3187"/>
      <c r="S365" s="3187"/>
      <c r="T365" s="3187"/>
      <c r="U365" s="3187"/>
      <c r="V365" s="3187"/>
      <c r="W365" s="3187"/>
      <c r="X365" s="3187"/>
      <c r="Y365" s="3187"/>
      <c r="Z365" s="3187"/>
      <c r="AA365" s="3187"/>
      <c r="AB365" s="3187"/>
      <c r="AC365" s="3166">
        <f t="shared" si="238"/>
        <v>0</v>
      </c>
      <c r="AD365" s="3198"/>
      <c r="AE365" s="3198"/>
      <c r="AF365" s="3198"/>
      <c r="AG365" s="3198"/>
      <c r="AH365" s="3198"/>
      <c r="AI365" s="3198"/>
      <c r="AJ365" s="3198"/>
      <c r="AK365" s="3198"/>
      <c r="AL365" s="3198"/>
      <c r="AM365" s="3198"/>
      <c r="AN365" s="3198"/>
      <c r="AO365" s="3198"/>
      <c r="AP365" s="3198"/>
      <c r="AQ365" s="3198"/>
      <c r="AR365" s="3198"/>
      <c r="AS365" s="3198"/>
      <c r="AT365" s="3218"/>
      <c r="AU365" s="3219"/>
      <c r="AV365" s="488">
        <f t="shared" si="262"/>
        <v>0</v>
      </c>
      <c r="AW365" s="488">
        <f t="shared" si="263"/>
        <v>0</v>
      </c>
      <c r="AX365" s="488">
        <f t="shared" si="264"/>
        <v>0</v>
      </c>
      <c r="AY365" s="3235">
        <f t="shared" si="239"/>
        <v>0</v>
      </c>
      <c r="AZ365" s="3166">
        <f t="shared" si="240"/>
        <v>0</v>
      </c>
      <c r="BA365" s="3166">
        <f t="shared" si="241"/>
        <v>0</v>
      </c>
      <c r="BB365" s="3166">
        <f t="shared" si="242"/>
        <v>0</v>
      </c>
      <c r="BC365" s="3166">
        <f t="shared" si="243"/>
        <v>0</v>
      </c>
      <c r="BD365" s="3166">
        <f t="shared" si="244"/>
        <v>0</v>
      </c>
      <c r="BE365" s="3166">
        <f t="shared" si="245"/>
        <v>0</v>
      </c>
      <c r="BF365" s="3166">
        <f t="shared" si="246"/>
        <v>0</v>
      </c>
      <c r="BG365" s="3166">
        <f t="shared" si="247"/>
        <v>0</v>
      </c>
      <c r="BH365" s="3166">
        <f t="shared" si="248"/>
        <v>0</v>
      </c>
      <c r="BI365" s="3166">
        <f t="shared" si="249"/>
        <v>0</v>
      </c>
      <c r="BJ365" s="3166">
        <f t="shared" si="250"/>
        <v>0</v>
      </c>
      <c r="BK365" s="3166">
        <f t="shared" si="251"/>
        <v>0</v>
      </c>
      <c r="BL365" s="3166">
        <f t="shared" si="252"/>
        <v>0</v>
      </c>
      <c r="BM365" s="3166">
        <f t="shared" si="253"/>
        <v>0</v>
      </c>
      <c r="BN365" s="3166">
        <f t="shared" si="254"/>
        <v>0</v>
      </c>
      <c r="BO365" s="3166">
        <f t="shared" si="255"/>
        <v>0</v>
      </c>
      <c r="BP365" s="3166">
        <f t="shared" si="256"/>
        <v>0</v>
      </c>
      <c r="BQ365" s="3166">
        <f t="shared" si="257"/>
        <v>0</v>
      </c>
      <c r="BR365" s="3166">
        <f t="shared" si="258"/>
        <v>0</v>
      </c>
      <c r="BS365" s="3166">
        <f t="shared" si="259"/>
        <v>0</v>
      </c>
      <c r="BT365" s="3240">
        <f t="shared" si="260"/>
        <v>0</v>
      </c>
    </row>
    <row r="366" spans="1:72">
      <c r="A366" s="3163"/>
      <c r="B366" s="3164"/>
      <c r="C366" s="3164"/>
      <c r="D366" s="3176"/>
      <c r="E366" s="3166">
        <f t="shared" si="261"/>
        <v>0</v>
      </c>
      <c r="F366" s="3167"/>
      <c r="G366" s="3168">
        <f t="shared" si="236"/>
        <v>0</v>
      </c>
      <c r="H366" s="3169">
        <f t="shared" si="237"/>
        <v>0</v>
      </c>
      <c r="I366" s="3187"/>
      <c r="J366" s="3187"/>
      <c r="K366" s="3187"/>
      <c r="L366" s="3187"/>
      <c r="M366" s="3187"/>
      <c r="N366" s="3187"/>
      <c r="O366" s="3187"/>
      <c r="P366" s="3187"/>
      <c r="Q366" s="3187"/>
      <c r="R366" s="3187"/>
      <c r="S366" s="3187"/>
      <c r="T366" s="3187"/>
      <c r="U366" s="3187"/>
      <c r="V366" s="3187"/>
      <c r="W366" s="3187"/>
      <c r="X366" s="3187"/>
      <c r="Y366" s="3187"/>
      <c r="Z366" s="3187"/>
      <c r="AA366" s="3187"/>
      <c r="AB366" s="3187"/>
      <c r="AC366" s="3166">
        <f t="shared" si="238"/>
        <v>0</v>
      </c>
      <c r="AD366" s="3198"/>
      <c r="AE366" s="3198"/>
      <c r="AF366" s="3198"/>
      <c r="AG366" s="3198"/>
      <c r="AH366" s="3198"/>
      <c r="AI366" s="3198"/>
      <c r="AJ366" s="3198"/>
      <c r="AK366" s="3198"/>
      <c r="AL366" s="3198"/>
      <c r="AM366" s="3198"/>
      <c r="AN366" s="3198"/>
      <c r="AO366" s="3198"/>
      <c r="AP366" s="3198"/>
      <c r="AQ366" s="3198"/>
      <c r="AR366" s="3198"/>
      <c r="AS366" s="3198"/>
      <c r="AT366" s="3218"/>
      <c r="AU366" s="3219"/>
      <c r="AV366" s="488">
        <f t="shared" si="262"/>
        <v>0</v>
      </c>
      <c r="AW366" s="488">
        <f t="shared" si="263"/>
        <v>0</v>
      </c>
      <c r="AX366" s="488">
        <f t="shared" si="264"/>
        <v>0</v>
      </c>
      <c r="AY366" s="3235">
        <f t="shared" si="239"/>
        <v>0</v>
      </c>
      <c r="AZ366" s="3166">
        <f t="shared" si="240"/>
        <v>0</v>
      </c>
      <c r="BA366" s="3166">
        <f t="shared" si="241"/>
        <v>0</v>
      </c>
      <c r="BB366" s="3166">
        <f t="shared" si="242"/>
        <v>0</v>
      </c>
      <c r="BC366" s="3166">
        <f t="shared" si="243"/>
        <v>0</v>
      </c>
      <c r="BD366" s="3166">
        <f t="shared" si="244"/>
        <v>0</v>
      </c>
      <c r="BE366" s="3166">
        <f t="shared" si="245"/>
        <v>0</v>
      </c>
      <c r="BF366" s="3166">
        <f t="shared" si="246"/>
        <v>0</v>
      </c>
      <c r="BG366" s="3166">
        <f t="shared" si="247"/>
        <v>0</v>
      </c>
      <c r="BH366" s="3166">
        <f t="shared" si="248"/>
        <v>0</v>
      </c>
      <c r="BI366" s="3166">
        <f t="shared" si="249"/>
        <v>0</v>
      </c>
      <c r="BJ366" s="3166">
        <f t="shared" si="250"/>
        <v>0</v>
      </c>
      <c r="BK366" s="3166">
        <f t="shared" si="251"/>
        <v>0</v>
      </c>
      <c r="BL366" s="3166">
        <f t="shared" si="252"/>
        <v>0</v>
      </c>
      <c r="BM366" s="3166">
        <f t="shared" si="253"/>
        <v>0</v>
      </c>
      <c r="BN366" s="3166">
        <f t="shared" si="254"/>
        <v>0</v>
      </c>
      <c r="BO366" s="3166">
        <f t="shared" si="255"/>
        <v>0</v>
      </c>
      <c r="BP366" s="3166">
        <f t="shared" si="256"/>
        <v>0</v>
      </c>
      <c r="BQ366" s="3166">
        <f t="shared" si="257"/>
        <v>0</v>
      </c>
      <c r="BR366" s="3166">
        <f t="shared" si="258"/>
        <v>0</v>
      </c>
      <c r="BS366" s="3166">
        <f t="shared" si="259"/>
        <v>0</v>
      </c>
      <c r="BT366" s="3240">
        <f t="shared" si="260"/>
        <v>0</v>
      </c>
    </row>
    <row r="367" spans="1:72">
      <c r="A367" s="3163"/>
      <c r="B367" s="3164"/>
      <c r="C367" s="3164"/>
      <c r="D367" s="3176"/>
      <c r="E367" s="3166">
        <f t="shared" si="261"/>
        <v>0</v>
      </c>
      <c r="F367" s="3167"/>
      <c r="G367" s="3168">
        <f t="shared" si="236"/>
        <v>0</v>
      </c>
      <c r="H367" s="3169">
        <f t="shared" si="237"/>
        <v>0</v>
      </c>
      <c r="I367" s="3187"/>
      <c r="J367" s="3187"/>
      <c r="K367" s="3187"/>
      <c r="L367" s="3187"/>
      <c r="M367" s="3187"/>
      <c r="N367" s="3187"/>
      <c r="O367" s="3187"/>
      <c r="P367" s="3187"/>
      <c r="Q367" s="3187"/>
      <c r="R367" s="3187"/>
      <c r="S367" s="3187"/>
      <c r="T367" s="3187"/>
      <c r="U367" s="3187"/>
      <c r="V367" s="3187"/>
      <c r="W367" s="3187"/>
      <c r="X367" s="3187"/>
      <c r="Y367" s="3187"/>
      <c r="Z367" s="3187"/>
      <c r="AA367" s="3187"/>
      <c r="AB367" s="3187"/>
      <c r="AC367" s="3166">
        <f t="shared" si="238"/>
        <v>0</v>
      </c>
      <c r="AD367" s="3198"/>
      <c r="AE367" s="3198"/>
      <c r="AF367" s="3198"/>
      <c r="AG367" s="3198"/>
      <c r="AH367" s="3198"/>
      <c r="AI367" s="3198"/>
      <c r="AJ367" s="3198"/>
      <c r="AK367" s="3198"/>
      <c r="AL367" s="3198"/>
      <c r="AM367" s="3198"/>
      <c r="AN367" s="3198"/>
      <c r="AO367" s="3198"/>
      <c r="AP367" s="3198"/>
      <c r="AQ367" s="3198"/>
      <c r="AR367" s="3198"/>
      <c r="AS367" s="3198"/>
      <c r="AT367" s="3218"/>
      <c r="AU367" s="3219"/>
      <c r="AV367" s="488">
        <f t="shared" si="262"/>
        <v>0</v>
      </c>
      <c r="AW367" s="488">
        <f t="shared" si="263"/>
        <v>0</v>
      </c>
      <c r="AX367" s="488">
        <f t="shared" si="264"/>
        <v>0</v>
      </c>
      <c r="AY367" s="3235">
        <f t="shared" si="239"/>
        <v>0</v>
      </c>
      <c r="AZ367" s="3166">
        <f t="shared" si="240"/>
        <v>0</v>
      </c>
      <c r="BA367" s="3166">
        <f t="shared" si="241"/>
        <v>0</v>
      </c>
      <c r="BB367" s="3166">
        <f t="shared" si="242"/>
        <v>0</v>
      </c>
      <c r="BC367" s="3166">
        <f t="shared" si="243"/>
        <v>0</v>
      </c>
      <c r="BD367" s="3166">
        <f t="shared" si="244"/>
        <v>0</v>
      </c>
      <c r="BE367" s="3166">
        <f t="shared" si="245"/>
        <v>0</v>
      </c>
      <c r="BF367" s="3166">
        <f t="shared" si="246"/>
        <v>0</v>
      </c>
      <c r="BG367" s="3166">
        <f t="shared" si="247"/>
        <v>0</v>
      </c>
      <c r="BH367" s="3166">
        <f t="shared" si="248"/>
        <v>0</v>
      </c>
      <c r="BI367" s="3166">
        <f t="shared" si="249"/>
        <v>0</v>
      </c>
      <c r="BJ367" s="3166">
        <f t="shared" si="250"/>
        <v>0</v>
      </c>
      <c r="BK367" s="3166">
        <f t="shared" si="251"/>
        <v>0</v>
      </c>
      <c r="BL367" s="3166">
        <f t="shared" si="252"/>
        <v>0</v>
      </c>
      <c r="BM367" s="3166">
        <f t="shared" si="253"/>
        <v>0</v>
      </c>
      <c r="BN367" s="3166">
        <f t="shared" si="254"/>
        <v>0</v>
      </c>
      <c r="BO367" s="3166">
        <f t="shared" si="255"/>
        <v>0</v>
      </c>
      <c r="BP367" s="3166">
        <f t="shared" si="256"/>
        <v>0</v>
      </c>
      <c r="BQ367" s="3166">
        <f t="shared" si="257"/>
        <v>0</v>
      </c>
      <c r="BR367" s="3166">
        <f t="shared" si="258"/>
        <v>0</v>
      </c>
      <c r="BS367" s="3166">
        <f t="shared" si="259"/>
        <v>0</v>
      </c>
      <c r="BT367" s="3240">
        <f t="shared" si="260"/>
        <v>0</v>
      </c>
    </row>
    <row r="368" spans="1:72">
      <c r="A368" s="3163"/>
      <c r="B368" s="3164"/>
      <c r="C368" s="3164"/>
      <c r="D368" s="3176"/>
      <c r="E368" s="3166">
        <f t="shared" si="261"/>
        <v>0</v>
      </c>
      <c r="F368" s="3167"/>
      <c r="G368" s="3168">
        <f t="shared" si="236"/>
        <v>0</v>
      </c>
      <c r="H368" s="3169">
        <f t="shared" si="237"/>
        <v>0</v>
      </c>
      <c r="I368" s="3187"/>
      <c r="J368" s="3187"/>
      <c r="K368" s="3187"/>
      <c r="L368" s="3187"/>
      <c r="M368" s="3187"/>
      <c r="N368" s="3187"/>
      <c r="O368" s="3187"/>
      <c r="P368" s="3187"/>
      <c r="Q368" s="3187"/>
      <c r="R368" s="3187"/>
      <c r="S368" s="3187"/>
      <c r="T368" s="3187"/>
      <c r="U368" s="3187"/>
      <c r="V368" s="3187"/>
      <c r="W368" s="3187"/>
      <c r="X368" s="3187"/>
      <c r="Y368" s="3187"/>
      <c r="Z368" s="3187"/>
      <c r="AA368" s="3187"/>
      <c r="AB368" s="3187"/>
      <c r="AC368" s="3166">
        <f t="shared" si="238"/>
        <v>0</v>
      </c>
      <c r="AD368" s="3198"/>
      <c r="AE368" s="3198"/>
      <c r="AF368" s="3198"/>
      <c r="AG368" s="3198"/>
      <c r="AH368" s="3198"/>
      <c r="AI368" s="3198"/>
      <c r="AJ368" s="3198"/>
      <c r="AK368" s="3198"/>
      <c r="AL368" s="3198"/>
      <c r="AM368" s="3198"/>
      <c r="AN368" s="3198"/>
      <c r="AO368" s="3198"/>
      <c r="AP368" s="3198"/>
      <c r="AQ368" s="3198"/>
      <c r="AR368" s="3198"/>
      <c r="AS368" s="3198"/>
      <c r="AT368" s="3218"/>
      <c r="AU368" s="3219"/>
      <c r="AV368" s="488">
        <f t="shared" si="262"/>
        <v>0</v>
      </c>
      <c r="AW368" s="488">
        <f t="shared" si="263"/>
        <v>0</v>
      </c>
      <c r="AX368" s="488">
        <f t="shared" si="264"/>
        <v>0</v>
      </c>
      <c r="AY368" s="3235">
        <f t="shared" si="239"/>
        <v>0</v>
      </c>
      <c r="AZ368" s="3166">
        <f t="shared" si="240"/>
        <v>0</v>
      </c>
      <c r="BA368" s="3166">
        <f t="shared" si="241"/>
        <v>0</v>
      </c>
      <c r="BB368" s="3166">
        <f t="shared" si="242"/>
        <v>0</v>
      </c>
      <c r="BC368" s="3166">
        <f t="shared" si="243"/>
        <v>0</v>
      </c>
      <c r="BD368" s="3166">
        <f t="shared" si="244"/>
        <v>0</v>
      </c>
      <c r="BE368" s="3166">
        <f t="shared" si="245"/>
        <v>0</v>
      </c>
      <c r="BF368" s="3166">
        <f t="shared" si="246"/>
        <v>0</v>
      </c>
      <c r="BG368" s="3166">
        <f t="shared" si="247"/>
        <v>0</v>
      </c>
      <c r="BH368" s="3166">
        <f t="shared" si="248"/>
        <v>0</v>
      </c>
      <c r="BI368" s="3166">
        <f t="shared" si="249"/>
        <v>0</v>
      </c>
      <c r="BJ368" s="3166">
        <f t="shared" si="250"/>
        <v>0</v>
      </c>
      <c r="BK368" s="3166">
        <f t="shared" si="251"/>
        <v>0</v>
      </c>
      <c r="BL368" s="3166">
        <f t="shared" si="252"/>
        <v>0</v>
      </c>
      <c r="BM368" s="3166">
        <f t="shared" si="253"/>
        <v>0</v>
      </c>
      <c r="BN368" s="3166">
        <f t="shared" si="254"/>
        <v>0</v>
      </c>
      <c r="BO368" s="3166">
        <f t="shared" si="255"/>
        <v>0</v>
      </c>
      <c r="BP368" s="3166">
        <f t="shared" si="256"/>
        <v>0</v>
      </c>
      <c r="BQ368" s="3166">
        <f t="shared" si="257"/>
        <v>0</v>
      </c>
      <c r="BR368" s="3166">
        <f t="shared" si="258"/>
        <v>0</v>
      </c>
      <c r="BS368" s="3166">
        <f t="shared" si="259"/>
        <v>0</v>
      </c>
      <c r="BT368" s="3240">
        <f t="shared" si="260"/>
        <v>0</v>
      </c>
    </row>
    <row r="369" spans="1:72">
      <c r="A369" s="3163"/>
      <c r="B369" s="3164"/>
      <c r="C369" s="3164"/>
      <c r="D369" s="3176"/>
      <c r="E369" s="3166">
        <f t="shared" si="261"/>
        <v>0</v>
      </c>
      <c r="F369" s="3167"/>
      <c r="G369" s="3168">
        <f t="shared" si="236"/>
        <v>0</v>
      </c>
      <c r="H369" s="3169">
        <f t="shared" si="237"/>
        <v>0</v>
      </c>
      <c r="I369" s="3187"/>
      <c r="J369" s="3187"/>
      <c r="K369" s="3187"/>
      <c r="L369" s="3187"/>
      <c r="M369" s="3187"/>
      <c r="N369" s="3187"/>
      <c r="O369" s="3187"/>
      <c r="P369" s="3187"/>
      <c r="Q369" s="3187"/>
      <c r="R369" s="3187"/>
      <c r="S369" s="3187"/>
      <c r="T369" s="3187"/>
      <c r="U369" s="3187"/>
      <c r="V369" s="3187"/>
      <c r="W369" s="3187"/>
      <c r="X369" s="3187"/>
      <c r="Y369" s="3187"/>
      <c r="Z369" s="3187"/>
      <c r="AA369" s="3187"/>
      <c r="AB369" s="3187"/>
      <c r="AC369" s="3166">
        <f t="shared" si="238"/>
        <v>0</v>
      </c>
      <c r="AD369" s="3198"/>
      <c r="AE369" s="3198"/>
      <c r="AF369" s="3198"/>
      <c r="AG369" s="3198"/>
      <c r="AH369" s="3198"/>
      <c r="AI369" s="3198"/>
      <c r="AJ369" s="3198"/>
      <c r="AK369" s="3198"/>
      <c r="AL369" s="3198"/>
      <c r="AM369" s="3198"/>
      <c r="AN369" s="3198"/>
      <c r="AO369" s="3198"/>
      <c r="AP369" s="3198"/>
      <c r="AQ369" s="3198"/>
      <c r="AR369" s="3198"/>
      <c r="AS369" s="3198"/>
      <c r="AT369" s="3218"/>
      <c r="AU369" s="3219"/>
      <c r="AV369" s="488">
        <f t="shared" si="262"/>
        <v>0</v>
      </c>
      <c r="AW369" s="488">
        <f t="shared" si="263"/>
        <v>0</v>
      </c>
      <c r="AX369" s="488">
        <f t="shared" si="264"/>
        <v>0</v>
      </c>
      <c r="AY369" s="3235">
        <f t="shared" si="239"/>
        <v>0</v>
      </c>
      <c r="AZ369" s="3166">
        <f t="shared" si="240"/>
        <v>0</v>
      </c>
      <c r="BA369" s="3166">
        <f t="shared" si="241"/>
        <v>0</v>
      </c>
      <c r="BB369" s="3166">
        <f t="shared" si="242"/>
        <v>0</v>
      </c>
      <c r="BC369" s="3166">
        <f t="shared" si="243"/>
        <v>0</v>
      </c>
      <c r="BD369" s="3166">
        <f t="shared" si="244"/>
        <v>0</v>
      </c>
      <c r="BE369" s="3166">
        <f t="shared" si="245"/>
        <v>0</v>
      </c>
      <c r="BF369" s="3166">
        <f t="shared" si="246"/>
        <v>0</v>
      </c>
      <c r="BG369" s="3166">
        <f t="shared" si="247"/>
        <v>0</v>
      </c>
      <c r="BH369" s="3166">
        <f t="shared" si="248"/>
        <v>0</v>
      </c>
      <c r="BI369" s="3166">
        <f t="shared" si="249"/>
        <v>0</v>
      </c>
      <c r="BJ369" s="3166">
        <f t="shared" si="250"/>
        <v>0</v>
      </c>
      <c r="BK369" s="3166">
        <f t="shared" si="251"/>
        <v>0</v>
      </c>
      <c r="BL369" s="3166">
        <f t="shared" si="252"/>
        <v>0</v>
      </c>
      <c r="BM369" s="3166">
        <f t="shared" si="253"/>
        <v>0</v>
      </c>
      <c r="BN369" s="3166">
        <f t="shared" si="254"/>
        <v>0</v>
      </c>
      <c r="BO369" s="3166">
        <f t="shared" si="255"/>
        <v>0</v>
      </c>
      <c r="BP369" s="3166">
        <f t="shared" si="256"/>
        <v>0</v>
      </c>
      <c r="BQ369" s="3166">
        <f t="shared" si="257"/>
        <v>0</v>
      </c>
      <c r="BR369" s="3166">
        <f t="shared" si="258"/>
        <v>0</v>
      </c>
      <c r="BS369" s="3166">
        <f t="shared" si="259"/>
        <v>0</v>
      </c>
      <c r="BT369" s="3240">
        <f t="shared" si="260"/>
        <v>0</v>
      </c>
    </row>
    <row r="370" spans="1:72">
      <c r="A370" s="3163"/>
      <c r="B370" s="3164"/>
      <c r="C370" s="3164"/>
      <c r="D370" s="3176"/>
      <c r="E370" s="3166">
        <f t="shared" si="261"/>
        <v>0</v>
      </c>
      <c r="F370" s="3167"/>
      <c r="G370" s="3168">
        <f t="shared" si="236"/>
        <v>0</v>
      </c>
      <c r="H370" s="3169">
        <f t="shared" si="237"/>
        <v>0</v>
      </c>
      <c r="I370" s="3187"/>
      <c r="J370" s="3187"/>
      <c r="K370" s="3187"/>
      <c r="L370" s="3187"/>
      <c r="M370" s="3187"/>
      <c r="N370" s="3187"/>
      <c r="O370" s="3187"/>
      <c r="P370" s="3187"/>
      <c r="Q370" s="3187"/>
      <c r="R370" s="3187"/>
      <c r="S370" s="3187"/>
      <c r="T370" s="3187"/>
      <c r="U370" s="3187"/>
      <c r="V370" s="3187"/>
      <c r="W370" s="3187"/>
      <c r="X370" s="3187"/>
      <c r="Y370" s="3187"/>
      <c r="Z370" s="3187"/>
      <c r="AA370" s="3187"/>
      <c r="AB370" s="3187"/>
      <c r="AC370" s="3166">
        <f t="shared" si="238"/>
        <v>0</v>
      </c>
      <c r="AD370" s="3198"/>
      <c r="AE370" s="3198"/>
      <c r="AF370" s="3198"/>
      <c r="AG370" s="3198"/>
      <c r="AH370" s="3198"/>
      <c r="AI370" s="3198"/>
      <c r="AJ370" s="3198"/>
      <c r="AK370" s="3198"/>
      <c r="AL370" s="3198"/>
      <c r="AM370" s="3198"/>
      <c r="AN370" s="3198"/>
      <c r="AO370" s="3198"/>
      <c r="AP370" s="3198"/>
      <c r="AQ370" s="3198"/>
      <c r="AR370" s="3198"/>
      <c r="AS370" s="3198"/>
      <c r="AT370" s="3218"/>
      <c r="AU370" s="3219"/>
      <c r="AV370" s="488">
        <f t="shared" si="262"/>
        <v>0</v>
      </c>
      <c r="AW370" s="488">
        <f t="shared" si="263"/>
        <v>0</v>
      </c>
      <c r="AX370" s="488">
        <f t="shared" si="264"/>
        <v>0</v>
      </c>
      <c r="AY370" s="3235">
        <f t="shared" si="239"/>
        <v>0</v>
      </c>
      <c r="AZ370" s="3166">
        <f t="shared" si="240"/>
        <v>0</v>
      </c>
      <c r="BA370" s="3166">
        <f t="shared" si="241"/>
        <v>0</v>
      </c>
      <c r="BB370" s="3166">
        <f t="shared" si="242"/>
        <v>0</v>
      </c>
      <c r="BC370" s="3166">
        <f t="shared" si="243"/>
        <v>0</v>
      </c>
      <c r="BD370" s="3166">
        <f t="shared" si="244"/>
        <v>0</v>
      </c>
      <c r="BE370" s="3166">
        <f t="shared" si="245"/>
        <v>0</v>
      </c>
      <c r="BF370" s="3166">
        <f t="shared" si="246"/>
        <v>0</v>
      </c>
      <c r="BG370" s="3166">
        <f t="shared" si="247"/>
        <v>0</v>
      </c>
      <c r="BH370" s="3166">
        <f t="shared" si="248"/>
        <v>0</v>
      </c>
      <c r="BI370" s="3166">
        <f t="shared" si="249"/>
        <v>0</v>
      </c>
      <c r="BJ370" s="3166">
        <f t="shared" si="250"/>
        <v>0</v>
      </c>
      <c r="BK370" s="3166">
        <f t="shared" si="251"/>
        <v>0</v>
      </c>
      <c r="BL370" s="3166">
        <f t="shared" si="252"/>
        <v>0</v>
      </c>
      <c r="BM370" s="3166">
        <f t="shared" si="253"/>
        <v>0</v>
      </c>
      <c r="BN370" s="3166">
        <f t="shared" si="254"/>
        <v>0</v>
      </c>
      <c r="BO370" s="3166">
        <f t="shared" si="255"/>
        <v>0</v>
      </c>
      <c r="BP370" s="3166">
        <f t="shared" si="256"/>
        <v>0</v>
      </c>
      <c r="BQ370" s="3166">
        <f t="shared" si="257"/>
        <v>0</v>
      </c>
      <c r="BR370" s="3166">
        <f t="shared" si="258"/>
        <v>0</v>
      </c>
      <c r="BS370" s="3166">
        <f t="shared" si="259"/>
        <v>0</v>
      </c>
      <c r="BT370" s="3240">
        <f t="shared" si="260"/>
        <v>0</v>
      </c>
    </row>
    <row r="371" spans="1:72">
      <c r="A371" s="3163"/>
      <c r="B371" s="3164"/>
      <c r="C371" s="3164"/>
      <c r="D371" s="3176"/>
      <c r="E371" s="3166">
        <f t="shared" si="261"/>
        <v>0</v>
      </c>
      <c r="F371" s="3167"/>
      <c r="G371" s="3168">
        <f t="shared" si="236"/>
        <v>0</v>
      </c>
      <c r="H371" s="3169">
        <f t="shared" si="237"/>
        <v>0</v>
      </c>
      <c r="I371" s="3187"/>
      <c r="J371" s="3187"/>
      <c r="K371" s="3187"/>
      <c r="L371" s="3187"/>
      <c r="M371" s="3187"/>
      <c r="N371" s="3187"/>
      <c r="O371" s="3187"/>
      <c r="P371" s="3187"/>
      <c r="Q371" s="3187"/>
      <c r="R371" s="3187"/>
      <c r="S371" s="3187"/>
      <c r="T371" s="3187"/>
      <c r="U371" s="3187"/>
      <c r="V371" s="3187"/>
      <c r="W371" s="3187"/>
      <c r="X371" s="3187"/>
      <c r="Y371" s="3187"/>
      <c r="Z371" s="3187"/>
      <c r="AA371" s="3187"/>
      <c r="AB371" s="3187"/>
      <c r="AC371" s="3166">
        <f t="shared" si="238"/>
        <v>0</v>
      </c>
      <c r="AD371" s="3198"/>
      <c r="AE371" s="3198"/>
      <c r="AF371" s="3198"/>
      <c r="AG371" s="3198"/>
      <c r="AH371" s="3198"/>
      <c r="AI371" s="3198"/>
      <c r="AJ371" s="3198"/>
      <c r="AK371" s="3198"/>
      <c r="AL371" s="3198"/>
      <c r="AM371" s="3198"/>
      <c r="AN371" s="3198"/>
      <c r="AO371" s="3198"/>
      <c r="AP371" s="3198"/>
      <c r="AQ371" s="3198"/>
      <c r="AR371" s="3198"/>
      <c r="AS371" s="3198"/>
      <c r="AT371" s="3218"/>
      <c r="AU371" s="3219"/>
      <c r="AV371" s="488">
        <f t="shared" si="262"/>
        <v>0</v>
      </c>
      <c r="AW371" s="488">
        <f t="shared" si="263"/>
        <v>0</v>
      </c>
      <c r="AX371" s="488">
        <f t="shared" si="264"/>
        <v>0</v>
      </c>
      <c r="AY371" s="3235">
        <f t="shared" si="239"/>
        <v>0</v>
      </c>
      <c r="AZ371" s="3166">
        <f t="shared" si="240"/>
        <v>0</v>
      </c>
      <c r="BA371" s="3166">
        <f t="shared" si="241"/>
        <v>0</v>
      </c>
      <c r="BB371" s="3166">
        <f t="shared" si="242"/>
        <v>0</v>
      </c>
      <c r="BC371" s="3166">
        <f t="shared" si="243"/>
        <v>0</v>
      </c>
      <c r="BD371" s="3166">
        <f t="shared" si="244"/>
        <v>0</v>
      </c>
      <c r="BE371" s="3166">
        <f t="shared" si="245"/>
        <v>0</v>
      </c>
      <c r="BF371" s="3166">
        <f t="shared" si="246"/>
        <v>0</v>
      </c>
      <c r="BG371" s="3166">
        <f t="shared" si="247"/>
        <v>0</v>
      </c>
      <c r="BH371" s="3166">
        <f t="shared" si="248"/>
        <v>0</v>
      </c>
      <c r="BI371" s="3166">
        <f t="shared" si="249"/>
        <v>0</v>
      </c>
      <c r="BJ371" s="3166">
        <f t="shared" si="250"/>
        <v>0</v>
      </c>
      <c r="BK371" s="3166">
        <f t="shared" si="251"/>
        <v>0</v>
      </c>
      <c r="BL371" s="3166">
        <f t="shared" si="252"/>
        <v>0</v>
      </c>
      <c r="BM371" s="3166">
        <f t="shared" si="253"/>
        <v>0</v>
      </c>
      <c r="BN371" s="3166">
        <f t="shared" si="254"/>
        <v>0</v>
      </c>
      <c r="BO371" s="3166">
        <f t="shared" si="255"/>
        <v>0</v>
      </c>
      <c r="BP371" s="3166">
        <f t="shared" si="256"/>
        <v>0</v>
      </c>
      <c r="BQ371" s="3166">
        <f t="shared" si="257"/>
        <v>0</v>
      </c>
      <c r="BR371" s="3166">
        <f t="shared" si="258"/>
        <v>0</v>
      </c>
      <c r="BS371" s="3166">
        <f t="shared" si="259"/>
        <v>0</v>
      </c>
      <c r="BT371" s="3240">
        <f t="shared" si="260"/>
        <v>0</v>
      </c>
    </row>
    <row r="372" spans="1:72">
      <c r="A372" s="3163"/>
      <c r="B372" s="3164"/>
      <c r="C372" s="3164"/>
      <c r="D372" s="3176"/>
      <c r="E372" s="3166">
        <f t="shared" si="261"/>
        <v>0</v>
      </c>
      <c r="F372" s="3167"/>
      <c r="G372" s="3168">
        <f t="shared" si="236"/>
        <v>0</v>
      </c>
      <c r="H372" s="3169">
        <f t="shared" si="237"/>
        <v>0</v>
      </c>
      <c r="I372" s="3187"/>
      <c r="J372" s="3187"/>
      <c r="K372" s="3187"/>
      <c r="L372" s="3187"/>
      <c r="M372" s="3187"/>
      <c r="N372" s="3187"/>
      <c r="O372" s="3187"/>
      <c r="P372" s="3187"/>
      <c r="Q372" s="3187"/>
      <c r="R372" s="3187"/>
      <c r="S372" s="3187"/>
      <c r="T372" s="3187"/>
      <c r="U372" s="3187"/>
      <c r="V372" s="3187"/>
      <c r="W372" s="3187"/>
      <c r="X372" s="3187"/>
      <c r="Y372" s="3187"/>
      <c r="Z372" s="3187"/>
      <c r="AA372" s="3187"/>
      <c r="AB372" s="3187"/>
      <c r="AC372" s="3166">
        <f t="shared" si="238"/>
        <v>0</v>
      </c>
      <c r="AD372" s="3198"/>
      <c r="AE372" s="3198"/>
      <c r="AF372" s="3198"/>
      <c r="AG372" s="3198"/>
      <c r="AH372" s="3198"/>
      <c r="AI372" s="3198"/>
      <c r="AJ372" s="3198"/>
      <c r="AK372" s="3198"/>
      <c r="AL372" s="3198"/>
      <c r="AM372" s="3198"/>
      <c r="AN372" s="3198"/>
      <c r="AO372" s="3198"/>
      <c r="AP372" s="3198"/>
      <c r="AQ372" s="3198"/>
      <c r="AR372" s="3198"/>
      <c r="AS372" s="3198"/>
      <c r="AT372" s="3218"/>
      <c r="AU372" s="3219"/>
      <c r="AV372" s="488">
        <f t="shared" si="262"/>
        <v>0</v>
      </c>
      <c r="AW372" s="488">
        <f t="shared" si="263"/>
        <v>0</v>
      </c>
      <c r="AX372" s="488">
        <f t="shared" si="264"/>
        <v>0</v>
      </c>
      <c r="AY372" s="3235">
        <f t="shared" si="239"/>
        <v>0</v>
      </c>
      <c r="AZ372" s="3166">
        <f t="shared" si="240"/>
        <v>0</v>
      </c>
      <c r="BA372" s="3166">
        <f t="shared" si="241"/>
        <v>0</v>
      </c>
      <c r="BB372" s="3166">
        <f t="shared" si="242"/>
        <v>0</v>
      </c>
      <c r="BC372" s="3166">
        <f t="shared" si="243"/>
        <v>0</v>
      </c>
      <c r="BD372" s="3166">
        <f t="shared" si="244"/>
        <v>0</v>
      </c>
      <c r="BE372" s="3166">
        <f t="shared" si="245"/>
        <v>0</v>
      </c>
      <c r="BF372" s="3166">
        <f t="shared" si="246"/>
        <v>0</v>
      </c>
      <c r="BG372" s="3166">
        <f t="shared" si="247"/>
        <v>0</v>
      </c>
      <c r="BH372" s="3166">
        <f t="shared" si="248"/>
        <v>0</v>
      </c>
      <c r="BI372" s="3166">
        <f t="shared" si="249"/>
        <v>0</v>
      </c>
      <c r="BJ372" s="3166">
        <f t="shared" si="250"/>
        <v>0</v>
      </c>
      <c r="BK372" s="3166">
        <f t="shared" si="251"/>
        <v>0</v>
      </c>
      <c r="BL372" s="3166">
        <f t="shared" si="252"/>
        <v>0</v>
      </c>
      <c r="BM372" s="3166">
        <f t="shared" si="253"/>
        <v>0</v>
      </c>
      <c r="BN372" s="3166">
        <f t="shared" si="254"/>
        <v>0</v>
      </c>
      <c r="BO372" s="3166">
        <f t="shared" si="255"/>
        <v>0</v>
      </c>
      <c r="BP372" s="3166">
        <f t="shared" si="256"/>
        <v>0</v>
      </c>
      <c r="BQ372" s="3166">
        <f t="shared" si="257"/>
        <v>0</v>
      </c>
      <c r="BR372" s="3166">
        <f t="shared" si="258"/>
        <v>0</v>
      </c>
      <c r="BS372" s="3166">
        <f t="shared" si="259"/>
        <v>0</v>
      </c>
      <c r="BT372" s="3240">
        <f t="shared" si="260"/>
        <v>0</v>
      </c>
    </row>
    <row r="373" spans="1:72">
      <c r="A373" s="3163"/>
      <c r="B373" s="3164"/>
      <c r="C373" s="3164"/>
      <c r="D373" s="3176"/>
      <c r="E373" s="3166">
        <f t="shared" si="261"/>
        <v>0</v>
      </c>
      <c r="F373" s="3167"/>
      <c r="G373" s="3168">
        <f t="shared" si="236"/>
        <v>0</v>
      </c>
      <c r="H373" s="3169">
        <f t="shared" si="237"/>
        <v>0</v>
      </c>
      <c r="I373" s="3187"/>
      <c r="J373" s="3187"/>
      <c r="K373" s="3187"/>
      <c r="L373" s="3187"/>
      <c r="M373" s="3187"/>
      <c r="N373" s="3187"/>
      <c r="O373" s="3187"/>
      <c r="P373" s="3187"/>
      <c r="Q373" s="3187"/>
      <c r="R373" s="3187"/>
      <c r="S373" s="3187"/>
      <c r="T373" s="3187"/>
      <c r="U373" s="3187"/>
      <c r="V373" s="3187"/>
      <c r="W373" s="3187"/>
      <c r="X373" s="3187"/>
      <c r="Y373" s="3187"/>
      <c r="Z373" s="3187"/>
      <c r="AA373" s="3187"/>
      <c r="AB373" s="3187"/>
      <c r="AC373" s="3166">
        <f t="shared" si="238"/>
        <v>0</v>
      </c>
      <c r="AD373" s="3198"/>
      <c r="AE373" s="3198"/>
      <c r="AF373" s="3198"/>
      <c r="AG373" s="3198"/>
      <c r="AH373" s="3198"/>
      <c r="AI373" s="3198"/>
      <c r="AJ373" s="3198"/>
      <c r="AK373" s="3198"/>
      <c r="AL373" s="3198"/>
      <c r="AM373" s="3198"/>
      <c r="AN373" s="3198"/>
      <c r="AO373" s="3198"/>
      <c r="AP373" s="3198"/>
      <c r="AQ373" s="3198"/>
      <c r="AR373" s="3198"/>
      <c r="AS373" s="3198"/>
      <c r="AT373" s="3218"/>
      <c r="AU373" s="3219"/>
      <c r="AV373" s="488">
        <f t="shared" si="262"/>
        <v>0</v>
      </c>
      <c r="AW373" s="488">
        <f t="shared" si="263"/>
        <v>0</v>
      </c>
      <c r="AX373" s="488">
        <f t="shared" si="264"/>
        <v>0</v>
      </c>
      <c r="AY373" s="3235">
        <f t="shared" si="239"/>
        <v>0</v>
      </c>
      <c r="AZ373" s="3166">
        <f t="shared" si="240"/>
        <v>0</v>
      </c>
      <c r="BA373" s="3166">
        <f t="shared" si="241"/>
        <v>0</v>
      </c>
      <c r="BB373" s="3166">
        <f t="shared" si="242"/>
        <v>0</v>
      </c>
      <c r="BC373" s="3166">
        <f t="shared" si="243"/>
        <v>0</v>
      </c>
      <c r="BD373" s="3166">
        <f t="shared" si="244"/>
        <v>0</v>
      </c>
      <c r="BE373" s="3166">
        <f t="shared" si="245"/>
        <v>0</v>
      </c>
      <c r="BF373" s="3166">
        <f t="shared" si="246"/>
        <v>0</v>
      </c>
      <c r="BG373" s="3166">
        <f t="shared" si="247"/>
        <v>0</v>
      </c>
      <c r="BH373" s="3166">
        <f t="shared" si="248"/>
        <v>0</v>
      </c>
      <c r="BI373" s="3166">
        <f t="shared" si="249"/>
        <v>0</v>
      </c>
      <c r="BJ373" s="3166">
        <f t="shared" si="250"/>
        <v>0</v>
      </c>
      <c r="BK373" s="3166">
        <f t="shared" si="251"/>
        <v>0</v>
      </c>
      <c r="BL373" s="3166">
        <f t="shared" si="252"/>
        <v>0</v>
      </c>
      <c r="BM373" s="3166">
        <f t="shared" si="253"/>
        <v>0</v>
      </c>
      <c r="BN373" s="3166">
        <f t="shared" si="254"/>
        <v>0</v>
      </c>
      <c r="BO373" s="3166">
        <f t="shared" si="255"/>
        <v>0</v>
      </c>
      <c r="BP373" s="3166">
        <f t="shared" si="256"/>
        <v>0</v>
      </c>
      <c r="BQ373" s="3166">
        <f t="shared" si="257"/>
        <v>0</v>
      </c>
      <c r="BR373" s="3166">
        <f t="shared" si="258"/>
        <v>0</v>
      </c>
      <c r="BS373" s="3166">
        <f t="shared" si="259"/>
        <v>0</v>
      </c>
      <c r="BT373" s="3240">
        <f t="shared" si="260"/>
        <v>0</v>
      </c>
    </row>
    <row r="374" spans="1:72">
      <c r="A374" s="3163"/>
      <c r="B374" s="3164"/>
      <c r="C374" s="3164"/>
      <c r="D374" s="3176"/>
      <c r="E374" s="3166">
        <f t="shared" si="261"/>
        <v>0</v>
      </c>
      <c r="F374" s="3167"/>
      <c r="G374" s="3168">
        <f t="shared" si="236"/>
        <v>0</v>
      </c>
      <c r="H374" s="3169">
        <f t="shared" si="237"/>
        <v>0</v>
      </c>
      <c r="I374" s="3187"/>
      <c r="J374" s="3187"/>
      <c r="K374" s="3187"/>
      <c r="L374" s="3187"/>
      <c r="M374" s="3187"/>
      <c r="N374" s="3187"/>
      <c r="O374" s="3187"/>
      <c r="P374" s="3187"/>
      <c r="Q374" s="3187"/>
      <c r="R374" s="3187"/>
      <c r="S374" s="3187"/>
      <c r="T374" s="3187"/>
      <c r="U374" s="3187"/>
      <c r="V374" s="3187"/>
      <c r="W374" s="3187"/>
      <c r="X374" s="3187"/>
      <c r="Y374" s="3187"/>
      <c r="Z374" s="3187"/>
      <c r="AA374" s="3187"/>
      <c r="AB374" s="3187"/>
      <c r="AC374" s="3166">
        <f t="shared" si="238"/>
        <v>0</v>
      </c>
      <c r="AD374" s="3198"/>
      <c r="AE374" s="3198"/>
      <c r="AF374" s="3198"/>
      <c r="AG374" s="3198"/>
      <c r="AH374" s="3198"/>
      <c r="AI374" s="3198"/>
      <c r="AJ374" s="3198"/>
      <c r="AK374" s="3198"/>
      <c r="AL374" s="3198"/>
      <c r="AM374" s="3198"/>
      <c r="AN374" s="3198"/>
      <c r="AO374" s="3198"/>
      <c r="AP374" s="3198"/>
      <c r="AQ374" s="3198"/>
      <c r="AR374" s="3198"/>
      <c r="AS374" s="3198"/>
      <c r="AT374" s="3218"/>
      <c r="AU374" s="3219"/>
      <c r="AV374" s="488">
        <f t="shared" si="262"/>
        <v>0</v>
      </c>
      <c r="AW374" s="488">
        <f t="shared" si="263"/>
        <v>0</v>
      </c>
      <c r="AX374" s="488">
        <f t="shared" si="264"/>
        <v>0</v>
      </c>
      <c r="AY374" s="3235">
        <f t="shared" si="239"/>
        <v>0</v>
      </c>
      <c r="AZ374" s="3166">
        <f t="shared" si="240"/>
        <v>0</v>
      </c>
      <c r="BA374" s="3166">
        <f t="shared" si="241"/>
        <v>0</v>
      </c>
      <c r="BB374" s="3166">
        <f t="shared" si="242"/>
        <v>0</v>
      </c>
      <c r="BC374" s="3166">
        <f t="shared" si="243"/>
        <v>0</v>
      </c>
      <c r="BD374" s="3166">
        <f t="shared" si="244"/>
        <v>0</v>
      </c>
      <c r="BE374" s="3166">
        <f t="shared" si="245"/>
        <v>0</v>
      </c>
      <c r="BF374" s="3166">
        <f t="shared" si="246"/>
        <v>0</v>
      </c>
      <c r="BG374" s="3166">
        <f t="shared" si="247"/>
        <v>0</v>
      </c>
      <c r="BH374" s="3166">
        <f t="shared" si="248"/>
        <v>0</v>
      </c>
      <c r="BI374" s="3166">
        <f t="shared" si="249"/>
        <v>0</v>
      </c>
      <c r="BJ374" s="3166">
        <f t="shared" si="250"/>
        <v>0</v>
      </c>
      <c r="BK374" s="3166">
        <f t="shared" si="251"/>
        <v>0</v>
      </c>
      <c r="BL374" s="3166">
        <f t="shared" si="252"/>
        <v>0</v>
      </c>
      <c r="BM374" s="3166">
        <f t="shared" si="253"/>
        <v>0</v>
      </c>
      <c r="BN374" s="3166">
        <f t="shared" si="254"/>
        <v>0</v>
      </c>
      <c r="BO374" s="3166">
        <f t="shared" si="255"/>
        <v>0</v>
      </c>
      <c r="BP374" s="3166">
        <f t="shared" si="256"/>
        <v>0</v>
      </c>
      <c r="BQ374" s="3166">
        <f t="shared" si="257"/>
        <v>0</v>
      </c>
      <c r="BR374" s="3166">
        <f t="shared" si="258"/>
        <v>0</v>
      </c>
      <c r="BS374" s="3166">
        <f t="shared" si="259"/>
        <v>0</v>
      </c>
      <c r="BT374" s="3240">
        <f t="shared" si="260"/>
        <v>0</v>
      </c>
    </row>
    <row r="375" spans="1:72">
      <c r="A375" s="3163"/>
      <c r="B375" s="3164"/>
      <c r="C375" s="3164"/>
      <c r="D375" s="3176"/>
      <c r="E375" s="3166">
        <f t="shared" si="261"/>
        <v>0</v>
      </c>
      <c r="F375" s="3167"/>
      <c r="G375" s="3168">
        <f t="shared" si="236"/>
        <v>0</v>
      </c>
      <c r="H375" s="3169">
        <f t="shared" si="237"/>
        <v>0</v>
      </c>
      <c r="I375" s="3187"/>
      <c r="J375" s="3187"/>
      <c r="K375" s="3187"/>
      <c r="L375" s="3187"/>
      <c r="M375" s="3187"/>
      <c r="N375" s="3187"/>
      <c r="O375" s="3187"/>
      <c r="P375" s="3187"/>
      <c r="Q375" s="3187"/>
      <c r="R375" s="3187"/>
      <c r="S375" s="3187"/>
      <c r="T375" s="3187"/>
      <c r="U375" s="3187"/>
      <c r="V375" s="3187"/>
      <c r="W375" s="3187"/>
      <c r="X375" s="3187"/>
      <c r="Y375" s="3187"/>
      <c r="Z375" s="3187"/>
      <c r="AA375" s="3187"/>
      <c r="AB375" s="3187"/>
      <c r="AC375" s="3166">
        <f t="shared" si="238"/>
        <v>0</v>
      </c>
      <c r="AD375" s="3198"/>
      <c r="AE375" s="3198"/>
      <c r="AF375" s="3198"/>
      <c r="AG375" s="3198"/>
      <c r="AH375" s="3198"/>
      <c r="AI375" s="3198"/>
      <c r="AJ375" s="3198"/>
      <c r="AK375" s="3198"/>
      <c r="AL375" s="3198"/>
      <c r="AM375" s="3198"/>
      <c r="AN375" s="3198"/>
      <c r="AO375" s="3198"/>
      <c r="AP375" s="3198"/>
      <c r="AQ375" s="3198"/>
      <c r="AR375" s="3198"/>
      <c r="AS375" s="3198"/>
      <c r="AT375" s="3218"/>
      <c r="AU375" s="3219"/>
      <c r="AV375" s="488">
        <f t="shared" si="262"/>
        <v>0</v>
      </c>
      <c r="AW375" s="488">
        <f t="shared" si="263"/>
        <v>0</v>
      </c>
      <c r="AX375" s="488">
        <f t="shared" si="264"/>
        <v>0</v>
      </c>
      <c r="AY375" s="3235">
        <f t="shared" si="239"/>
        <v>0</v>
      </c>
      <c r="AZ375" s="3166">
        <f t="shared" si="240"/>
        <v>0</v>
      </c>
      <c r="BA375" s="3166">
        <f t="shared" si="241"/>
        <v>0</v>
      </c>
      <c r="BB375" s="3166">
        <f t="shared" si="242"/>
        <v>0</v>
      </c>
      <c r="BC375" s="3166">
        <f t="shared" si="243"/>
        <v>0</v>
      </c>
      <c r="BD375" s="3166">
        <f t="shared" si="244"/>
        <v>0</v>
      </c>
      <c r="BE375" s="3166">
        <f t="shared" si="245"/>
        <v>0</v>
      </c>
      <c r="BF375" s="3166">
        <f t="shared" si="246"/>
        <v>0</v>
      </c>
      <c r="BG375" s="3166">
        <f t="shared" si="247"/>
        <v>0</v>
      </c>
      <c r="BH375" s="3166">
        <f t="shared" si="248"/>
        <v>0</v>
      </c>
      <c r="BI375" s="3166">
        <f t="shared" si="249"/>
        <v>0</v>
      </c>
      <c r="BJ375" s="3166">
        <f t="shared" si="250"/>
        <v>0</v>
      </c>
      <c r="BK375" s="3166">
        <f t="shared" si="251"/>
        <v>0</v>
      </c>
      <c r="BL375" s="3166">
        <f t="shared" si="252"/>
        <v>0</v>
      </c>
      <c r="BM375" s="3166">
        <f t="shared" si="253"/>
        <v>0</v>
      </c>
      <c r="BN375" s="3166">
        <f t="shared" si="254"/>
        <v>0</v>
      </c>
      <c r="BO375" s="3166">
        <f t="shared" si="255"/>
        <v>0</v>
      </c>
      <c r="BP375" s="3166">
        <f t="shared" si="256"/>
        <v>0</v>
      </c>
      <c r="BQ375" s="3166">
        <f t="shared" si="257"/>
        <v>0</v>
      </c>
      <c r="BR375" s="3166">
        <f t="shared" si="258"/>
        <v>0</v>
      </c>
      <c r="BS375" s="3166">
        <f t="shared" si="259"/>
        <v>0</v>
      </c>
      <c r="BT375" s="3240">
        <f t="shared" si="260"/>
        <v>0</v>
      </c>
    </row>
    <row r="376" spans="1:72">
      <c r="A376" s="3163"/>
      <c r="B376" s="3164"/>
      <c r="C376" s="3164"/>
      <c r="D376" s="3176"/>
      <c r="E376" s="3166">
        <f t="shared" si="261"/>
        <v>0</v>
      </c>
      <c r="F376" s="3167"/>
      <c r="G376" s="3168">
        <f t="shared" si="236"/>
        <v>0</v>
      </c>
      <c r="H376" s="3169">
        <f t="shared" si="237"/>
        <v>0</v>
      </c>
      <c r="I376" s="3187"/>
      <c r="J376" s="3187"/>
      <c r="K376" s="3187"/>
      <c r="L376" s="3187"/>
      <c r="M376" s="3187"/>
      <c r="N376" s="3187"/>
      <c r="O376" s="3187"/>
      <c r="P376" s="3187"/>
      <c r="Q376" s="3187"/>
      <c r="R376" s="3187"/>
      <c r="S376" s="3187"/>
      <c r="T376" s="3187"/>
      <c r="U376" s="3187"/>
      <c r="V376" s="3187"/>
      <c r="W376" s="3187"/>
      <c r="X376" s="3187"/>
      <c r="Y376" s="3187"/>
      <c r="Z376" s="3187"/>
      <c r="AA376" s="3187"/>
      <c r="AB376" s="3187"/>
      <c r="AC376" s="3166">
        <f t="shared" si="238"/>
        <v>0</v>
      </c>
      <c r="AD376" s="3198"/>
      <c r="AE376" s="3198"/>
      <c r="AF376" s="3198"/>
      <c r="AG376" s="3198"/>
      <c r="AH376" s="3198"/>
      <c r="AI376" s="3198"/>
      <c r="AJ376" s="3198"/>
      <c r="AK376" s="3198"/>
      <c r="AL376" s="3198"/>
      <c r="AM376" s="3198"/>
      <c r="AN376" s="3198"/>
      <c r="AO376" s="3198"/>
      <c r="AP376" s="3198"/>
      <c r="AQ376" s="3198"/>
      <c r="AR376" s="3198"/>
      <c r="AS376" s="3198"/>
      <c r="AT376" s="3218"/>
      <c r="AU376" s="3219"/>
      <c r="AV376" s="488">
        <f t="shared" si="262"/>
        <v>0</v>
      </c>
      <c r="AW376" s="488">
        <f t="shared" si="263"/>
        <v>0</v>
      </c>
      <c r="AX376" s="488">
        <f t="shared" si="264"/>
        <v>0</v>
      </c>
      <c r="AY376" s="3235">
        <f t="shared" si="239"/>
        <v>0</v>
      </c>
      <c r="AZ376" s="3166">
        <f t="shared" si="240"/>
        <v>0</v>
      </c>
      <c r="BA376" s="3166">
        <f t="shared" si="241"/>
        <v>0</v>
      </c>
      <c r="BB376" s="3166">
        <f t="shared" si="242"/>
        <v>0</v>
      </c>
      <c r="BC376" s="3166">
        <f t="shared" si="243"/>
        <v>0</v>
      </c>
      <c r="BD376" s="3166">
        <f t="shared" si="244"/>
        <v>0</v>
      </c>
      <c r="BE376" s="3166">
        <f t="shared" si="245"/>
        <v>0</v>
      </c>
      <c r="BF376" s="3166">
        <f t="shared" si="246"/>
        <v>0</v>
      </c>
      <c r="BG376" s="3166">
        <f t="shared" si="247"/>
        <v>0</v>
      </c>
      <c r="BH376" s="3166">
        <f t="shared" si="248"/>
        <v>0</v>
      </c>
      <c r="BI376" s="3166">
        <f t="shared" si="249"/>
        <v>0</v>
      </c>
      <c r="BJ376" s="3166">
        <f t="shared" si="250"/>
        <v>0</v>
      </c>
      <c r="BK376" s="3166">
        <f t="shared" si="251"/>
        <v>0</v>
      </c>
      <c r="BL376" s="3166">
        <f t="shared" si="252"/>
        <v>0</v>
      </c>
      <c r="BM376" s="3166">
        <f t="shared" si="253"/>
        <v>0</v>
      </c>
      <c r="BN376" s="3166">
        <f t="shared" si="254"/>
        <v>0</v>
      </c>
      <c r="BO376" s="3166">
        <f t="shared" si="255"/>
        <v>0</v>
      </c>
      <c r="BP376" s="3166">
        <f t="shared" si="256"/>
        <v>0</v>
      </c>
      <c r="BQ376" s="3166">
        <f t="shared" si="257"/>
        <v>0</v>
      </c>
      <c r="BR376" s="3166">
        <f t="shared" si="258"/>
        <v>0</v>
      </c>
      <c r="BS376" s="3166">
        <f t="shared" si="259"/>
        <v>0</v>
      </c>
      <c r="BT376" s="3240">
        <f t="shared" si="260"/>
        <v>0</v>
      </c>
    </row>
    <row r="377" spans="1:72">
      <c r="A377" s="3163"/>
      <c r="B377" s="3164"/>
      <c r="C377" s="3164"/>
      <c r="D377" s="3176"/>
      <c r="E377" s="3166">
        <f t="shared" si="261"/>
        <v>0</v>
      </c>
      <c r="F377" s="3167"/>
      <c r="G377" s="3168">
        <f t="shared" si="236"/>
        <v>0</v>
      </c>
      <c r="H377" s="3169">
        <f t="shared" si="237"/>
        <v>0</v>
      </c>
      <c r="I377" s="3187"/>
      <c r="J377" s="3187"/>
      <c r="K377" s="3187"/>
      <c r="L377" s="3187"/>
      <c r="M377" s="3187"/>
      <c r="N377" s="3187"/>
      <c r="O377" s="3187"/>
      <c r="P377" s="3187"/>
      <c r="Q377" s="3187"/>
      <c r="R377" s="3187"/>
      <c r="S377" s="3187"/>
      <c r="T377" s="3187"/>
      <c r="U377" s="3187"/>
      <c r="V377" s="3187"/>
      <c r="W377" s="3187"/>
      <c r="X377" s="3187"/>
      <c r="Y377" s="3187"/>
      <c r="Z377" s="3187"/>
      <c r="AA377" s="3187"/>
      <c r="AB377" s="3187"/>
      <c r="AC377" s="3166">
        <f t="shared" si="238"/>
        <v>0</v>
      </c>
      <c r="AD377" s="3198"/>
      <c r="AE377" s="3198"/>
      <c r="AF377" s="3198"/>
      <c r="AG377" s="3198"/>
      <c r="AH377" s="3198"/>
      <c r="AI377" s="3198"/>
      <c r="AJ377" s="3198"/>
      <c r="AK377" s="3198"/>
      <c r="AL377" s="3198"/>
      <c r="AM377" s="3198"/>
      <c r="AN377" s="3198"/>
      <c r="AO377" s="3198"/>
      <c r="AP377" s="3198"/>
      <c r="AQ377" s="3198"/>
      <c r="AR377" s="3198"/>
      <c r="AS377" s="3198"/>
      <c r="AT377" s="3218"/>
      <c r="AU377" s="3219"/>
      <c r="AV377" s="488">
        <f t="shared" si="262"/>
        <v>0</v>
      </c>
      <c r="AW377" s="488">
        <f t="shared" si="263"/>
        <v>0</v>
      </c>
      <c r="AX377" s="488">
        <f t="shared" si="264"/>
        <v>0</v>
      </c>
      <c r="AY377" s="3235">
        <f t="shared" si="239"/>
        <v>0</v>
      </c>
      <c r="AZ377" s="3166">
        <f t="shared" si="240"/>
        <v>0</v>
      </c>
      <c r="BA377" s="3166">
        <f t="shared" si="241"/>
        <v>0</v>
      </c>
      <c r="BB377" s="3166">
        <f t="shared" si="242"/>
        <v>0</v>
      </c>
      <c r="BC377" s="3166">
        <f t="shared" si="243"/>
        <v>0</v>
      </c>
      <c r="BD377" s="3166">
        <f t="shared" si="244"/>
        <v>0</v>
      </c>
      <c r="BE377" s="3166">
        <f t="shared" si="245"/>
        <v>0</v>
      </c>
      <c r="BF377" s="3166">
        <f t="shared" si="246"/>
        <v>0</v>
      </c>
      <c r="BG377" s="3166">
        <f t="shared" si="247"/>
        <v>0</v>
      </c>
      <c r="BH377" s="3166">
        <f t="shared" si="248"/>
        <v>0</v>
      </c>
      <c r="BI377" s="3166">
        <f t="shared" si="249"/>
        <v>0</v>
      </c>
      <c r="BJ377" s="3166">
        <f t="shared" si="250"/>
        <v>0</v>
      </c>
      <c r="BK377" s="3166">
        <f t="shared" si="251"/>
        <v>0</v>
      </c>
      <c r="BL377" s="3166">
        <f t="shared" si="252"/>
        <v>0</v>
      </c>
      <c r="BM377" s="3166">
        <f t="shared" si="253"/>
        <v>0</v>
      </c>
      <c r="BN377" s="3166">
        <f t="shared" si="254"/>
        <v>0</v>
      </c>
      <c r="BO377" s="3166">
        <f t="shared" si="255"/>
        <v>0</v>
      </c>
      <c r="BP377" s="3166">
        <f t="shared" si="256"/>
        <v>0</v>
      </c>
      <c r="BQ377" s="3166">
        <f t="shared" si="257"/>
        <v>0</v>
      </c>
      <c r="BR377" s="3166">
        <f t="shared" si="258"/>
        <v>0</v>
      </c>
      <c r="BS377" s="3166">
        <f t="shared" si="259"/>
        <v>0</v>
      </c>
      <c r="BT377" s="3240">
        <f t="shared" si="260"/>
        <v>0</v>
      </c>
    </row>
    <row r="378" spans="1:72">
      <c r="A378" s="3163"/>
      <c r="B378" s="3164"/>
      <c r="C378" s="3164"/>
      <c r="D378" s="3176"/>
      <c r="E378" s="3166">
        <f t="shared" si="261"/>
        <v>0</v>
      </c>
      <c r="F378" s="3167"/>
      <c r="G378" s="3168">
        <f t="shared" si="236"/>
        <v>0</v>
      </c>
      <c r="H378" s="3169">
        <f t="shared" si="237"/>
        <v>0</v>
      </c>
      <c r="I378" s="3187"/>
      <c r="J378" s="3187"/>
      <c r="K378" s="3187"/>
      <c r="L378" s="3187"/>
      <c r="M378" s="3187"/>
      <c r="N378" s="3187"/>
      <c r="O378" s="3187"/>
      <c r="P378" s="3187"/>
      <c r="Q378" s="3187"/>
      <c r="R378" s="3187"/>
      <c r="S378" s="3187"/>
      <c r="T378" s="3187"/>
      <c r="U378" s="3187"/>
      <c r="V378" s="3187"/>
      <c r="W378" s="3187"/>
      <c r="X378" s="3187"/>
      <c r="Y378" s="3187"/>
      <c r="Z378" s="3187"/>
      <c r="AA378" s="3187"/>
      <c r="AB378" s="3187"/>
      <c r="AC378" s="3166">
        <f t="shared" si="238"/>
        <v>0</v>
      </c>
      <c r="AD378" s="3198"/>
      <c r="AE378" s="3198"/>
      <c r="AF378" s="3198"/>
      <c r="AG378" s="3198"/>
      <c r="AH378" s="3198"/>
      <c r="AI378" s="3198"/>
      <c r="AJ378" s="3198"/>
      <c r="AK378" s="3198"/>
      <c r="AL378" s="3198"/>
      <c r="AM378" s="3198"/>
      <c r="AN378" s="3198"/>
      <c r="AO378" s="3198"/>
      <c r="AP378" s="3198"/>
      <c r="AQ378" s="3198"/>
      <c r="AR378" s="3198"/>
      <c r="AS378" s="3198"/>
      <c r="AT378" s="3218"/>
      <c r="AU378" s="3219"/>
      <c r="AV378" s="488">
        <f t="shared" si="262"/>
        <v>0</v>
      </c>
      <c r="AW378" s="488">
        <f t="shared" si="263"/>
        <v>0</v>
      </c>
      <c r="AX378" s="488">
        <f t="shared" si="264"/>
        <v>0</v>
      </c>
      <c r="AY378" s="3235">
        <f t="shared" si="239"/>
        <v>0</v>
      </c>
      <c r="AZ378" s="3166">
        <f t="shared" si="240"/>
        <v>0</v>
      </c>
      <c r="BA378" s="3166">
        <f t="shared" si="241"/>
        <v>0</v>
      </c>
      <c r="BB378" s="3166">
        <f t="shared" si="242"/>
        <v>0</v>
      </c>
      <c r="BC378" s="3166">
        <f t="shared" si="243"/>
        <v>0</v>
      </c>
      <c r="BD378" s="3166">
        <f t="shared" si="244"/>
        <v>0</v>
      </c>
      <c r="BE378" s="3166">
        <f t="shared" si="245"/>
        <v>0</v>
      </c>
      <c r="BF378" s="3166">
        <f t="shared" si="246"/>
        <v>0</v>
      </c>
      <c r="BG378" s="3166">
        <f t="shared" si="247"/>
        <v>0</v>
      </c>
      <c r="BH378" s="3166">
        <f t="shared" si="248"/>
        <v>0</v>
      </c>
      <c r="BI378" s="3166">
        <f t="shared" si="249"/>
        <v>0</v>
      </c>
      <c r="BJ378" s="3166">
        <f t="shared" si="250"/>
        <v>0</v>
      </c>
      <c r="BK378" s="3166">
        <f t="shared" si="251"/>
        <v>0</v>
      </c>
      <c r="BL378" s="3166">
        <f t="shared" si="252"/>
        <v>0</v>
      </c>
      <c r="BM378" s="3166">
        <f t="shared" si="253"/>
        <v>0</v>
      </c>
      <c r="BN378" s="3166">
        <f t="shared" si="254"/>
        <v>0</v>
      </c>
      <c r="BO378" s="3166">
        <f t="shared" si="255"/>
        <v>0</v>
      </c>
      <c r="BP378" s="3166">
        <f t="shared" si="256"/>
        <v>0</v>
      </c>
      <c r="BQ378" s="3166">
        <f t="shared" si="257"/>
        <v>0</v>
      </c>
      <c r="BR378" s="3166">
        <f t="shared" si="258"/>
        <v>0</v>
      </c>
      <c r="BS378" s="3166">
        <f t="shared" si="259"/>
        <v>0</v>
      </c>
      <c r="BT378" s="3240">
        <f t="shared" si="260"/>
        <v>0</v>
      </c>
    </row>
    <row r="379" spans="1:72">
      <c r="A379" s="3163"/>
      <c r="B379" s="3164"/>
      <c r="C379" s="3164"/>
      <c r="D379" s="3176"/>
      <c r="E379" s="3166">
        <f t="shared" si="261"/>
        <v>0</v>
      </c>
      <c r="F379" s="3167"/>
      <c r="G379" s="3168">
        <f t="shared" si="236"/>
        <v>0</v>
      </c>
      <c r="H379" s="3169">
        <f t="shared" si="237"/>
        <v>0</v>
      </c>
      <c r="I379" s="3187"/>
      <c r="J379" s="3187"/>
      <c r="K379" s="3187"/>
      <c r="L379" s="3187"/>
      <c r="M379" s="3187"/>
      <c r="N379" s="3187"/>
      <c r="O379" s="3187"/>
      <c r="P379" s="3187"/>
      <c r="Q379" s="3187"/>
      <c r="R379" s="3187"/>
      <c r="S379" s="3187"/>
      <c r="T379" s="3187"/>
      <c r="U379" s="3187"/>
      <c r="V379" s="3187"/>
      <c r="W379" s="3187"/>
      <c r="X379" s="3187"/>
      <c r="Y379" s="3187"/>
      <c r="Z379" s="3187"/>
      <c r="AA379" s="3187"/>
      <c r="AB379" s="3187"/>
      <c r="AC379" s="3166">
        <f t="shared" si="238"/>
        <v>0</v>
      </c>
      <c r="AD379" s="3198"/>
      <c r="AE379" s="3198"/>
      <c r="AF379" s="3198"/>
      <c r="AG379" s="3198"/>
      <c r="AH379" s="3198"/>
      <c r="AI379" s="3198"/>
      <c r="AJ379" s="3198"/>
      <c r="AK379" s="3198"/>
      <c r="AL379" s="3198"/>
      <c r="AM379" s="3198"/>
      <c r="AN379" s="3198"/>
      <c r="AO379" s="3198"/>
      <c r="AP379" s="3198"/>
      <c r="AQ379" s="3198"/>
      <c r="AR379" s="3198"/>
      <c r="AS379" s="3198"/>
      <c r="AT379" s="3218"/>
      <c r="AU379" s="3219"/>
      <c r="AV379" s="488">
        <f t="shared" si="262"/>
        <v>0</v>
      </c>
      <c r="AW379" s="488">
        <f t="shared" si="263"/>
        <v>0</v>
      </c>
      <c r="AX379" s="488">
        <f t="shared" si="264"/>
        <v>0</v>
      </c>
      <c r="AY379" s="3235">
        <f t="shared" si="239"/>
        <v>0</v>
      </c>
      <c r="AZ379" s="3166">
        <f t="shared" si="240"/>
        <v>0</v>
      </c>
      <c r="BA379" s="3166">
        <f t="shared" si="241"/>
        <v>0</v>
      </c>
      <c r="BB379" s="3166">
        <f t="shared" si="242"/>
        <v>0</v>
      </c>
      <c r="BC379" s="3166">
        <f t="shared" si="243"/>
        <v>0</v>
      </c>
      <c r="BD379" s="3166">
        <f t="shared" si="244"/>
        <v>0</v>
      </c>
      <c r="BE379" s="3166">
        <f t="shared" si="245"/>
        <v>0</v>
      </c>
      <c r="BF379" s="3166">
        <f t="shared" si="246"/>
        <v>0</v>
      </c>
      <c r="BG379" s="3166">
        <f t="shared" si="247"/>
        <v>0</v>
      </c>
      <c r="BH379" s="3166">
        <f t="shared" si="248"/>
        <v>0</v>
      </c>
      <c r="BI379" s="3166">
        <f t="shared" si="249"/>
        <v>0</v>
      </c>
      <c r="BJ379" s="3166">
        <f t="shared" si="250"/>
        <v>0</v>
      </c>
      <c r="BK379" s="3166">
        <f t="shared" si="251"/>
        <v>0</v>
      </c>
      <c r="BL379" s="3166">
        <f t="shared" si="252"/>
        <v>0</v>
      </c>
      <c r="BM379" s="3166">
        <f t="shared" si="253"/>
        <v>0</v>
      </c>
      <c r="BN379" s="3166">
        <f t="shared" si="254"/>
        <v>0</v>
      </c>
      <c r="BO379" s="3166">
        <f t="shared" si="255"/>
        <v>0</v>
      </c>
      <c r="BP379" s="3166">
        <f t="shared" si="256"/>
        <v>0</v>
      </c>
      <c r="BQ379" s="3166">
        <f t="shared" si="257"/>
        <v>0</v>
      </c>
      <c r="BR379" s="3166">
        <f t="shared" si="258"/>
        <v>0</v>
      </c>
      <c r="BS379" s="3166">
        <f t="shared" si="259"/>
        <v>0</v>
      </c>
      <c r="BT379" s="3240">
        <f t="shared" si="260"/>
        <v>0</v>
      </c>
    </row>
    <row r="380" spans="1:72">
      <c r="A380" s="3163"/>
      <c r="B380" s="3164"/>
      <c r="C380" s="3164"/>
      <c r="D380" s="3176"/>
      <c r="E380" s="3166">
        <f t="shared" si="261"/>
        <v>0</v>
      </c>
      <c r="F380" s="3167"/>
      <c r="G380" s="3168">
        <f t="shared" si="236"/>
        <v>0</v>
      </c>
      <c r="H380" s="3169">
        <f t="shared" si="237"/>
        <v>0</v>
      </c>
      <c r="I380" s="3187"/>
      <c r="J380" s="3187"/>
      <c r="K380" s="3187"/>
      <c r="L380" s="3187"/>
      <c r="M380" s="3187"/>
      <c r="N380" s="3187"/>
      <c r="O380" s="3187"/>
      <c r="P380" s="3187"/>
      <c r="Q380" s="3187"/>
      <c r="R380" s="3187"/>
      <c r="S380" s="3187"/>
      <c r="T380" s="3187"/>
      <c r="U380" s="3187"/>
      <c r="V380" s="3187"/>
      <c r="W380" s="3187"/>
      <c r="X380" s="3187"/>
      <c r="Y380" s="3187"/>
      <c r="Z380" s="3187"/>
      <c r="AA380" s="3187"/>
      <c r="AB380" s="3187"/>
      <c r="AC380" s="3166">
        <f t="shared" si="238"/>
        <v>0</v>
      </c>
      <c r="AD380" s="3198"/>
      <c r="AE380" s="3198"/>
      <c r="AF380" s="3198"/>
      <c r="AG380" s="3198"/>
      <c r="AH380" s="3198"/>
      <c r="AI380" s="3198"/>
      <c r="AJ380" s="3198"/>
      <c r="AK380" s="3198"/>
      <c r="AL380" s="3198"/>
      <c r="AM380" s="3198"/>
      <c r="AN380" s="3198"/>
      <c r="AO380" s="3198"/>
      <c r="AP380" s="3198"/>
      <c r="AQ380" s="3198"/>
      <c r="AR380" s="3198"/>
      <c r="AS380" s="3198"/>
      <c r="AT380" s="3218"/>
      <c r="AU380" s="3219"/>
      <c r="AV380" s="488">
        <f t="shared" si="262"/>
        <v>0</v>
      </c>
      <c r="AW380" s="488">
        <f t="shared" si="263"/>
        <v>0</v>
      </c>
      <c r="AX380" s="488">
        <f t="shared" si="264"/>
        <v>0</v>
      </c>
      <c r="AY380" s="3235">
        <f t="shared" si="239"/>
        <v>0</v>
      </c>
      <c r="AZ380" s="3166">
        <f t="shared" si="240"/>
        <v>0</v>
      </c>
      <c r="BA380" s="3166">
        <f t="shared" si="241"/>
        <v>0</v>
      </c>
      <c r="BB380" s="3166">
        <f t="shared" si="242"/>
        <v>0</v>
      </c>
      <c r="BC380" s="3166">
        <f t="shared" si="243"/>
        <v>0</v>
      </c>
      <c r="BD380" s="3166">
        <f t="shared" si="244"/>
        <v>0</v>
      </c>
      <c r="BE380" s="3166">
        <f t="shared" si="245"/>
        <v>0</v>
      </c>
      <c r="BF380" s="3166">
        <f t="shared" si="246"/>
        <v>0</v>
      </c>
      <c r="BG380" s="3166">
        <f t="shared" si="247"/>
        <v>0</v>
      </c>
      <c r="BH380" s="3166">
        <f t="shared" si="248"/>
        <v>0</v>
      </c>
      <c r="BI380" s="3166">
        <f t="shared" si="249"/>
        <v>0</v>
      </c>
      <c r="BJ380" s="3166">
        <f t="shared" si="250"/>
        <v>0</v>
      </c>
      <c r="BK380" s="3166">
        <f t="shared" si="251"/>
        <v>0</v>
      </c>
      <c r="BL380" s="3166">
        <f t="shared" si="252"/>
        <v>0</v>
      </c>
      <c r="BM380" s="3166">
        <f t="shared" si="253"/>
        <v>0</v>
      </c>
      <c r="BN380" s="3166">
        <f t="shared" si="254"/>
        <v>0</v>
      </c>
      <c r="BO380" s="3166">
        <f t="shared" si="255"/>
        <v>0</v>
      </c>
      <c r="BP380" s="3166">
        <f t="shared" si="256"/>
        <v>0</v>
      </c>
      <c r="BQ380" s="3166">
        <f t="shared" si="257"/>
        <v>0</v>
      </c>
      <c r="BR380" s="3166">
        <f t="shared" si="258"/>
        <v>0</v>
      </c>
      <c r="BS380" s="3166">
        <f t="shared" si="259"/>
        <v>0</v>
      </c>
      <c r="BT380" s="3240">
        <f t="shared" si="260"/>
        <v>0</v>
      </c>
    </row>
    <row r="381" spans="1:72">
      <c r="A381" s="3163"/>
      <c r="B381" s="3164"/>
      <c r="C381" s="3164"/>
      <c r="D381" s="3176"/>
      <c r="E381" s="3166">
        <f t="shared" si="261"/>
        <v>0</v>
      </c>
      <c r="F381" s="3167"/>
      <c r="G381" s="3168">
        <f t="shared" si="236"/>
        <v>0</v>
      </c>
      <c r="H381" s="3169">
        <f t="shared" si="237"/>
        <v>0</v>
      </c>
      <c r="I381" s="3187"/>
      <c r="J381" s="3187"/>
      <c r="K381" s="3187"/>
      <c r="L381" s="3187"/>
      <c r="M381" s="3187"/>
      <c r="N381" s="3187"/>
      <c r="O381" s="3187"/>
      <c r="P381" s="3187"/>
      <c r="Q381" s="3187"/>
      <c r="R381" s="3187"/>
      <c r="S381" s="3187"/>
      <c r="T381" s="3187"/>
      <c r="U381" s="3187"/>
      <c r="V381" s="3187"/>
      <c r="W381" s="3187"/>
      <c r="X381" s="3187"/>
      <c r="Y381" s="3187"/>
      <c r="Z381" s="3187"/>
      <c r="AA381" s="3187"/>
      <c r="AB381" s="3187"/>
      <c r="AC381" s="3166">
        <f t="shared" si="238"/>
        <v>0</v>
      </c>
      <c r="AD381" s="3198"/>
      <c r="AE381" s="3198"/>
      <c r="AF381" s="3198"/>
      <c r="AG381" s="3198"/>
      <c r="AH381" s="3198"/>
      <c r="AI381" s="3198"/>
      <c r="AJ381" s="3198"/>
      <c r="AK381" s="3198"/>
      <c r="AL381" s="3198"/>
      <c r="AM381" s="3198"/>
      <c r="AN381" s="3198"/>
      <c r="AO381" s="3198"/>
      <c r="AP381" s="3198"/>
      <c r="AQ381" s="3198"/>
      <c r="AR381" s="3198"/>
      <c r="AS381" s="3198"/>
      <c r="AT381" s="3218"/>
      <c r="AU381" s="3219"/>
      <c r="AV381" s="488">
        <f t="shared" si="262"/>
        <v>0</v>
      </c>
      <c r="AW381" s="488">
        <f t="shared" si="263"/>
        <v>0</v>
      </c>
      <c r="AX381" s="488">
        <f t="shared" si="264"/>
        <v>0</v>
      </c>
      <c r="AY381" s="3235">
        <f t="shared" si="239"/>
        <v>0</v>
      </c>
      <c r="AZ381" s="3166">
        <f t="shared" si="240"/>
        <v>0</v>
      </c>
      <c r="BA381" s="3166">
        <f t="shared" si="241"/>
        <v>0</v>
      </c>
      <c r="BB381" s="3166">
        <f t="shared" si="242"/>
        <v>0</v>
      </c>
      <c r="BC381" s="3166">
        <f t="shared" si="243"/>
        <v>0</v>
      </c>
      <c r="BD381" s="3166">
        <f t="shared" si="244"/>
        <v>0</v>
      </c>
      <c r="BE381" s="3166">
        <f t="shared" si="245"/>
        <v>0</v>
      </c>
      <c r="BF381" s="3166">
        <f t="shared" si="246"/>
        <v>0</v>
      </c>
      <c r="BG381" s="3166">
        <f t="shared" si="247"/>
        <v>0</v>
      </c>
      <c r="BH381" s="3166">
        <f t="shared" si="248"/>
        <v>0</v>
      </c>
      <c r="BI381" s="3166">
        <f t="shared" si="249"/>
        <v>0</v>
      </c>
      <c r="BJ381" s="3166">
        <f t="shared" si="250"/>
        <v>0</v>
      </c>
      <c r="BK381" s="3166">
        <f t="shared" si="251"/>
        <v>0</v>
      </c>
      <c r="BL381" s="3166">
        <f t="shared" si="252"/>
        <v>0</v>
      </c>
      <c r="BM381" s="3166">
        <f t="shared" si="253"/>
        <v>0</v>
      </c>
      <c r="BN381" s="3166">
        <f t="shared" si="254"/>
        <v>0</v>
      </c>
      <c r="BO381" s="3166">
        <f t="shared" si="255"/>
        <v>0</v>
      </c>
      <c r="BP381" s="3166">
        <f t="shared" si="256"/>
        <v>0</v>
      </c>
      <c r="BQ381" s="3166">
        <f t="shared" si="257"/>
        <v>0</v>
      </c>
      <c r="BR381" s="3166">
        <f t="shared" si="258"/>
        <v>0</v>
      </c>
      <c r="BS381" s="3166">
        <f t="shared" si="259"/>
        <v>0</v>
      </c>
      <c r="BT381" s="3240">
        <f t="shared" si="260"/>
        <v>0</v>
      </c>
    </row>
    <row r="382" spans="1:72">
      <c r="A382" s="3163"/>
      <c r="B382" s="3164"/>
      <c r="C382" s="3164"/>
      <c r="D382" s="3176"/>
      <c r="E382" s="3166">
        <f t="shared" si="261"/>
        <v>0</v>
      </c>
      <c r="F382" s="3167"/>
      <c r="G382" s="3168">
        <f t="shared" si="236"/>
        <v>0</v>
      </c>
      <c r="H382" s="3169">
        <f t="shared" si="237"/>
        <v>0</v>
      </c>
      <c r="I382" s="3187"/>
      <c r="J382" s="3187"/>
      <c r="K382" s="3187"/>
      <c r="L382" s="3187"/>
      <c r="M382" s="3187"/>
      <c r="N382" s="3187"/>
      <c r="O382" s="3187"/>
      <c r="P382" s="3187"/>
      <c r="Q382" s="3187"/>
      <c r="R382" s="3187"/>
      <c r="S382" s="3187"/>
      <c r="T382" s="3187"/>
      <c r="U382" s="3187"/>
      <c r="V382" s="3187"/>
      <c r="W382" s="3187"/>
      <c r="X382" s="3187"/>
      <c r="Y382" s="3187"/>
      <c r="Z382" s="3187"/>
      <c r="AA382" s="3187"/>
      <c r="AB382" s="3187"/>
      <c r="AC382" s="3166">
        <f t="shared" si="238"/>
        <v>0</v>
      </c>
      <c r="AD382" s="3198"/>
      <c r="AE382" s="3198"/>
      <c r="AF382" s="3198"/>
      <c r="AG382" s="3198"/>
      <c r="AH382" s="3198"/>
      <c r="AI382" s="3198"/>
      <c r="AJ382" s="3198"/>
      <c r="AK382" s="3198"/>
      <c r="AL382" s="3198"/>
      <c r="AM382" s="3198"/>
      <c r="AN382" s="3198"/>
      <c r="AO382" s="3198"/>
      <c r="AP382" s="3198"/>
      <c r="AQ382" s="3198"/>
      <c r="AR382" s="3198"/>
      <c r="AS382" s="3198"/>
      <c r="AT382" s="3218"/>
      <c r="AU382" s="3219"/>
      <c r="AV382" s="488">
        <f t="shared" si="262"/>
        <v>0</v>
      </c>
      <c r="AW382" s="488">
        <f t="shared" si="263"/>
        <v>0</v>
      </c>
      <c r="AX382" s="488">
        <f t="shared" si="264"/>
        <v>0</v>
      </c>
      <c r="AY382" s="3235">
        <f t="shared" si="239"/>
        <v>0</v>
      </c>
      <c r="AZ382" s="3166">
        <f t="shared" si="240"/>
        <v>0</v>
      </c>
      <c r="BA382" s="3166">
        <f t="shared" si="241"/>
        <v>0</v>
      </c>
      <c r="BB382" s="3166">
        <f t="shared" si="242"/>
        <v>0</v>
      </c>
      <c r="BC382" s="3166">
        <f t="shared" si="243"/>
        <v>0</v>
      </c>
      <c r="BD382" s="3166">
        <f t="shared" si="244"/>
        <v>0</v>
      </c>
      <c r="BE382" s="3166">
        <f t="shared" si="245"/>
        <v>0</v>
      </c>
      <c r="BF382" s="3166">
        <f t="shared" si="246"/>
        <v>0</v>
      </c>
      <c r="BG382" s="3166">
        <f t="shared" si="247"/>
        <v>0</v>
      </c>
      <c r="BH382" s="3166">
        <f t="shared" si="248"/>
        <v>0</v>
      </c>
      <c r="BI382" s="3166">
        <f t="shared" si="249"/>
        <v>0</v>
      </c>
      <c r="BJ382" s="3166">
        <f t="shared" si="250"/>
        <v>0</v>
      </c>
      <c r="BK382" s="3166">
        <f t="shared" si="251"/>
        <v>0</v>
      </c>
      <c r="BL382" s="3166">
        <f t="shared" si="252"/>
        <v>0</v>
      </c>
      <c r="BM382" s="3166">
        <f t="shared" si="253"/>
        <v>0</v>
      </c>
      <c r="BN382" s="3166">
        <f t="shared" si="254"/>
        <v>0</v>
      </c>
      <c r="BO382" s="3166">
        <f t="shared" si="255"/>
        <v>0</v>
      </c>
      <c r="BP382" s="3166">
        <f t="shared" si="256"/>
        <v>0</v>
      </c>
      <c r="BQ382" s="3166">
        <f t="shared" si="257"/>
        <v>0</v>
      </c>
      <c r="BR382" s="3166">
        <f t="shared" si="258"/>
        <v>0</v>
      </c>
      <c r="BS382" s="3166">
        <f t="shared" si="259"/>
        <v>0</v>
      </c>
      <c r="BT382" s="3240">
        <f t="shared" si="260"/>
        <v>0</v>
      </c>
    </row>
    <row r="383" spans="1:72">
      <c r="A383" s="3163"/>
      <c r="B383" s="3164"/>
      <c r="C383" s="3164"/>
      <c r="D383" s="3176"/>
      <c r="E383" s="3166">
        <f t="shared" si="261"/>
        <v>0</v>
      </c>
      <c r="F383" s="3167"/>
      <c r="G383" s="3168">
        <f t="shared" si="236"/>
        <v>0</v>
      </c>
      <c r="H383" s="3169">
        <f t="shared" si="237"/>
        <v>0</v>
      </c>
      <c r="I383" s="3187"/>
      <c r="J383" s="3187"/>
      <c r="K383" s="3187"/>
      <c r="L383" s="3187"/>
      <c r="M383" s="3187"/>
      <c r="N383" s="3187"/>
      <c r="O383" s="3187"/>
      <c r="P383" s="3187"/>
      <c r="Q383" s="3187"/>
      <c r="R383" s="3187"/>
      <c r="S383" s="3187"/>
      <c r="T383" s="3187"/>
      <c r="U383" s="3187"/>
      <c r="V383" s="3187"/>
      <c r="W383" s="3187"/>
      <c r="X383" s="3187"/>
      <c r="Y383" s="3187"/>
      <c r="Z383" s="3187"/>
      <c r="AA383" s="3187"/>
      <c r="AB383" s="3187"/>
      <c r="AC383" s="3166">
        <f t="shared" si="238"/>
        <v>0</v>
      </c>
      <c r="AD383" s="3198"/>
      <c r="AE383" s="3198"/>
      <c r="AF383" s="3198"/>
      <c r="AG383" s="3198"/>
      <c r="AH383" s="3198"/>
      <c r="AI383" s="3198"/>
      <c r="AJ383" s="3198"/>
      <c r="AK383" s="3198"/>
      <c r="AL383" s="3198"/>
      <c r="AM383" s="3198"/>
      <c r="AN383" s="3198"/>
      <c r="AO383" s="3198"/>
      <c r="AP383" s="3198"/>
      <c r="AQ383" s="3198"/>
      <c r="AR383" s="3198"/>
      <c r="AS383" s="3198"/>
      <c r="AT383" s="3218"/>
      <c r="AU383" s="3219"/>
      <c r="AV383" s="488">
        <f t="shared" si="262"/>
        <v>0</v>
      </c>
      <c r="AW383" s="488">
        <f t="shared" si="263"/>
        <v>0</v>
      </c>
      <c r="AX383" s="488">
        <f t="shared" si="264"/>
        <v>0</v>
      </c>
      <c r="AY383" s="3235">
        <f t="shared" si="239"/>
        <v>0</v>
      </c>
      <c r="AZ383" s="3166">
        <f t="shared" si="240"/>
        <v>0</v>
      </c>
      <c r="BA383" s="3166">
        <f t="shared" si="241"/>
        <v>0</v>
      </c>
      <c r="BB383" s="3166">
        <f t="shared" si="242"/>
        <v>0</v>
      </c>
      <c r="BC383" s="3166">
        <f t="shared" si="243"/>
        <v>0</v>
      </c>
      <c r="BD383" s="3166">
        <f t="shared" si="244"/>
        <v>0</v>
      </c>
      <c r="BE383" s="3166">
        <f t="shared" si="245"/>
        <v>0</v>
      </c>
      <c r="BF383" s="3166">
        <f t="shared" si="246"/>
        <v>0</v>
      </c>
      <c r="BG383" s="3166">
        <f t="shared" si="247"/>
        <v>0</v>
      </c>
      <c r="BH383" s="3166">
        <f t="shared" si="248"/>
        <v>0</v>
      </c>
      <c r="BI383" s="3166">
        <f t="shared" si="249"/>
        <v>0</v>
      </c>
      <c r="BJ383" s="3166">
        <f t="shared" si="250"/>
        <v>0</v>
      </c>
      <c r="BK383" s="3166">
        <f t="shared" si="251"/>
        <v>0</v>
      </c>
      <c r="BL383" s="3166">
        <f t="shared" si="252"/>
        <v>0</v>
      </c>
      <c r="BM383" s="3166">
        <f t="shared" si="253"/>
        <v>0</v>
      </c>
      <c r="BN383" s="3166">
        <f t="shared" si="254"/>
        <v>0</v>
      </c>
      <c r="BO383" s="3166">
        <f t="shared" si="255"/>
        <v>0</v>
      </c>
      <c r="BP383" s="3166">
        <f t="shared" si="256"/>
        <v>0</v>
      </c>
      <c r="BQ383" s="3166">
        <f t="shared" si="257"/>
        <v>0</v>
      </c>
      <c r="BR383" s="3166">
        <f t="shared" si="258"/>
        <v>0</v>
      </c>
      <c r="BS383" s="3166">
        <f t="shared" si="259"/>
        <v>0</v>
      </c>
      <c r="BT383" s="3240">
        <f t="shared" si="260"/>
        <v>0</v>
      </c>
    </row>
    <row r="384" spans="1:72">
      <c r="A384" s="3163"/>
      <c r="B384" s="3164"/>
      <c r="C384" s="3164"/>
      <c r="D384" s="3176"/>
      <c r="E384" s="3166">
        <f t="shared" si="261"/>
        <v>0</v>
      </c>
      <c r="F384" s="3167"/>
      <c r="G384" s="3168">
        <f t="shared" si="236"/>
        <v>0</v>
      </c>
      <c r="H384" s="3169">
        <f t="shared" si="237"/>
        <v>0</v>
      </c>
      <c r="I384" s="3187"/>
      <c r="J384" s="3187"/>
      <c r="K384" s="3187"/>
      <c r="L384" s="3187"/>
      <c r="M384" s="3187"/>
      <c r="N384" s="3187"/>
      <c r="O384" s="3187"/>
      <c r="P384" s="3187"/>
      <c r="Q384" s="3187"/>
      <c r="R384" s="3187"/>
      <c r="S384" s="3187"/>
      <c r="T384" s="3187"/>
      <c r="U384" s="3187"/>
      <c r="V384" s="3187"/>
      <c r="W384" s="3187"/>
      <c r="X384" s="3187"/>
      <c r="Y384" s="3187"/>
      <c r="Z384" s="3187"/>
      <c r="AA384" s="3187"/>
      <c r="AB384" s="3187"/>
      <c r="AC384" s="3166">
        <f t="shared" si="238"/>
        <v>0</v>
      </c>
      <c r="AD384" s="3198"/>
      <c r="AE384" s="3198"/>
      <c r="AF384" s="3198"/>
      <c r="AG384" s="3198"/>
      <c r="AH384" s="3198"/>
      <c r="AI384" s="3198"/>
      <c r="AJ384" s="3198"/>
      <c r="AK384" s="3198"/>
      <c r="AL384" s="3198"/>
      <c r="AM384" s="3198"/>
      <c r="AN384" s="3198"/>
      <c r="AO384" s="3198"/>
      <c r="AP384" s="3198"/>
      <c r="AQ384" s="3198"/>
      <c r="AR384" s="3198"/>
      <c r="AS384" s="3198"/>
      <c r="AT384" s="3218"/>
      <c r="AU384" s="3219"/>
      <c r="AV384" s="488">
        <f t="shared" si="262"/>
        <v>0</v>
      </c>
      <c r="AW384" s="488">
        <f t="shared" si="263"/>
        <v>0</v>
      </c>
      <c r="AX384" s="488">
        <f t="shared" si="264"/>
        <v>0</v>
      </c>
      <c r="AY384" s="3235">
        <f t="shared" si="239"/>
        <v>0</v>
      </c>
      <c r="AZ384" s="3166">
        <f t="shared" si="240"/>
        <v>0</v>
      </c>
      <c r="BA384" s="3166">
        <f t="shared" si="241"/>
        <v>0</v>
      </c>
      <c r="BB384" s="3166">
        <f t="shared" si="242"/>
        <v>0</v>
      </c>
      <c r="BC384" s="3166">
        <f t="shared" si="243"/>
        <v>0</v>
      </c>
      <c r="BD384" s="3166">
        <f t="shared" si="244"/>
        <v>0</v>
      </c>
      <c r="BE384" s="3166">
        <f t="shared" si="245"/>
        <v>0</v>
      </c>
      <c r="BF384" s="3166">
        <f t="shared" si="246"/>
        <v>0</v>
      </c>
      <c r="BG384" s="3166">
        <f t="shared" si="247"/>
        <v>0</v>
      </c>
      <c r="BH384" s="3166">
        <f t="shared" si="248"/>
        <v>0</v>
      </c>
      <c r="BI384" s="3166">
        <f t="shared" si="249"/>
        <v>0</v>
      </c>
      <c r="BJ384" s="3166">
        <f t="shared" si="250"/>
        <v>0</v>
      </c>
      <c r="BK384" s="3166">
        <f t="shared" si="251"/>
        <v>0</v>
      </c>
      <c r="BL384" s="3166">
        <f t="shared" si="252"/>
        <v>0</v>
      </c>
      <c r="BM384" s="3166">
        <f t="shared" si="253"/>
        <v>0</v>
      </c>
      <c r="BN384" s="3166">
        <f t="shared" si="254"/>
        <v>0</v>
      </c>
      <c r="BO384" s="3166">
        <f t="shared" si="255"/>
        <v>0</v>
      </c>
      <c r="BP384" s="3166">
        <f t="shared" si="256"/>
        <v>0</v>
      </c>
      <c r="BQ384" s="3166">
        <f t="shared" si="257"/>
        <v>0</v>
      </c>
      <c r="BR384" s="3166">
        <f t="shared" si="258"/>
        <v>0</v>
      </c>
      <c r="BS384" s="3166">
        <f t="shared" si="259"/>
        <v>0</v>
      </c>
      <c r="BT384" s="3240">
        <f t="shared" si="260"/>
        <v>0</v>
      </c>
    </row>
    <row r="385" spans="1:72">
      <c r="A385" s="3163"/>
      <c r="B385" s="3164"/>
      <c r="C385" s="3164"/>
      <c r="D385" s="3176"/>
      <c r="E385" s="3166">
        <f t="shared" si="261"/>
        <v>0</v>
      </c>
      <c r="F385" s="3167"/>
      <c r="G385" s="3168">
        <f t="shared" si="236"/>
        <v>0</v>
      </c>
      <c r="H385" s="3169">
        <f t="shared" si="237"/>
        <v>0</v>
      </c>
      <c r="I385" s="3187"/>
      <c r="J385" s="3187"/>
      <c r="K385" s="3187"/>
      <c r="L385" s="3187"/>
      <c r="M385" s="3187"/>
      <c r="N385" s="3187"/>
      <c r="O385" s="3187"/>
      <c r="P385" s="3187"/>
      <c r="Q385" s="3187"/>
      <c r="R385" s="3187"/>
      <c r="S385" s="3187"/>
      <c r="T385" s="3187"/>
      <c r="U385" s="3187"/>
      <c r="V385" s="3187"/>
      <c r="W385" s="3187"/>
      <c r="X385" s="3187"/>
      <c r="Y385" s="3187"/>
      <c r="Z385" s="3187"/>
      <c r="AA385" s="3187"/>
      <c r="AB385" s="3187"/>
      <c r="AC385" s="3166">
        <f t="shared" si="238"/>
        <v>0</v>
      </c>
      <c r="AD385" s="3198"/>
      <c r="AE385" s="3198"/>
      <c r="AF385" s="3198"/>
      <c r="AG385" s="3198"/>
      <c r="AH385" s="3198"/>
      <c r="AI385" s="3198"/>
      <c r="AJ385" s="3198"/>
      <c r="AK385" s="3198"/>
      <c r="AL385" s="3198"/>
      <c r="AM385" s="3198"/>
      <c r="AN385" s="3198"/>
      <c r="AO385" s="3198"/>
      <c r="AP385" s="3198"/>
      <c r="AQ385" s="3198"/>
      <c r="AR385" s="3198"/>
      <c r="AS385" s="3198"/>
      <c r="AT385" s="3218"/>
      <c r="AU385" s="3219"/>
      <c r="AV385" s="488">
        <f t="shared" si="262"/>
        <v>0</v>
      </c>
      <c r="AW385" s="488">
        <f t="shared" si="263"/>
        <v>0</v>
      </c>
      <c r="AX385" s="488">
        <f t="shared" si="264"/>
        <v>0</v>
      </c>
      <c r="AY385" s="3235">
        <f t="shared" si="239"/>
        <v>0</v>
      </c>
      <c r="AZ385" s="3166">
        <f t="shared" si="240"/>
        <v>0</v>
      </c>
      <c r="BA385" s="3166">
        <f t="shared" si="241"/>
        <v>0</v>
      </c>
      <c r="BB385" s="3166">
        <f t="shared" si="242"/>
        <v>0</v>
      </c>
      <c r="BC385" s="3166">
        <f t="shared" si="243"/>
        <v>0</v>
      </c>
      <c r="BD385" s="3166">
        <f t="shared" si="244"/>
        <v>0</v>
      </c>
      <c r="BE385" s="3166">
        <f t="shared" si="245"/>
        <v>0</v>
      </c>
      <c r="BF385" s="3166">
        <f t="shared" si="246"/>
        <v>0</v>
      </c>
      <c r="BG385" s="3166">
        <f t="shared" si="247"/>
        <v>0</v>
      </c>
      <c r="BH385" s="3166">
        <f t="shared" si="248"/>
        <v>0</v>
      </c>
      <c r="BI385" s="3166">
        <f t="shared" si="249"/>
        <v>0</v>
      </c>
      <c r="BJ385" s="3166">
        <f t="shared" si="250"/>
        <v>0</v>
      </c>
      <c r="BK385" s="3166">
        <f t="shared" si="251"/>
        <v>0</v>
      </c>
      <c r="BL385" s="3166">
        <f t="shared" si="252"/>
        <v>0</v>
      </c>
      <c r="BM385" s="3166">
        <f t="shared" si="253"/>
        <v>0</v>
      </c>
      <c r="BN385" s="3166">
        <f t="shared" si="254"/>
        <v>0</v>
      </c>
      <c r="BO385" s="3166">
        <f t="shared" si="255"/>
        <v>0</v>
      </c>
      <c r="BP385" s="3166">
        <f t="shared" si="256"/>
        <v>0</v>
      </c>
      <c r="BQ385" s="3166">
        <f t="shared" si="257"/>
        <v>0</v>
      </c>
      <c r="BR385" s="3166">
        <f t="shared" si="258"/>
        <v>0</v>
      </c>
      <c r="BS385" s="3166">
        <f t="shared" si="259"/>
        <v>0</v>
      </c>
      <c r="BT385" s="3240">
        <f t="shared" si="260"/>
        <v>0</v>
      </c>
    </row>
    <row r="386" spans="1:72">
      <c r="A386" s="3163"/>
      <c r="B386" s="3163"/>
      <c r="C386" s="3163"/>
      <c r="D386" s="3176"/>
      <c r="E386" s="3166">
        <f t="shared" si="261"/>
        <v>0</v>
      </c>
      <c r="F386" s="3241"/>
      <c r="G386" s="3168">
        <f t="shared" si="236"/>
        <v>0</v>
      </c>
      <c r="H386" s="3169">
        <f t="shared" si="237"/>
        <v>0</v>
      </c>
      <c r="I386" s="3242"/>
      <c r="J386" s="3242"/>
      <c r="K386" s="3187"/>
      <c r="L386" s="3187"/>
      <c r="M386" s="3187"/>
      <c r="N386" s="3187"/>
      <c r="O386" s="3187"/>
      <c r="P386" s="3187"/>
      <c r="Q386" s="3187"/>
      <c r="R386" s="3187"/>
      <c r="S386" s="3187"/>
      <c r="T386" s="3187"/>
      <c r="U386" s="3187"/>
      <c r="V386" s="3187"/>
      <c r="W386" s="3187"/>
      <c r="X386" s="3187"/>
      <c r="Y386" s="3187"/>
      <c r="Z386" s="3187"/>
      <c r="AA386" s="3187"/>
      <c r="AB386" s="3187"/>
      <c r="AC386" s="3166">
        <f t="shared" si="238"/>
        <v>0</v>
      </c>
      <c r="AD386" s="3198"/>
      <c r="AE386" s="3198"/>
      <c r="AF386" s="3198"/>
      <c r="AG386" s="3198"/>
      <c r="AH386" s="3198"/>
      <c r="AI386" s="3198"/>
      <c r="AJ386" s="3198"/>
      <c r="AK386" s="3198"/>
      <c r="AL386" s="3198"/>
      <c r="AM386" s="3198"/>
      <c r="AN386" s="3198"/>
      <c r="AO386" s="3198"/>
      <c r="AP386" s="3198"/>
      <c r="AQ386" s="3198"/>
      <c r="AR386" s="3198"/>
      <c r="AS386" s="3198"/>
      <c r="AT386" s="3198"/>
      <c r="AU386" s="3243"/>
      <c r="AV386" s="488">
        <f t="shared" si="262"/>
        <v>0</v>
      </c>
      <c r="AW386" s="488">
        <f t="shared" si="263"/>
        <v>0</v>
      </c>
      <c r="AX386" s="488">
        <f t="shared" si="264"/>
        <v>0</v>
      </c>
      <c r="AY386" s="3235">
        <f t="shared" si="239"/>
        <v>0</v>
      </c>
      <c r="AZ386" s="3166">
        <f t="shared" si="240"/>
        <v>0</v>
      </c>
      <c r="BA386" s="3166">
        <f t="shared" si="241"/>
        <v>0</v>
      </c>
      <c r="BB386" s="3166">
        <f t="shared" si="242"/>
        <v>0</v>
      </c>
      <c r="BC386" s="3166">
        <f t="shared" si="243"/>
        <v>0</v>
      </c>
      <c r="BD386" s="3166">
        <f t="shared" si="244"/>
        <v>0</v>
      </c>
      <c r="BE386" s="3166">
        <f t="shared" si="245"/>
        <v>0</v>
      </c>
      <c r="BF386" s="3166">
        <f t="shared" si="246"/>
        <v>0</v>
      </c>
      <c r="BG386" s="3166">
        <f t="shared" si="247"/>
        <v>0</v>
      </c>
      <c r="BH386" s="3166">
        <f t="shared" si="248"/>
        <v>0</v>
      </c>
      <c r="BI386" s="3166">
        <f t="shared" si="249"/>
        <v>0</v>
      </c>
      <c r="BJ386" s="3166">
        <f t="shared" si="250"/>
        <v>0</v>
      </c>
      <c r="BK386" s="3166">
        <f t="shared" si="251"/>
        <v>0</v>
      </c>
      <c r="BL386" s="3166">
        <f t="shared" si="252"/>
        <v>0</v>
      </c>
      <c r="BM386" s="3166">
        <f t="shared" si="253"/>
        <v>0</v>
      </c>
      <c r="BN386" s="3166">
        <f t="shared" si="254"/>
        <v>0</v>
      </c>
      <c r="BO386" s="3166">
        <f t="shared" si="255"/>
        <v>0</v>
      </c>
      <c r="BP386" s="3166">
        <f t="shared" si="256"/>
        <v>0</v>
      </c>
      <c r="BQ386" s="3166">
        <f t="shared" si="257"/>
        <v>0</v>
      </c>
      <c r="BR386" s="3166">
        <f t="shared" si="258"/>
        <v>0</v>
      </c>
      <c r="BS386" s="3166">
        <f t="shared" si="259"/>
        <v>0</v>
      </c>
      <c r="BT386" s="3240">
        <f t="shared" si="260"/>
        <v>0</v>
      </c>
    </row>
    <row r="387" spans="1:72">
      <c r="A387" s="3163"/>
      <c r="B387" s="3163"/>
      <c r="C387" s="3163"/>
      <c r="D387" s="3176"/>
      <c r="E387" s="3166">
        <f t="shared" si="261"/>
        <v>0</v>
      </c>
      <c r="F387" s="3241"/>
      <c r="G387" s="3168">
        <f t="shared" si="236"/>
        <v>0</v>
      </c>
      <c r="H387" s="3169">
        <f t="shared" si="237"/>
        <v>0</v>
      </c>
      <c r="I387" s="3187"/>
      <c r="J387" s="3187"/>
      <c r="K387" s="3187"/>
      <c r="L387" s="3187"/>
      <c r="M387" s="3187"/>
      <c r="N387" s="3187"/>
      <c r="O387" s="3187"/>
      <c r="P387" s="3187"/>
      <c r="Q387" s="3187"/>
      <c r="R387" s="3187"/>
      <c r="S387" s="3187"/>
      <c r="T387" s="3187"/>
      <c r="U387" s="3187"/>
      <c r="V387" s="3187"/>
      <c r="W387" s="3187"/>
      <c r="X387" s="3187"/>
      <c r="Y387" s="3187"/>
      <c r="Z387" s="3187"/>
      <c r="AA387" s="3187"/>
      <c r="AB387" s="3187"/>
      <c r="AC387" s="3166">
        <f t="shared" si="238"/>
        <v>0</v>
      </c>
      <c r="AD387" s="3198"/>
      <c r="AE387" s="3198"/>
      <c r="AF387" s="3198"/>
      <c r="AG387" s="3198"/>
      <c r="AH387" s="3198"/>
      <c r="AI387" s="3198"/>
      <c r="AJ387" s="3198"/>
      <c r="AK387" s="3198"/>
      <c r="AL387" s="3198"/>
      <c r="AM387" s="3198"/>
      <c r="AN387" s="3198"/>
      <c r="AO387" s="3198"/>
      <c r="AP387" s="3198"/>
      <c r="AQ387" s="3198"/>
      <c r="AR387" s="3198"/>
      <c r="AS387" s="3198"/>
      <c r="AT387" s="3198"/>
      <c r="AU387" s="3243"/>
      <c r="AV387" s="488">
        <f t="shared" si="262"/>
        <v>0</v>
      </c>
      <c r="AW387" s="488">
        <f t="shared" si="263"/>
        <v>0</v>
      </c>
      <c r="AX387" s="488">
        <f t="shared" si="264"/>
        <v>0</v>
      </c>
      <c r="AY387" s="3235">
        <f t="shared" si="239"/>
        <v>0</v>
      </c>
      <c r="AZ387" s="3166">
        <f t="shared" si="240"/>
        <v>0</v>
      </c>
      <c r="BA387" s="3166">
        <f t="shared" si="241"/>
        <v>0</v>
      </c>
      <c r="BB387" s="3166">
        <f t="shared" si="242"/>
        <v>0</v>
      </c>
      <c r="BC387" s="3166">
        <f t="shared" si="243"/>
        <v>0</v>
      </c>
      <c r="BD387" s="3166">
        <f t="shared" si="244"/>
        <v>0</v>
      </c>
      <c r="BE387" s="3166">
        <f t="shared" si="245"/>
        <v>0</v>
      </c>
      <c r="BF387" s="3166">
        <f t="shared" si="246"/>
        <v>0</v>
      </c>
      <c r="BG387" s="3166">
        <f t="shared" si="247"/>
        <v>0</v>
      </c>
      <c r="BH387" s="3166">
        <f t="shared" si="248"/>
        <v>0</v>
      </c>
      <c r="BI387" s="3166">
        <f t="shared" si="249"/>
        <v>0</v>
      </c>
      <c r="BJ387" s="3166">
        <f t="shared" si="250"/>
        <v>0</v>
      </c>
      <c r="BK387" s="3166">
        <f t="shared" si="251"/>
        <v>0</v>
      </c>
      <c r="BL387" s="3166">
        <f t="shared" si="252"/>
        <v>0</v>
      </c>
      <c r="BM387" s="3166">
        <f t="shared" si="253"/>
        <v>0</v>
      </c>
      <c r="BN387" s="3166">
        <f t="shared" si="254"/>
        <v>0</v>
      </c>
      <c r="BO387" s="3166">
        <f t="shared" si="255"/>
        <v>0</v>
      </c>
      <c r="BP387" s="3166">
        <f t="shared" si="256"/>
        <v>0</v>
      </c>
      <c r="BQ387" s="3166">
        <f t="shared" si="257"/>
        <v>0</v>
      </c>
      <c r="BR387" s="3166">
        <f t="shared" si="258"/>
        <v>0</v>
      </c>
      <c r="BS387" s="3166">
        <f t="shared" si="259"/>
        <v>0</v>
      </c>
      <c r="BT387" s="3240">
        <f t="shared" si="260"/>
        <v>0</v>
      </c>
    </row>
    <row r="388" spans="1:72">
      <c r="A388" s="3163"/>
      <c r="B388" s="3163"/>
      <c r="C388" s="3163"/>
      <c r="D388" s="3176"/>
      <c r="E388" s="3166">
        <f t="shared" si="261"/>
        <v>0</v>
      </c>
      <c r="F388" s="3241"/>
      <c r="G388" s="3168">
        <f t="shared" si="236"/>
        <v>0</v>
      </c>
      <c r="H388" s="3169">
        <f t="shared" si="237"/>
        <v>0</v>
      </c>
      <c r="I388" s="3187"/>
      <c r="J388" s="3187"/>
      <c r="K388" s="3187"/>
      <c r="L388" s="3187"/>
      <c r="M388" s="3187"/>
      <c r="N388" s="3187"/>
      <c r="O388" s="3187"/>
      <c r="P388" s="3187"/>
      <c r="Q388" s="3187"/>
      <c r="R388" s="3187"/>
      <c r="S388" s="3187"/>
      <c r="T388" s="3187"/>
      <c r="U388" s="3187"/>
      <c r="V388" s="3187"/>
      <c r="W388" s="3187"/>
      <c r="X388" s="3187"/>
      <c r="Y388" s="3187"/>
      <c r="Z388" s="3187"/>
      <c r="AA388" s="3187"/>
      <c r="AB388" s="3187"/>
      <c r="AC388" s="3166">
        <f t="shared" si="238"/>
        <v>0</v>
      </c>
      <c r="AD388" s="3198"/>
      <c r="AE388" s="3198"/>
      <c r="AF388" s="3198"/>
      <c r="AG388" s="3198"/>
      <c r="AH388" s="3198"/>
      <c r="AI388" s="3198"/>
      <c r="AJ388" s="3198"/>
      <c r="AK388" s="3198"/>
      <c r="AL388" s="3198"/>
      <c r="AM388" s="3198"/>
      <c r="AN388" s="3198"/>
      <c r="AO388" s="3198"/>
      <c r="AP388" s="3198"/>
      <c r="AQ388" s="3198"/>
      <c r="AR388" s="3198"/>
      <c r="AS388" s="3198"/>
      <c r="AT388" s="3198"/>
      <c r="AU388" s="3243"/>
      <c r="AV388" s="488">
        <f t="shared" si="262"/>
        <v>0</v>
      </c>
      <c r="AW388" s="488">
        <f t="shared" si="263"/>
        <v>0</v>
      </c>
      <c r="AX388" s="488">
        <f t="shared" si="264"/>
        <v>0</v>
      </c>
      <c r="AY388" s="3235">
        <f t="shared" si="239"/>
        <v>0</v>
      </c>
      <c r="AZ388" s="3166">
        <f t="shared" si="240"/>
        <v>0</v>
      </c>
      <c r="BA388" s="3166">
        <f t="shared" si="241"/>
        <v>0</v>
      </c>
      <c r="BB388" s="3166">
        <f t="shared" si="242"/>
        <v>0</v>
      </c>
      <c r="BC388" s="3166">
        <f t="shared" si="243"/>
        <v>0</v>
      </c>
      <c r="BD388" s="3166">
        <f t="shared" si="244"/>
        <v>0</v>
      </c>
      <c r="BE388" s="3166">
        <f t="shared" si="245"/>
        <v>0</v>
      </c>
      <c r="BF388" s="3166">
        <f t="shared" si="246"/>
        <v>0</v>
      </c>
      <c r="BG388" s="3166">
        <f t="shared" si="247"/>
        <v>0</v>
      </c>
      <c r="BH388" s="3166">
        <f t="shared" si="248"/>
        <v>0</v>
      </c>
      <c r="BI388" s="3166">
        <f t="shared" si="249"/>
        <v>0</v>
      </c>
      <c r="BJ388" s="3166">
        <f t="shared" si="250"/>
        <v>0</v>
      </c>
      <c r="BK388" s="3166">
        <f t="shared" si="251"/>
        <v>0</v>
      </c>
      <c r="BL388" s="3166">
        <f t="shared" si="252"/>
        <v>0</v>
      </c>
      <c r="BM388" s="3166">
        <f t="shared" si="253"/>
        <v>0</v>
      </c>
      <c r="BN388" s="3166">
        <f t="shared" si="254"/>
        <v>0</v>
      </c>
      <c r="BO388" s="3166">
        <f t="shared" si="255"/>
        <v>0</v>
      </c>
      <c r="BP388" s="3166">
        <f t="shared" si="256"/>
        <v>0</v>
      </c>
      <c r="BQ388" s="3166">
        <f t="shared" si="257"/>
        <v>0</v>
      </c>
      <c r="BR388" s="3166">
        <f t="shared" si="258"/>
        <v>0</v>
      </c>
      <c r="BS388" s="3166">
        <f t="shared" si="259"/>
        <v>0</v>
      </c>
      <c r="BT388" s="3240">
        <f t="shared" si="260"/>
        <v>0</v>
      </c>
    </row>
    <row r="389" spans="1:72">
      <c r="A389" s="3163"/>
      <c r="B389" s="3173"/>
      <c r="C389" s="3171"/>
      <c r="D389" s="3172"/>
      <c r="E389" s="3166">
        <f t="shared" ref="E389:E480" si="265">IF($C$3="是",ROUND($A$3*G389/$B$3,2),ROUND($A$3*(G389-AT389)/$B$3,2))</f>
        <v>0</v>
      </c>
      <c r="F389" s="3167"/>
      <c r="G389" s="3168">
        <f t="shared" ref="G389:G477" si="266">H389+AC389+AT389</f>
        <v>0</v>
      </c>
      <c r="H389" s="3169">
        <f t="shared" ref="H389:H477" si="267">SUMIF(I$12:AB$12,"总值",I389:AB389)</f>
        <v>0</v>
      </c>
      <c r="I389" s="3175"/>
      <c r="J389" s="3187"/>
      <c r="K389" s="3175"/>
      <c r="L389" s="3187"/>
      <c r="M389" s="3187"/>
      <c r="N389" s="3187"/>
      <c r="O389" s="3187"/>
      <c r="P389" s="3187"/>
      <c r="Q389" s="3187"/>
      <c r="R389" s="3187"/>
      <c r="S389" s="3187"/>
      <c r="T389" s="3187"/>
      <c r="U389" s="3187"/>
      <c r="V389" s="3187"/>
      <c r="W389" s="3187"/>
      <c r="X389" s="3187"/>
      <c r="Y389" s="3187"/>
      <c r="Z389" s="3187"/>
      <c r="AA389" s="3187"/>
      <c r="AB389" s="3187"/>
      <c r="AC389" s="3166">
        <f t="shared" ref="AC389:AC477" si="268">SUMIF(AD$12:AS$12,"总值",AD389:AS389)</f>
        <v>0</v>
      </c>
      <c r="AD389" s="3198"/>
      <c r="AE389" s="3198"/>
      <c r="AF389" s="3199"/>
      <c r="AG389" s="3198"/>
      <c r="AH389" s="3198"/>
      <c r="AI389" s="3198"/>
      <c r="AJ389" s="3198"/>
      <c r="AK389" s="3198"/>
      <c r="AL389" s="3198"/>
      <c r="AM389" s="3198"/>
      <c r="AN389" s="3188"/>
      <c r="AO389" s="3198"/>
      <c r="AP389" s="3198"/>
      <c r="AQ389" s="3198"/>
      <c r="AR389" s="3198"/>
      <c r="AS389" s="3198"/>
      <c r="AT389" s="3218"/>
      <c r="AU389" s="3219"/>
      <c r="AV389" s="488">
        <f t="shared" ref="AV389:AV480" si="269">A389</f>
        <v>0</v>
      </c>
      <c r="AW389" s="488">
        <f t="shared" ref="AW389:AW480" si="270">B389</f>
        <v>0</v>
      </c>
      <c r="AX389" s="488">
        <f t="shared" ref="AX389:AX480" si="271">C389</f>
        <v>0</v>
      </c>
      <c r="AY389" s="3235">
        <f t="shared" ref="AY389:AY477" si="272">ROUND($AY$6*AZ389/$AZ$5,2)</f>
        <v>0</v>
      </c>
      <c r="AZ389" s="3166">
        <f t="shared" ref="AZ389:AZ477" si="273">BA389+BL389</f>
        <v>0</v>
      </c>
      <c r="BA389" s="3166">
        <f t="shared" ref="BA389:BA477" si="274">SUM(BB389:BK389)</f>
        <v>0</v>
      </c>
      <c r="BB389" s="3166">
        <f t="shared" ref="BB389:BB477" si="275">IF($D389="是",I389-J389,0)</f>
        <v>0</v>
      </c>
      <c r="BC389" s="3166">
        <f t="shared" ref="BC389:BC477" si="276">IF($D389="是",K389-L389,0)</f>
        <v>0</v>
      </c>
      <c r="BD389" s="3166">
        <f t="shared" ref="BD389:BD477" si="277">IF($D389="是",M389-N389,0)</f>
        <v>0</v>
      </c>
      <c r="BE389" s="3166">
        <f t="shared" ref="BE389:BE477" si="278">IF($D389="是",O389-P389,0)</f>
        <v>0</v>
      </c>
      <c r="BF389" s="3166">
        <f t="shared" ref="BF389:BF477" si="279">IF($D389="是",Q389-R389,0)</f>
        <v>0</v>
      </c>
      <c r="BG389" s="3166">
        <f t="shared" ref="BG389:BG477" si="280">IF($D389="是",S389-T389,0)</f>
        <v>0</v>
      </c>
      <c r="BH389" s="3166">
        <f t="shared" ref="BH389:BH477" si="281">IF($D389="是",U389-V389,0)</f>
        <v>0</v>
      </c>
      <c r="BI389" s="3166">
        <f t="shared" ref="BI389:BI477" si="282">IF($D389="是",W389-X389,0)</f>
        <v>0</v>
      </c>
      <c r="BJ389" s="3166">
        <f t="shared" ref="BJ389:BJ477" si="283">IF($D389="是",Y389-Z389,0)</f>
        <v>0</v>
      </c>
      <c r="BK389" s="3166">
        <f t="shared" ref="BK389:BK477" si="284">IF($D389="是",AA389-AB389,0)</f>
        <v>0</v>
      </c>
      <c r="BL389" s="3166">
        <f t="shared" ref="BL389:BL477" si="285">SUM(BM389:BT389)</f>
        <v>0</v>
      </c>
      <c r="BM389" s="3166">
        <f t="shared" ref="BM389:BM477" si="286">IF($D389="是",AD389-AE389,0)</f>
        <v>0</v>
      </c>
      <c r="BN389" s="3166">
        <f t="shared" ref="BN389:BN477" si="287">IF($D389="是",AF389-AG389,0)</f>
        <v>0</v>
      </c>
      <c r="BO389" s="3166">
        <f t="shared" ref="BO389:BO477" si="288">IF($D389="是",AH389-AI389,0)</f>
        <v>0</v>
      </c>
      <c r="BP389" s="3166">
        <f t="shared" ref="BP389:BP477" si="289">IF($D389="是",AJ389-AK389,0)</f>
        <v>0</v>
      </c>
      <c r="BQ389" s="3166">
        <f t="shared" ref="BQ389:BQ477" si="290">IF($D389="是",AL389-AM389,0)</f>
        <v>0</v>
      </c>
      <c r="BR389" s="3166">
        <f t="shared" ref="BR389:BR477" si="291">IF($D389="是",AN389-AO389,0)</f>
        <v>0</v>
      </c>
      <c r="BS389" s="3166">
        <f t="shared" ref="BS389:BS477" si="292">IF($D389="是",AP389-AQ389,0)</f>
        <v>0</v>
      </c>
      <c r="BT389" s="3240">
        <f t="shared" ref="BT389:BT477" si="293">IF($D389="是",AR389-AS389,0)</f>
        <v>0</v>
      </c>
    </row>
    <row r="390" spans="1:72">
      <c r="A390" s="3163"/>
      <c r="B390" s="3173"/>
      <c r="C390" s="3171"/>
      <c r="D390" s="3172"/>
      <c r="E390" s="3166">
        <f t="shared" si="265"/>
        <v>0</v>
      </c>
      <c r="F390" s="3167"/>
      <c r="G390" s="3168">
        <f t="shared" si="266"/>
        <v>0</v>
      </c>
      <c r="H390" s="3169">
        <f t="shared" si="267"/>
        <v>0</v>
      </c>
      <c r="I390" s="3175"/>
      <c r="J390" s="3187"/>
      <c r="K390" s="3175"/>
      <c r="L390" s="3187"/>
      <c r="M390" s="3188"/>
      <c r="N390" s="3187"/>
      <c r="O390" s="3187"/>
      <c r="P390" s="3187"/>
      <c r="Q390" s="3187"/>
      <c r="R390" s="3187"/>
      <c r="S390" s="3187"/>
      <c r="T390" s="3187"/>
      <c r="U390" s="3187"/>
      <c r="V390" s="3187"/>
      <c r="W390" s="3187"/>
      <c r="X390" s="3187"/>
      <c r="Y390" s="3187"/>
      <c r="Z390" s="3187"/>
      <c r="AA390" s="3187"/>
      <c r="AB390" s="3187"/>
      <c r="AC390" s="3166">
        <f t="shared" si="268"/>
        <v>0</v>
      </c>
      <c r="AD390" s="3188"/>
      <c r="AE390" s="3198"/>
      <c r="AF390" s="3199"/>
      <c r="AG390" s="3198"/>
      <c r="AH390" s="3198"/>
      <c r="AI390" s="3198"/>
      <c r="AJ390" s="3198"/>
      <c r="AK390" s="3198"/>
      <c r="AL390" s="3188"/>
      <c r="AM390" s="3198"/>
      <c r="AN390" s="3188"/>
      <c r="AO390" s="3198"/>
      <c r="AP390" s="3198"/>
      <c r="AQ390" s="3198"/>
      <c r="AR390" s="3198"/>
      <c r="AS390" s="3198"/>
      <c r="AT390" s="3218"/>
      <c r="AU390" s="3219"/>
      <c r="AV390" s="488">
        <f t="shared" si="269"/>
        <v>0</v>
      </c>
      <c r="AW390" s="488">
        <f t="shared" si="270"/>
        <v>0</v>
      </c>
      <c r="AX390" s="488">
        <f t="shared" si="271"/>
        <v>0</v>
      </c>
      <c r="AY390" s="3235">
        <f t="shared" si="272"/>
        <v>0</v>
      </c>
      <c r="AZ390" s="3166">
        <f t="shared" si="273"/>
        <v>0</v>
      </c>
      <c r="BA390" s="3166">
        <f t="shared" si="274"/>
        <v>0</v>
      </c>
      <c r="BB390" s="3166">
        <f t="shared" si="275"/>
        <v>0</v>
      </c>
      <c r="BC390" s="3166">
        <f t="shared" si="276"/>
        <v>0</v>
      </c>
      <c r="BD390" s="3166">
        <f t="shared" si="277"/>
        <v>0</v>
      </c>
      <c r="BE390" s="3166">
        <f t="shared" si="278"/>
        <v>0</v>
      </c>
      <c r="BF390" s="3166">
        <f t="shared" si="279"/>
        <v>0</v>
      </c>
      <c r="BG390" s="3166">
        <f t="shared" si="280"/>
        <v>0</v>
      </c>
      <c r="BH390" s="3166">
        <f t="shared" si="281"/>
        <v>0</v>
      </c>
      <c r="BI390" s="3166">
        <f t="shared" si="282"/>
        <v>0</v>
      </c>
      <c r="BJ390" s="3166">
        <f t="shared" si="283"/>
        <v>0</v>
      </c>
      <c r="BK390" s="3166">
        <f t="shared" si="284"/>
        <v>0</v>
      </c>
      <c r="BL390" s="3166">
        <f t="shared" si="285"/>
        <v>0</v>
      </c>
      <c r="BM390" s="3166">
        <f t="shared" si="286"/>
        <v>0</v>
      </c>
      <c r="BN390" s="3166">
        <f t="shared" si="287"/>
        <v>0</v>
      </c>
      <c r="BO390" s="3166">
        <f t="shared" si="288"/>
        <v>0</v>
      </c>
      <c r="BP390" s="3166">
        <f t="shared" si="289"/>
        <v>0</v>
      </c>
      <c r="BQ390" s="3166">
        <f t="shared" si="290"/>
        <v>0</v>
      </c>
      <c r="BR390" s="3166">
        <f t="shared" si="291"/>
        <v>0</v>
      </c>
      <c r="BS390" s="3166">
        <f t="shared" si="292"/>
        <v>0</v>
      </c>
      <c r="BT390" s="3240">
        <f t="shared" si="293"/>
        <v>0</v>
      </c>
    </row>
    <row r="391" spans="1:72">
      <c r="A391" s="3163"/>
      <c r="B391" s="3173"/>
      <c r="C391" s="3171"/>
      <c r="D391" s="3172"/>
      <c r="E391" s="3166">
        <f t="shared" si="265"/>
        <v>0</v>
      </c>
      <c r="F391" s="3167"/>
      <c r="G391" s="3168">
        <f t="shared" si="266"/>
        <v>0</v>
      </c>
      <c r="H391" s="3169">
        <f t="shared" si="267"/>
        <v>0</v>
      </c>
      <c r="I391" s="3175"/>
      <c r="J391" s="3187"/>
      <c r="K391" s="3175"/>
      <c r="L391" s="3187"/>
      <c r="M391" s="3188"/>
      <c r="N391" s="3187"/>
      <c r="O391" s="3187"/>
      <c r="P391" s="3187"/>
      <c r="Q391" s="3187"/>
      <c r="R391" s="3187"/>
      <c r="S391" s="3187"/>
      <c r="T391" s="3187"/>
      <c r="U391" s="3187"/>
      <c r="V391" s="3187"/>
      <c r="W391" s="3187"/>
      <c r="X391" s="3187"/>
      <c r="Y391" s="3187"/>
      <c r="Z391" s="3187"/>
      <c r="AA391" s="3187"/>
      <c r="AB391" s="3187"/>
      <c r="AC391" s="3166">
        <f t="shared" si="268"/>
        <v>0</v>
      </c>
      <c r="AD391" s="3198"/>
      <c r="AE391" s="3198"/>
      <c r="AF391" s="3199"/>
      <c r="AG391" s="3198"/>
      <c r="AH391" s="3198"/>
      <c r="AI391" s="3198"/>
      <c r="AJ391" s="3198"/>
      <c r="AK391" s="3198"/>
      <c r="AL391" s="3188"/>
      <c r="AM391" s="3198"/>
      <c r="AN391" s="3188"/>
      <c r="AO391" s="3198"/>
      <c r="AP391" s="3198"/>
      <c r="AQ391" s="3198"/>
      <c r="AR391" s="3198"/>
      <c r="AS391" s="3198"/>
      <c r="AT391" s="3218"/>
      <c r="AU391" s="3219"/>
      <c r="AV391" s="488">
        <f t="shared" si="269"/>
        <v>0</v>
      </c>
      <c r="AW391" s="488">
        <f t="shared" si="270"/>
        <v>0</v>
      </c>
      <c r="AX391" s="488">
        <f t="shared" si="271"/>
        <v>0</v>
      </c>
      <c r="AY391" s="3235">
        <f t="shared" si="272"/>
        <v>0</v>
      </c>
      <c r="AZ391" s="3166">
        <f t="shared" si="273"/>
        <v>0</v>
      </c>
      <c r="BA391" s="3166">
        <f t="shared" si="274"/>
        <v>0</v>
      </c>
      <c r="BB391" s="3166">
        <f t="shared" si="275"/>
        <v>0</v>
      </c>
      <c r="BC391" s="3166">
        <f t="shared" si="276"/>
        <v>0</v>
      </c>
      <c r="BD391" s="3166">
        <f t="shared" si="277"/>
        <v>0</v>
      </c>
      <c r="BE391" s="3166">
        <f t="shared" si="278"/>
        <v>0</v>
      </c>
      <c r="BF391" s="3166">
        <f t="shared" si="279"/>
        <v>0</v>
      </c>
      <c r="BG391" s="3166">
        <f t="shared" si="280"/>
        <v>0</v>
      </c>
      <c r="BH391" s="3166">
        <f t="shared" si="281"/>
        <v>0</v>
      </c>
      <c r="BI391" s="3166">
        <f t="shared" si="282"/>
        <v>0</v>
      </c>
      <c r="BJ391" s="3166">
        <f t="shared" si="283"/>
        <v>0</v>
      </c>
      <c r="BK391" s="3166">
        <f t="shared" si="284"/>
        <v>0</v>
      </c>
      <c r="BL391" s="3166">
        <f t="shared" si="285"/>
        <v>0</v>
      </c>
      <c r="BM391" s="3166">
        <f t="shared" si="286"/>
        <v>0</v>
      </c>
      <c r="BN391" s="3166">
        <f t="shared" si="287"/>
        <v>0</v>
      </c>
      <c r="BO391" s="3166">
        <f t="shared" si="288"/>
        <v>0</v>
      </c>
      <c r="BP391" s="3166">
        <f t="shared" si="289"/>
        <v>0</v>
      </c>
      <c r="BQ391" s="3166">
        <f t="shared" si="290"/>
        <v>0</v>
      </c>
      <c r="BR391" s="3166">
        <f t="shared" si="291"/>
        <v>0</v>
      </c>
      <c r="BS391" s="3166">
        <f t="shared" si="292"/>
        <v>0</v>
      </c>
      <c r="BT391" s="3240">
        <f t="shared" si="293"/>
        <v>0</v>
      </c>
    </row>
    <row r="392" spans="1:72">
      <c r="A392" s="3163"/>
      <c r="B392" s="3173"/>
      <c r="C392" s="3171"/>
      <c r="D392" s="3172"/>
      <c r="E392" s="3166">
        <f t="shared" si="265"/>
        <v>0</v>
      </c>
      <c r="F392" s="3167"/>
      <c r="G392" s="3168">
        <f t="shared" si="266"/>
        <v>0</v>
      </c>
      <c r="H392" s="3169">
        <f t="shared" si="267"/>
        <v>0</v>
      </c>
      <c r="I392" s="3175"/>
      <c r="J392" s="3187"/>
      <c r="K392" s="3175"/>
      <c r="L392" s="3187"/>
      <c r="M392" s="3187"/>
      <c r="N392" s="3187"/>
      <c r="O392" s="3188"/>
      <c r="P392" s="3187"/>
      <c r="Q392" s="3187"/>
      <c r="R392" s="3187"/>
      <c r="S392" s="3187"/>
      <c r="T392" s="3187"/>
      <c r="U392" s="3187"/>
      <c r="V392" s="3187"/>
      <c r="W392" s="3187"/>
      <c r="X392" s="3187"/>
      <c r="Y392" s="3187"/>
      <c r="Z392" s="3187"/>
      <c r="AA392" s="3187"/>
      <c r="AB392" s="3187"/>
      <c r="AC392" s="3166">
        <f t="shared" si="268"/>
        <v>0</v>
      </c>
      <c r="AD392" s="3198"/>
      <c r="AE392" s="3198"/>
      <c r="AF392" s="3199"/>
      <c r="AG392" s="3198"/>
      <c r="AH392" s="3198"/>
      <c r="AI392" s="3198"/>
      <c r="AJ392" s="3198"/>
      <c r="AK392" s="3198"/>
      <c r="AL392" s="3198"/>
      <c r="AM392" s="3198"/>
      <c r="AN392" s="3188"/>
      <c r="AO392" s="3198"/>
      <c r="AP392" s="3198"/>
      <c r="AQ392" s="3198"/>
      <c r="AR392" s="3198"/>
      <c r="AS392" s="3198"/>
      <c r="AT392" s="3218"/>
      <c r="AU392" s="3219"/>
      <c r="AV392" s="488">
        <f t="shared" si="269"/>
        <v>0</v>
      </c>
      <c r="AW392" s="488">
        <f t="shared" si="270"/>
        <v>0</v>
      </c>
      <c r="AX392" s="488">
        <f t="shared" si="271"/>
        <v>0</v>
      </c>
      <c r="AY392" s="3235">
        <f t="shared" si="272"/>
        <v>0</v>
      </c>
      <c r="AZ392" s="3166">
        <f t="shared" si="273"/>
        <v>0</v>
      </c>
      <c r="BA392" s="3166">
        <f t="shared" si="274"/>
        <v>0</v>
      </c>
      <c r="BB392" s="3166">
        <f t="shared" si="275"/>
        <v>0</v>
      </c>
      <c r="BC392" s="3166">
        <f t="shared" si="276"/>
        <v>0</v>
      </c>
      <c r="BD392" s="3166">
        <f t="shared" si="277"/>
        <v>0</v>
      </c>
      <c r="BE392" s="3166">
        <f t="shared" si="278"/>
        <v>0</v>
      </c>
      <c r="BF392" s="3166">
        <f t="shared" si="279"/>
        <v>0</v>
      </c>
      <c r="BG392" s="3166">
        <f t="shared" si="280"/>
        <v>0</v>
      </c>
      <c r="BH392" s="3166">
        <f t="shared" si="281"/>
        <v>0</v>
      </c>
      <c r="BI392" s="3166">
        <f t="shared" si="282"/>
        <v>0</v>
      </c>
      <c r="BJ392" s="3166">
        <f t="shared" si="283"/>
        <v>0</v>
      </c>
      <c r="BK392" s="3166">
        <f t="shared" si="284"/>
        <v>0</v>
      </c>
      <c r="BL392" s="3166">
        <f t="shared" si="285"/>
        <v>0</v>
      </c>
      <c r="BM392" s="3166">
        <f t="shared" si="286"/>
        <v>0</v>
      </c>
      <c r="BN392" s="3166">
        <f t="shared" si="287"/>
        <v>0</v>
      </c>
      <c r="BO392" s="3166">
        <f t="shared" si="288"/>
        <v>0</v>
      </c>
      <c r="BP392" s="3166">
        <f t="shared" si="289"/>
        <v>0</v>
      </c>
      <c r="BQ392" s="3166">
        <f t="shared" si="290"/>
        <v>0</v>
      </c>
      <c r="BR392" s="3166">
        <f t="shared" si="291"/>
        <v>0</v>
      </c>
      <c r="BS392" s="3166">
        <f t="shared" si="292"/>
        <v>0</v>
      </c>
      <c r="BT392" s="3240">
        <f t="shared" si="293"/>
        <v>0</v>
      </c>
    </row>
    <row r="393" spans="1:72">
      <c r="A393" s="3163"/>
      <c r="B393" s="3173"/>
      <c r="C393" s="3171"/>
      <c r="D393" s="3172"/>
      <c r="E393" s="3166">
        <f t="shared" si="265"/>
        <v>0</v>
      </c>
      <c r="F393" s="3167"/>
      <c r="G393" s="3168">
        <f t="shared" si="266"/>
        <v>0</v>
      </c>
      <c r="H393" s="3169">
        <f t="shared" si="267"/>
        <v>0</v>
      </c>
      <c r="I393" s="3175"/>
      <c r="J393" s="3187"/>
      <c r="K393" s="3175"/>
      <c r="L393" s="3187"/>
      <c r="M393" s="3187"/>
      <c r="N393" s="3187"/>
      <c r="O393" s="3187"/>
      <c r="P393" s="3187"/>
      <c r="Q393" s="3187"/>
      <c r="R393" s="3187"/>
      <c r="S393" s="3187"/>
      <c r="T393" s="3187"/>
      <c r="U393" s="3187"/>
      <c r="V393" s="3187"/>
      <c r="W393" s="3187"/>
      <c r="X393" s="3187"/>
      <c r="Y393" s="3187"/>
      <c r="Z393" s="3187"/>
      <c r="AA393" s="3187"/>
      <c r="AB393" s="3187"/>
      <c r="AC393" s="3166">
        <f t="shared" si="268"/>
        <v>0</v>
      </c>
      <c r="AD393" s="3198"/>
      <c r="AE393" s="3198"/>
      <c r="AF393" s="3199"/>
      <c r="AG393" s="3198"/>
      <c r="AH393" s="3198"/>
      <c r="AI393" s="3198"/>
      <c r="AJ393" s="3198"/>
      <c r="AK393" s="3198"/>
      <c r="AL393" s="3198"/>
      <c r="AM393" s="3198"/>
      <c r="AN393" s="3198"/>
      <c r="AO393" s="3198"/>
      <c r="AP393" s="3198"/>
      <c r="AQ393" s="3198"/>
      <c r="AR393" s="3198"/>
      <c r="AS393" s="3198"/>
      <c r="AT393" s="3218"/>
      <c r="AU393" s="3219"/>
      <c r="AV393" s="488">
        <f t="shared" si="269"/>
        <v>0</v>
      </c>
      <c r="AW393" s="488">
        <f t="shared" si="270"/>
        <v>0</v>
      </c>
      <c r="AX393" s="488">
        <f t="shared" si="271"/>
        <v>0</v>
      </c>
      <c r="AY393" s="3235">
        <f t="shared" si="272"/>
        <v>0</v>
      </c>
      <c r="AZ393" s="3166">
        <f t="shared" si="273"/>
        <v>0</v>
      </c>
      <c r="BA393" s="3166">
        <f t="shared" si="274"/>
        <v>0</v>
      </c>
      <c r="BB393" s="3166">
        <f t="shared" si="275"/>
        <v>0</v>
      </c>
      <c r="BC393" s="3166">
        <f t="shared" si="276"/>
        <v>0</v>
      </c>
      <c r="BD393" s="3166">
        <f t="shared" si="277"/>
        <v>0</v>
      </c>
      <c r="BE393" s="3166">
        <f t="shared" si="278"/>
        <v>0</v>
      </c>
      <c r="BF393" s="3166">
        <f t="shared" si="279"/>
        <v>0</v>
      </c>
      <c r="BG393" s="3166">
        <f t="shared" si="280"/>
        <v>0</v>
      </c>
      <c r="BH393" s="3166">
        <f t="shared" si="281"/>
        <v>0</v>
      </c>
      <c r="BI393" s="3166">
        <f t="shared" si="282"/>
        <v>0</v>
      </c>
      <c r="BJ393" s="3166">
        <f t="shared" si="283"/>
        <v>0</v>
      </c>
      <c r="BK393" s="3166">
        <f t="shared" si="284"/>
        <v>0</v>
      </c>
      <c r="BL393" s="3166">
        <f t="shared" si="285"/>
        <v>0</v>
      </c>
      <c r="BM393" s="3166">
        <f t="shared" si="286"/>
        <v>0</v>
      </c>
      <c r="BN393" s="3166">
        <f t="shared" si="287"/>
        <v>0</v>
      </c>
      <c r="BO393" s="3166">
        <f t="shared" si="288"/>
        <v>0</v>
      </c>
      <c r="BP393" s="3166">
        <f t="shared" si="289"/>
        <v>0</v>
      </c>
      <c r="BQ393" s="3166">
        <f t="shared" si="290"/>
        <v>0</v>
      </c>
      <c r="BR393" s="3166">
        <f t="shared" si="291"/>
        <v>0</v>
      </c>
      <c r="BS393" s="3166">
        <f t="shared" si="292"/>
        <v>0</v>
      </c>
      <c r="BT393" s="3240">
        <f t="shared" si="293"/>
        <v>0</v>
      </c>
    </row>
    <row r="394" spans="1:72">
      <c r="A394" s="3163"/>
      <c r="B394" s="3173"/>
      <c r="C394" s="3171"/>
      <c r="D394" s="3172"/>
      <c r="E394" s="3166">
        <f t="shared" si="265"/>
        <v>0</v>
      </c>
      <c r="F394" s="3167"/>
      <c r="G394" s="3168">
        <f t="shared" si="266"/>
        <v>0</v>
      </c>
      <c r="H394" s="3169">
        <f t="shared" si="267"/>
        <v>0</v>
      </c>
      <c r="I394" s="3175"/>
      <c r="J394" s="3187"/>
      <c r="K394" s="3175"/>
      <c r="L394" s="3187"/>
      <c r="M394" s="3187"/>
      <c r="N394" s="3187"/>
      <c r="O394" s="3187"/>
      <c r="P394" s="3187"/>
      <c r="Q394" s="3187"/>
      <c r="R394" s="3187"/>
      <c r="S394" s="3187"/>
      <c r="T394" s="3187"/>
      <c r="U394" s="3187"/>
      <c r="V394" s="3187"/>
      <c r="W394" s="3187"/>
      <c r="X394" s="3187"/>
      <c r="Y394" s="3187"/>
      <c r="Z394" s="3187"/>
      <c r="AA394" s="3187"/>
      <c r="AB394" s="3187"/>
      <c r="AC394" s="3166">
        <f t="shared" si="268"/>
        <v>0</v>
      </c>
      <c r="AD394" s="3198"/>
      <c r="AE394" s="3198"/>
      <c r="AF394" s="3199"/>
      <c r="AG394" s="3198"/>
      <c r="AH394" s="3198"/>
      <c r="AI394" s="3198"/>
      <c r="AJ394" s="3198"/>
      <c r="AK394" s="3198"/>
      <c r="AL394" s="3198"/>
      <c r="AM394" s="3198"/>
      <c r="AN394" s="3198"/>
      <c r="AO394" s="3198"/>
      <c r="AP394" s="3198"/>
      <c r="AQ394" s="3198"/>
      <c r="AR394" s="3198"/>
      <c r="AS394" s="3198"/>
      <c r="AT394" s="3218"/>
      <c r="AU394" s="3219"/>
      <c r="AV394" s="488">
        <f t="shared" si="269"/>
        <v>0</v>
      </c>
      <c r="AW394" s="488">
        <f t="shared" si="270"/>
        <v>0</v>
      </c>
      <c r="AX394" s="488">
        <f t="shared" si="271"/>
        <v>0</v>
      </c>
      <c r="AY394" s="3235">
        <f t="shared" si="272"/>
        <v>0</v>
      </c>
      <c r="AZ394" s="3166">
        <f t="shared" si="273"/>
        <v>0</v>
      </c>
      <c r="BA394" s="3166">
        <f t="shared" si="274"/>
        <v>0</v>
      </c>
      <c r="BB394" s="3166">
        <f t="shared" si="275"/>
        <v>0</v>
      </c>
      <c r="BC394" s="3166">
        <f t="shared" si="276"/>
        <v>0</v>
      </c>
      <c r="BD394" s="3166">
        <f t="shared" si="277"/>
        <v>0</v>
      </c>
      <c r="BE394" s="3166">
        <f t="shared" si="278"/>
        <v>0</v>
      </c>
      <c r="BF394" s="3166">
        <f t="shared" si="279"/>
        <v>0</v>
      </c>
      <c r="BG394" s="3166">
        <f t="shared" si="280"/>
        <v>0</v>
      </c>
      <c r="BH394" s="3166">
        <f t="shared" si="281"/>
        <v>0</v>
      </c>
      <c r="BI394" s="3166">
        <f t="shared" si="282"/>
        <v>0</v>
      </c>
      <c r="BJ394" s="3166">
        <f t="shared" si="283"/>
        <v>0</v>
      </c>
      <c r="BK394" s="3166">
        <f t="shared" si="284"/>
        <v>0</v>
      </c>
      <c r="BL394" s="3166">
        <f t="shared" si="285"/>
        <v>0</v>
      </c>
      <c r="BM394" s="3166">
        <f t="shared" si="286"/>
        <v>0</v>
      </c>
      <c r="BN394" s="3166">
        <f t="shared" si="287"/>
        <v>0</v>
      </c>
      <c r="BO394" s="3166">
        <f t="shared" si="288"/>
        <v>0</v>
      </c>
      <c r="BP394" s="3166">
        <f t="shared" si="289"/>
        <v>0</v>
      </c>
      <c r="BQ394" s="3166">
        <f t="shared" si="290"/>
        <v>0</v>
      </c>
      <c r="BR394" s="3166">
        <f t="shared" si="291"/>
        <v>0</v>
      </c>
      <c r="BS394" s="3166">
        <f t="shared" si="292"/>
        <v>0</v>
      </c>
      <c r="BT394" s="3240">
        <f t="shared" si="293"/>
        <v>0</v>
      </c>
    </row>
    <row r="395" spans="1:72">
      <c r="A395" s="3163"/>
      <c r="B395" s="3173"/>
      <c r="C395" s="3171"/>
      <c r="D395" s="3172"/>
      <c r="E395" s="3166">
        <f t="shared" si="265"/>
        <v>0</v>
      </c>
      <c r="F395" s="3167"/>
      <c r="G395" s="3168">
        <f t="shared" si="266"/>
        <v>0</v>
      </c>
      <c r="H395" s="3169">
        <f t="shared" si="267"/>
        <v>0</v>
      </c>
      <c r="I395" s="3175"/>
      <c r="J395" s="3187"/>
      <c r="K395" s="3175"/>
      <c r="L395" s="3187"/>
      <c r="M395" s="3187"/>
      <c r="N395" s="3187"/>
      <c r="O395" s="3187"/>
      <c r="P395" s="3187"/>
      <c r="Q395" s="3187"/>
      <c r="R395" s="3187"/>
      <c r="S395" s="3187"/>
      <c r="T395" s="3187"/>
      <c r="U395" s="3187"/>
      <c r="V395" s="3187"/>
      <c r="W395" s="3187"/>
      <c r="X395" s="3187"/>
      <c r="Y395" s="3187"/>
      <c r="Z395" s="3187"/>
      <c r="AA395" s="3187"/>
      <c r="AB395" s="3187"/>
      <c r="AC395" s="3166">
        <f t="shared" si="268"/>
        <v>0</v>
      </c>
      <c r="AD395" s="3198"/>
      <c r="AE395" s="3198"/>
      <c r="AF395" s="3199"/>
      <c r="AG395" s="3198"/>
      <c r="AH395" s="3198"/>
      <c r="AI395" s="3198"/>
      <c r="AJ395" s="3198"/>
      <c r="AK395" s="3198"/>
      <c r="AL395" s="3198"/>
      <c r="AM395" s="3198"/>
      <c r="AN395" s="3198"/>
      <c r="AO395" s="3198"/>
      <c r="AP395" s="3198"/>
      <c r="AQ395" s="3198"/>
      <c r="AR395" s="3198"/>
      <c r="AS395" s="3198"/>
      <c r="AT395" s="3218"/>
      <c r="AU395" s="3219"/>
      <c r="AV395" s="488">
        <f t="shared" si="269"/>
        <v>0</v>
      </c>
      <c r="AW395" s="488">
        <f t="shared" si="270"/>
        <v>0</v>
      </c>
      <c r="AX395" s="488">
        <f t="shared" si="271"/>
        <v>0</v>
      </c>
      <c r="AY395" s="3235">
        <f t="shared" si="272"/>
        <v>0</v>
      </c>
      <c r="AZ395" s="3166">
        <f t="shared" si="273"/>
        <v>0</v>
      </c>
      <c r="BA395" s="3166">
        <f t="shared" si="274"/>
        <v>0</v>
      </c>
      <c r="BB395" s="3166">
        <f t="shared" si="275"/>
        <v>0</v>
      </c>
      <c r="BC395" s="3166">
        <f t="shared" si="276"/>
        <v>0</v>
      </c>
      <c r="BD395" s="3166">
        <f t="shared" si="277"/>
        <v>0</v>
      </c>
      <c r="BE395" s="3166">
        <f t="shared" si="278"/>
        <v>0</v>
      </c>
      <c r="BF395" s="3166">
        <f t="shared" si="279"/>
        <v>0</v>
      </c>
      <c r="BG395" s="3166">
        <f t="shared" si="280"/>
        <v>0</v>
      </c>
      <c r="BH395" s="3166">
        <f t="shared" si="281"/>
        <v>0</v>
      </c>
      <c r="BI395" s="3166">
        <f t="shared" si="282"/>
        <v>0</v>
      </c>
      <c r="BJ395" s="3166">
        <f t="shared" si="283"/>
        <v>0</v>
      </c>
      <c r="BK395" s="3166">
        <f t="shared" si="284"/>
        <v>0</v>
      </c>
      <c r="BL395" s="3166">
        <f t="shared" si="285"/>
        <v>0</v>
      </c>
      <c r="BM395" s="3166">
        <f t="shared" si="286"/>
        <v>0</v>
      </c>
      <c r="BN395" s="3166">
        <f t="shared" si="287"/>
        <v>0</v>
      </c>
      <c r="BO395" s="3166">
        <f t="shared" si="288"/>
        <v>0</v>
      </c>
      <c r="BP395" s="3166">
        <f t="shared" si="289"/>
        <v>0</v>
      </c>
      <c r="BQ395" s="3166">
        <f t="shared" si="290"/>
        <v>0</v>
      </c>
      <c r="BR395" s="3166">
        <f t="shared" si="291"/>
        <v>0</v>
      </c>
      <c r="BS395" s="3166">
        <f t="shared" si="292"/>
        <v>0</v>
      </c>
      <c r="BT395" s="3240">
        <f t="shared" si="293"/>
        <v>0</v>
      </c>
    </row>
    <row r="396" spans="1:72">
      <c r="A396" s="3163"/>
      <c r="B396" s="3173"/>
      <c r="C396" s="3171"/>
      <c r="D396" s="3172"/>
      <c r="E396" s="3166">
        <f t="shared" si="265"/>
        <v>0</v>
      </c>
      <c r="F396" s="3167"/>
      <c r="G396" s="3168">
        <f t="shared" si="266"/>
        <v>0</v>
      </c>
      <c r="H396" s="3169">
        <f t="shared" si="267"/>
        <v>0</v>
      </c>
      <c r="I396" s="3175"/>
      <c r="J396" s="3187"/>
      <c r="K396" s="3175"/>
      <c r="L396" s="3187"/>
      <c r="M396" s="3187"/>
      <c r="N396" s="3187"/>
      <c r="O396" s="3187"/>
      <c r="P396" s="3187"/>
      <c r="Q396" s="3187"/>
      <c r="R396" s="3187"/>
      <c r="S396" s="3187"/>
      <c r="T396" s="3187"/>
      <c r="U396" s="3187"/>
      <c r="V396" s="3187"/>
      <c r="W396" s="3187"/>
      <c r="X396" s="3187"/>
      <c r="Y396" s="3187"/>
      <c r="Z396" s="3187"/>
      <c r="AA396" s="3187"/>
      <c r="AB396" s="3187"/>
      <c r="AC396" s="3166">
        <f t="shared" si="268"/>
        <v>0</v>
      </c>
      <c r="AD396" s="3198"/>
      <c r="AE396" s="3198"/>
      <c r="AF396" s="3175"/>
      <c r="AG396" s="3198"/>
      <c r="AH396" s="3198"/>
      <c r="AI396" s="3198"/>
      <c r="AJ396" s="3198"/>
      <c r="AK396" s="3198"/>
      <c r="AL396" s="3198"/>
      <c r="AM396" s="3198"/>
      <c r="AN396" s="3198"/>
      <c r="AO396" s="3198"/>
      <c r="AP396" s="3198"/>
      <c r="AQ396" s="3198"/>
      <c r="AR396" s="3198"/>
      <c r="AS396" s="3198"/>
      <c r="AT396" s="3218"/>
      <c r="AU396" s="3219"/>
      <c r="AV396" s="488">
        <f t="shared" si="269"/>
        <v>0</v>
      </c>
      <c r="AW396" s="488">
        <f t="shared" si="270"/>
        <v>0</v>
      </c>
      <c r="AX396" s="488">
        <f t="shared" si="271"/>
        <v>0</v>
      </c>
      <c r="AY396" s="3235">
        <f t="shared" si="272"/>
        <v>0</v>
      </c>
      <c r="AZ396" s="3166">
        <f t="shared" si="273"/>
        <v>0</v>
      </c>
      <c r="BA396" s="3166">
        <f t="shared" si="274"/>
        <v>0</v>
      </c>
      <c r="BB396" s="3166">
        <f t="shared" si="275"/>
        <v>0</v>
      </c>
      <c r="BC396" s="3166">
        <f t="shared" si="276"/>
        <v>0</v>
      </c>
      <c r="BD396" s="3166">
        <f t="shared" si="277"/>
        <v>0</v>
      </c>
      <c r="BE396" s="3166">
        <f t="shared" si="278"/>
        <v>0</v>
      </c>
      <c r="BF396" s="3166">
        <f t="shared" si="279"/>
        <v>0</v>
      </c>
      <c r="BG396" s="3166">
        <f t="shared" si="280"/>
        <v>0</v>
      </c>
      <c r="BH396" s="3166">
        <f t="shared" si="281"/>
        <v>0</v>
      </c>
      <c r="BI396" s="3166">
        <f t="shared" si="282"/>
        <v>0</v>
      </c>
      <c r="BJ396" s="3166">
        <f t="shared" si="283"/>
        <v>0</v>
      </c>
      <c r="BK396" s="3166">
        <f t="shared" si="284"/>
        <v>0</v>
      </c>
      <c r="BL396" s="3166">
        <f t="shared" si="285"/>
        <v>0</v>
      </c>
      <c r="BM396" s="3166">
        <f t="shared" si="286"/>
        <v>0</v>
      </c>
      <c r="BN396" s="3166">
        <f t="shared" si="287"/>
        <v>0</v>
      </c>
      <c r="BO396" s="3166">
        <f t="shared" si="288"/>
        <v>0</v>
      </c>
      <c r="BP396" s="3166">
        <f t="shared" si="289"/>
        <v>0</v>
      </c>
      <c r="BQ396" s="3166">
        <f t="shared" si="290"/>
        <v>0</v>
      </c>
      <c r="BR396" s="3166">
        <f t="shared" si="291"/>
        <v>0</v>
      </c>
      <c r="BS396" s="3166">
        <f t="shared" si="292"/>
        <v>0</v>
      </c>
      <c r="BT396" s="3240">
        <f t="shared" si="293"/>
        <v>0</v>
      </c>
    </row>
    <row r="397" spans="1:72">
      <c r="A397" s="3163"/>
      <c r="B397" s="3174"/>
      <c r="C397" s="3175"/>
      <c r="D397" s="3172"/>
      <c r="E397" s="3166">
        <f t="shared" si="265"/>
        <v>0</v>
      </c>
      <c r="F397" s="3167"/>
      <c r="G397" s="3168">
        <f t="shared" si="266"/>
        <v>0</v>
      </c>
      <c r="H397" s="3169">
        <f t="shared" si="267"/>
        <v>0</v>
      </c>
      <c r="I397" s="3175"/>
      <c r="J397" s="3187"/>
      <c r="K397" s="3175"/>
      <c r="L397" s="3187"/>
      <c r="M397" s="3187"/>
      <c r="N397" s="3187"/>
      <c r="O397" s="3187"/>
      <c r="P397" s="3187"/>
      <c r="Q397" s="3187"/>
      <c r="R397" s="3187"/>
      <c r="S397" s="3187"/>
      <c r="T397" s="3187"/>
      <c r="U397" s="3187"/>
      <c r="V397" s="3187"/>
      <c r="W397" s="3187"/>
      <c r="X397" s="3187"/>
      <c r="Y397" s="3187"/>
      <c r="Z397" s="3187"/>
      <c r="AA397" s="3187"/>
      <c r="AB397" s="3187"/>
      <c r="AC397" s="3166">
        <f t="shared" si="268"/>
        <v>0</v>
      </c>
      <c r="AD397" s="3198"/>
      <c r="AE397" s="3198"/>
      <c r="AF397" s="3175"/>
      <c r="AG397" s="3198"/>
      <c r="AH397" s="3198"/>
      <c r="AI397" s="3198"/>
      <c r="AJ397" s="3198"/>
      <c r="AK397" s="3198"/>
      <c r="AL397" s="3198"/>
      <c r="AM397" s="3198"/>
      <c r="AN397" s="3198"/>
      <c r="AO397" s="3198"/>
      <c r="AP397" s="3198"/>
      <c r="AQ397" s="3198"/>
      <c r="AR397" s="3198"/>
      <c r="AS397" s="3198"/>
      <c r="AT397" s="3218"/>
      <c r="AU397" s="3219"/>
      <c r="AV397" s="488">
        <f t="shared" si="269"/>
        <v>0</v>
      </c>
      <c r="AW397" s="488">
        <f t="shared" si="270"/>
        <v>0</v>
      </c>
      <c r="AX397" s="488">
        <f t="shared" si="271"/>
        <v>0</v>
      </c>
      <c r="AY397" s="3235">
        <f t="shared" si="272"/>
        <v>0</v>
      </c>
      <c r="AZ397" s="3166">
        <f t="shared" si="273"/>
        <v>0</v>
      </c>
      <c r="BA397" s="3166">
        <f t="shared" si="274"/>
        <v>0</v>
      </c>
      <c r="BB397" s="3166">
        <f t="shared" si="275"/>
        <v>0</v>
      </c>
      <c r="BC397" s="3166">
        <f t="shared" si="276"/>
        <v>0</v>
      </c>
      <c r="BD397" s="3166">
        <f t="shared" si="277"/>
        <v>0</v>
      </c>
      <c r="BE397" s="3166">
        <f t="shared" si="278"/>
        <v>0</v>
      </c>
      <c r="BF397" s="3166">
        <f t="shared" si="279"/>
        <v>0</v>
      </c>
      <c r="BG397" s="3166">
        <f t="shared" si="280"/>
        <v>0</v>
      </c>
      <c r="BH397" s="3166">
        <f t="shared" si="281"/>
        <v>0</v>
      </c>
      <c r="BI397" s="3166">
        <f t="shared" si="282"/>
        <v>0</v>
      </c>
      <c r="BJ397" s="3166">
        <f t="shared" si="283"/>
        <v>0</v>
      </c>
      <c r="BK397" s="3166">
        <f t="shared" si="284"/>
        <v>0</v>
      </c>
      <c r="BL397" s="3166">
        <f t="shared" si="285"/>
        <v>0</v>
      </c>
      <c r="BM397" s="3166">
        <f t="shared" si="286"/>
        <v>0</v>
      </c>
      <c r="BN397" s="3166">
        <f t="shared" si="287"/>
        <v>0</v>
      </c>
      <c r="BO397" s="3166">
        <f t="shared" si="288"/>
        <v>0</v>
      </c>
      <c r="BP397" s="3166">
        <f t="shared" si="289"/>
        <v>0</v>
      </c>
      <c r="BQ397" s="3166">
        <f t="shared" si="290"/>
        <v>0</v>
      </c>
      <c r="BR397" s="3166">
        <f t="shared" si="291"/>
        <v>0</v>
      </c>
      <c r="BS397" s="3166">
        <f t="shared" si="292"/>
        <v>0</v>
      </c>
      <c r="BT397" s="3240">
        <f t="shared" si="293"/>
        <v>0</v>
      </c>
    </row>
    <row r="398" spans="1:72">
      <c r="A398" s="3163"/>
      <c r="B398" s="3173"/>
      <c r="C398" s="3171"/>
      <c r="D398" s="3172"/>
      <c r="E398" s="3166">
        <f t="shared" si="265"/>
        <v>0</v>
      </c>
      <c r="F398" s="3167"/>
      <c r="G398" s="3168">
        <f t="shared" si="266"/>
        <v>0</v>
      </c>
      <c r="H398" s="3169">
        <f t="shared" si="267"/>
        <v>0</v>
      </c>
      <c r="I398" s="3175"/>
      <c r="J398" s="3187"/>
      <c r="K398" s="3175"/>
      <c r="L398" s="3187"/>
      <c r="M398" s="3187"/>
      <c r="N398" s="3187"/>
      <c r="O398" s="3187"/>
      <c r="P398" s="3187"/>
      <c r="Q398" s="3187"/>
      <c r="R398" s="3187"/>
      <c r="S398" s="3187"/>
      <c r="T398" s="3187"/>
      <c r="U398" s="3187"/>
      <c r="V398" s="3187"/>
      <c r="W398" s="3187"/>
      <c r="X398" s="3187"/>
      <c r="Y398" s="3187"/>
      <c r="Z398" s="3187"/>
      <c r="AA398" s="3187"/>
      <c r="AB398" s="3187"/>
      <c r="AC398" s="3166">
        <f t="shared" si="268"/>
        <v>0</v>
      </c>
      <c r="AD398" s="3198"/>
      <c r="AE398" s="3198"/>
      <c r="AF398" s="3175"/>
      <c r="AG398" s="3198"/>
      <c r="AH398" s="3198"/>
      <c r="AI398" s="3198"/>
      <c r="AJ398" s="3198"/>
      <c r="AK398" s="3198"/>
      <c r="AL398" s="3198"/>
      <c r="AM398" s="3198"/>
      <c r="AN398" s="3198"/>
      <c r="AO398" s="3198"/>
      <c r="AP398" s="3198"/>
      <c r="AQ398" s="3198"/>
      <c r="AR398" s="3198"/>
      <c r="AS398" s="3198"/>
      <c r="AT398" s="3218"/>
      <c r="AU398" s="3219"/>
      <c r="AV398" s="488">
        <f t="shared" si="269"/>
        <v>0</v>
      </c>
      <c r="AW398" s="488">
        <f t="shared" si="270"/>
        <v>0</v>
      </c>
      <c r="AX398" s="488">
        <f t="shared" si="271"/>
        <v>0</v>
      </c>
      <c r="AY398" s="3235">
        <f t="shared" si="272"/>
        <v>0</v>
      </c>
      <c r="AZ398" s="3166">
        <f t="shared" si="273"/>
        <v>0</v>
      </c>
      <c r="BA398" s="3166">
        <f t="shared" si="274"/>
        <v>0</v>
      </c>
      <c r="BB398" s="3166">
        <f t="shared" si="275"/>
        <v>0</v>
      </c>
      <c r="BC398" s="3166">
        <f t="shared" si="276"/>
        <v>0</v>
      </c>
      <c r="BD398" s="3166">
        <f t="shared" si="277"/>
        <v>0</v>
      </c>
      <c r="BE398" s="3166">
        <f t="shared" si="278"/>
        <v>0</v>
      </c>
      <c r="BF398" s="3166">
        <f t="shared" si="279"/>
        <v>0</v>
      </c>
      <c r="BG398" s="3166">
        <f t="shared" si="280"/>
        <v>0</v>
      </c>
      <c r="BH398" s="3166">
        <f t="shared" si="281"/>
        <v>0</v>
      </c>
      <c r="BI398" s="3166">
        <f t="shared" si="282"/>
        <v>0</v>
      </c>
      <c r="BJ398" s="3166">
        <f t="shared" si="283"/>
        <v>0</v>
      </c>
      <c r="BK398" s="3166">
        <f t="shared" si="284"/>
        <v>0</v>
      </c>
      <c r="BL398" s="3166">
        <f t="shared" si="285"/>
        <v>0</v>
      </c>
      <c r="BM398" s="3166">
        <f t="shared" si="286"/>
        <v>0</v>
      </c>
      <c r="BN398" s="3166">
        <f t="shared" si="287"/>
        <v>0</v>
      </c>
      <c r="BO398" s="3166">
        <f t="shared" si="288"/>
        <v>0</v>
      </c>
      <c r="BP398" s="3166">
        <f t="shared" si="289"/>
        <v>0</v>
      </c>
      <c r="BQ398" s="3166">
        <f t="shared" si="290"/>
        <v>0</v>
      </c>
      <c r="BR398" s="3166">
        <f t="shared" si="291"/>
        <v>0</v>
      </c>
      <c r="BS398" s="3166">
        <f t="shared" si="292"/>
        <v>0</v>
      </c>
      <c r="BT398" s="3240">
        <f t="shared" si="293"/>
        <v>0</v>
      </c>
    </row>
    <row r="399" spans="1:72">
      <c r="A399" s="3163"/>
      <c r="B399" s="3173"/>
      <c r="C399" s="3171"/>
      <c r="D399" s="3172"/>
      <c r="E399" s="3166">
        <f t="shared" si="265"/>
        <v>0</v>
      </c>
      <c r="F399" s="3167"/>
      <c r="G399" s="3168">
        <f t="shared" si="266"/>
        <v>0</v>
      </c>
      <c r="H399" s="3169">
        <f t="shared" si="267"/>
        <v>0</v>
      </c>
      <c r="I399" s="3175"/>
      <c r="J399" s="3187"/>
      <c r="K399" s="3175"/>
      <c r="L399" s="3187"/>
      <c r="M399" s="3187"/>
      <c r="N399" s="3187"/>
      <c r="O399" s="3187"/>
      <c r="P399" s="3187"/>
      <c r="Q399" s="3187"/>
      <c r="R399" s="3187"/>
      <c r="S399" s="3187"/>
      <c r="T399" s="3187"/>
      <c r="U399" s="3187"/>
      <c r="V399" s="3187"/>
      <c r="W399" s="3187"/>
      <c r="X399" s="3187"/>
      <c r="Y399" s="3187"/>
      <c r="Z399" s="3187"/>
      <c r="AA399" s="3187"/>
      <c r="AB399" s="3187"/>
      <c r="AC399" s="3166">
        <f t="shared" si="268"/>
        <v>0</v>
      </c>
      <c r="AD399" s="3198"/>
      <c r="AE399" s="3198"/>
      <c r="AF399" s="3175"/>
      <c r="AG399" s="3198"/>
      <c r="AH399" s="3198"/>
      <c r="AI399" s="3198"/>
      <c r="AJ399" s="3198"/>
      <c r="AK399" s="3198"/>
      <c r="AL399" s="3198"/>
      <c r="AM399" s="3198"/>
      <c r="AN399" s="3198"/>
      <c r="AO399" s="3198"/>
      <c r="AP399" s="3198"/>
      <c r="AQ399" s="3198"/>
      <c r="AR399" s="3198"/>
      <c r="AS399" s="3198"/>
      <c r="AT399" s="3218"/>
      <c r="AU399" s="3219"/>
      <c r="AV399" s="488">
        <f t="shared" si="269"/>
        <v>0</v>
      </c>
      <c r="AW399" s="488">
        <f t="shared" si="270"/>
        <v>0</v>
      </c>
      <c r="AX399" s="488">
        <f t="shared" si="271"/>
        <v>0</v>
      </c>
      <c r="AY399" s="3235">
        <f t="shared" si="272"/>
        <v>0</v>
      </c>
      <c r="AZ399" s="3166">
        <f t="shared" si="273"/>
        <v>0</v>
      </c>
      <c r="BA399" s="3166">
        <f t="shared" si="274"/>
        <v>0</v>
      </c>
      <c r="BB399" s="3166">
        <f t="shared" si="275"/>
        <v>0</v>
      </c>
      <c r="BC399" s="3166">
        <f t="shared" si="276"/>
        <v>0</v>
      </c>
      <c r="BD399" s="3166">
        <f t="shared" si="277"/>
        <v>0</v>
      </c>
      <c r="BE399" s="3166">
        <f t="shared" si="278"/>
        <v>0</v>
      </c>
      <c r="BF399" s="3166">
        <f t="shared" si="279"/>
        <v>0</v>
      </c>
      <c r="BG399" s="3166">
        <f t="shared" si="280"/>
        <v>0</v>
      </c>
      <c r="BH399" s="3166">
        <f t="shared" si="281"/>
        <v>0</v>
      </c>
      <c r="BI399" s="3166">
        <f t="shared" si="282"/>
        <v>0</v>
      </c>
      <c r="BJ399" s="3166">
        <f t="shared" si="283"/>
        <v>0</v>
      </c>
      <c r="BK399" s="3166">
        <f t="shared" si="284"/>
        <v>0</v>
      </c>
      <c r="BL399" s="3166">
        <f t="shared" si="285"/>
        <v>0</v>
      </c>
      <c r="BM399" s="3166">
        <f t="shared" si="286"/>
        <v>0</v>
      </c>
      <c r="BN399" s="3166">
        <f t="shared" si="287"/>
        <v>0</v>
      </c>
      <c r="BO399" s="3166">
        <f t="shared" si="288"/>
        <v>0</v>
      </c>
      <c r="BP399" s="3166">
        <f t="shared" si="289"/>
        <v>0</v>
      </c>
      <c r="BQ399" s="3166">
        <f t="shared" si="290"/>
        <v>0</v>
      </c>
      <c r="BR399" s="3166">
        <f t="shared" si="291"/>
        <v>0</v>
      </c>
      <c r="BS399" s="3166">
        <f t="shared" si="292"/>
        <v>0</v>
      </c>
      <c r="BT399" s="3240">
        <f t="shared" si="293"/>
        <v>0</v>
      </c>
    </row>
    <row r="400" spans="1:72">
      <c r="A400" s="3163"/>
      <c r="B400" s="3173"/>
      <c r="C400" s="3171"/>
      <c r="D400" s="3172"/>
      <c r="E400" s="3166">
        <f t="shared" si="265"/>
        <v>0</v>
      </c>
      <c r="F400" s="3167"/>
      <c r="G400" s="3168">
        <f t="shared" si="266"/>
        <v>0</v>
      </c>
      <c r="H400" s="3169">
        <f t="shared" si="267"/>
        <v>0</v>
      </c>
      <c r="I400" s="3175"/>
      <c r="J400" s="3187"/>
      <c r="K400" s="3175"/>
      <c r="L400" s="3187"/>
      <c r="M400" s="3187"/>
      <c r="N400" s="3187"/>
      <c r="O400" s="3187"/>
      <c r="P400" s="3187"/>
      <c r="Q400" s="3187"/>
      <c r="R400" s="3187"/>
      <c r="S400" s="3187"/>
      <c r="T400" s="3187"/>
      <c r="U400" s="3187"/>
      <c r="V400" s="3187"/>
      <c r="W400" s="3187"/>
      <c r="X400" s="3187"/>
      <c r="Y400" s="3187"/>
      <c r="Z400" s="3187"/>
      <c r="AA400" s="3187"/>
      <c r="AB400" s="3187"/>
      <c r="AC400" s="3166">
        <f t="shared" si="268"/>
        <v>0</v>
      </c>
      <c r="AD400" s="3198"/>
      <c r="AE400" s="3198"/>
      <c r="AF400" s="3175"/>
      <c r="AG400" s="3198"/>
      <c r="AH400" s="3198"/>
      <c r="AI400" s="3198"/>
      <c r="AJ400" s="3198"/>
      <c r="AK400" s="3198"/>
      <c r="AL400" s="3198"/>
      <c r="AM400" s="3198"/>
      <c r="AN400" s="3198"/>
      <c r="AO400" s="3198"/>
      <c r="AP400" s="3198"/>
      <c r="AQ400" s="3198"/>
      <c r="AR400" s="3198"/>
      <c r="AS400" s="3198"/>
      <c r="AT400" s="3218"/>
      <c r="AU400" s="3219"/>
      <c r="AV400" s="488">
        <f t="shared" si="269"/>
        <v>0</v>
      </c>
      <c r="AW400" s="488">
        <f t="shared" si="270"/>
        <v>0</v>
      </c>
      <c r="AX400" s="488">
        <f t="shared" si="271"/>
        <v>0</v>
      </c>
      <c r="AY400" s="3235">
        <f t="shared" si="272"/>
        <v>0</v>
      </c>
      <c r="AZ400" s="3166">
        <f t="shared" si="273"/>
        <v>0</v>
      </c>
      <c r="BA400" s="3166">
        <f t="shared" si="274"/>
        <v>0</v>
      </c>
      <c r="BB400" s="3166">
        <f t="shared" si="275"/>
        <v>0</v>
      </c>
      <c r="BC400" s="3166">
        <f t="shared" si="276"/>
        <v>0</v>
      </c>
      <c r="BD400" s="3166">
        <f t="shared" si="277"/>
        <v>0</v>
      </c>
      <c r="BE400" s="3166">
        <f t="shared" si="278"/>
        <v>0</v>
      </c>
      <c r="BF400" s="3166">
        <f t="shared" si="279"/>
        <v>0</v>
      </c>
      <c r="BG400" s="3166">
        <f t="shared" si="280"/>
        <v>0</v>
      </c>
      <c r="BH400" s="3166">
        <f t="shared" si="281"/>
        <v>0</v>
      </c>
      <c r="BI400" s="3166">
        <f t="shared" si="282"/>
        <v>0</v>
      </c>
      <c r="BJ400" s="3166">
        <f t="shared" si="283"/>
        <v>0</v>
      </c>
      <c r="BK400" s="3166">
        <f t="shared" si="284"/>
        <v>0</v>
      </c>
      <c r="BL400" s="3166">
        <f t="shared" si="285"/>
        <v>0</v>
      </c>
      <c r="BM400" s="3166">
        <f t="shared" si="286"/>
        <v>0</v>
      </c>
      <c r="BN400" s="3166">
        <f t="shared" si="287"/>
        <v>0</v>
      </c>
      <c r="BO400" s="3166">
        <f t="shared" si="288"/>
        <v>0</v>
      </c>
      <c r="BP400" s="3166">
        <f t="shared" si="289"/>
        <v>0</v>
      </c>
      <c r="BQ400" s="3166">
        <f t="shared" si="290"/>
        <v>0</v>
      </c>
      <c r="BR400" s="3166">
        <f t="shared" si="291"/>
        <v>0</v>
      </c>
      <c r="BS400" s="3166">
        <f t="shared" si="292"/>
        <v>0</v>
      </c>
      <c r="BT400" s="3240">
        <f t="shared" si="293"/>
        <v>0</v>
      </c>
    </row>
    <row r="401" spans="1:72">
      <c r="A401" s="3163"/>
      <c r="B401" s="3173"/>
      <c r="C401" s="3171"/>
      <c r="D401" s="3172"/>
      <c r="E401" s="3166">
        <f t="shared" si="265"/>
        <v>0</v>
      </c>
      <c r="F401" s="3167"/>
      <c r="G401" s="3168">
        <f t="shared" si="266"/>
        <v>0</v>
      </c>
      <c r="H401" s="3169">
        <f t="shared" si="267"/>
        <v>0</v>
      </c>
      <c r="I401" s="3175"/>
      <c r="J401" s="3187"/>
      <c r="K401" s="3175"/>
      <c r="L401" s="3187"/>
      <c r="M401" s="3187"/>
      <c r="N401" s="3187"/>
      <c r="O401" s="3187"/>
      <c r="P401" s="3187"/>
      <c r="Q401" s="3187"/>
      <c r="R401" s="3187"/>
      <c r="S401" s="3187"/>
      <c r="T401" s="3187"/>
      <c r="U401" s="3187"/>
      <c r="V401" s="3187"/>
      <c r="W401" s="3187"/>
      <c r="X401" s="3187"/>
      <c r="Y401" s="3187"/>
      <c r="Z401" s="3187"/>
      <c r="AA401" s="3187"/>
      <c r="AB401" s="3187"/>
      <c r="AC401" s="3166">
        <f t="shared" si="268"/>
        <v>0</v>
      </c>
      <c r="AD401" s="3198"/>
      <c r="AE401" s="3198"/>
      <c r="AF401" s="3175"/>
      <c r="AG401" s="3198"/>
      <c r="AH401" s="3198"/>
      <c r="AI401" s="3198"/>
      <c r="AJ401" s="3198"/>
      <c r="AK401" s="3198"/>
      <c r="AL401" s="3198"/>
      <c r="AM401" s="3198"/>
      <c r="AN401" s="3198"/>
      <c r="AO401" s="3198"/>
      <c r="AP401" s="3198"/>
      <c r="AQ401" s="3198"/>
      <c r="AR401" s="3198"/>
      <c r="AS401" s="3198"/>
      <c r="AT401" s="3218"/>
      <c r="AU401" s="3219"/>
      <c r="AV401" s="488">
        <f t="shared" si="269"/>
        <v>0</v>
      </c>
      <c r="AW401" s="488">
        <f t="shared" si="270"/>
        <v>0</v>
      </c>
      <c r="AX401" s="488">
        <f t="shared" si="271"/>
        <v>0</v>
      </c>
      <c r="AY401" s="3235">
        <f t="shared" si="272"/>
        <v>0</v>
      </c>
      <c r="AZ401" s="3166">
        <f t="shared" si="273"/>
        <v>0</v>
      </c>
      <c r="BA401" s="3166">
        <f t="shared" si="274"/>
        <v>0</v>
      </c>
      <c r="BB401" s="3166">
        <f t="shared" si="275"/>
        <v>0</v>
      </c>
      <c r="BC401" s="3166">
        <f t="shared" si="276"/>
        <v>0</v>
      </c>
      <c r="BD401" s="3166">
        <f t="shared" si="277"/>
        <v>0</v>
      </c>
      <c r="BE401" s="3166">
        <f t="shared" si="278"/>
        <v>0</v>
      </c>
      <c r="BF401" s="3166">
        <f t="shared" si="279"/>
        <v>0</v>
      </c>
      <c r="BG401" s="3166">
        <f t="shared" si="280"/>
        <v>0</v>
      </c>
      <c r="BH401" s="3166">
        <f t="shared" si="281"/>
        <v>0</v>
      </c>
      <c r="BI401" s="3166">
        <f t="shared" si="282"/>
        <v>0</v>
      </c>
      <c r="BJ401" s="3166">
        <f t="shared" si="283"/>
        <v>0</v>
      </c>
      <c r="BK401" s="3166">
        <f t="shared" si="284"/>
        <v>0</v>
      </c>
      <c r="BL401" s="3166">
        <f t="shared" si="285"/>
        <v>0</v>
      </c>
      <c r="BM401" s="3166">
        <f t="shared" si="286"/>
        <v>0</v>
      </c>
      <c r="BN401" s="3166">
        <f t="shared" si="287"/>
        <v>0</v>
      </c>
      <c r="BO401" s="3166">
        <f t="shared" si="288"/>
        <v>0</v>
      </c>
      <c r="BP401" s="3166">
        <f t="shared" si="289"/>
        <v>0</v>
      </c>
      <c r="BQ401" s="3166">
        <f t="shared" si="290"/>
        <v>0</v>
      </c>
      <c r="BR401" s="3166">
        <f t="shared" si="291"/>
        <v>0</v>
      </c>
      <c r="BS401" s="3166">
        <f t="shared" si="292"/>
        <v>0</v>
      </c>
      <c r="BT401" s="3240">
        <f t="shared" si="293"/>
        <v>0</v>
      </c>
    </row>
    <row r="402" spans="1:72">
      <c r="A402" s="3163"/>
      <c r="B402" s="3173"/>
      <c r="C402" s="3171"/>
      <c r="D402" s="3172"/>
      <c r="E402" s="3166">
        <f t="shared" si="265"/>
        <v>0</v>
      </c>
      <c r="F402" s="3167"/>
      <c r="G402" s="3168">
        <f t="shared" si="266"/>
        <v>0</v>
      </c>
      <c r="H402" s="3169">
        <f t="shared" si="267"/>
        <v>0</v>
      </c>
      <c r="I402" s="3175"/>
      <c r="J402" s="3187"/>
      <c r="K402" s="3175"/>
      <c r="L402" s="3187"/>
      <c r="M402" s="3187"/>
      <c r="N402" s="3187"/>
      <c r="O402" s="3187"/>
      <c r="P402" s="3187"/>
      <c r="Q402" s="3187"/>
      <c r="R402" s="3187"/>
      <c r="S402" s="3187"/>
      <c r="T402" s="3187"/>
      <c r="U402" s="3187"/>
      <c r="V402" s="3187"/>
      <c r="W402" s="3187"/>
      <c r="X402" s="3187"/>
      <c r="Y402" s="3187"/>
      <c r="Z402" s="3187"/>
      <c r="AA402" s="3187"/>
      <c r="AB402" s="3187"/>
      <c r="AC402" s="3166">
        <f t="shared" si="268"/>
        <v>0</v>
      </c>
      <c r="AD402" s="3198"/>
      <c r="AE402" s="3198"/>
      <c r="AF402" s="3175"/>
      <c r="AG402" s="3198"/>
      <c r="AH402" s="3198"/>
      <c r="AI402" s="3198"/>
      <c r="AJ402" s="3198"/>
      <c r="AK402" s="3198"/>
      <c r="AL402" s="3198"/>
      <c r="AM402" s="3198"/>
      <c r="AN402" s="3198"/>
      <c r="AO402" s="3198"/>
      <c r="AP402" s="3198"/>
      <c r="AQ402" s="3198"/>
      <c r="AR402" s="3198"/>
      <c r="AS402" s="3198"/>
      <c r="AT402" s="3218"/>
      <c r="AU402" s="3219"/>
      <c r="AV402" s="488">
        <f t="shared" si="269"/>
        <v>0</v>
      </c>
      <c r="AW402" s="488">
        <f t="shared" si="270"/>
        <v>0</v>
      </c>
      <c r="AX402" s="488">
        <f t="shared" si="271"/>
        <v>0</v>
      </c>
      <c r="AY402" s="3235">
        <f t="shared" si="272"/>
        <v>0</v>
      </c>
      <c r="AZ402" s="3166">
        <f t="shared" si="273"/>
        <v>0</v>
      </c>
      <c r="BA402" s="3166">
        <f t="shared" si="274"/>
        <v>0</v>
      </c>
      <c r="BB402" s="3166">
        <f t="shared" si="275"/>
        <v>0</v>
      </c>
      <c r="BC402" s="3166">
        <f t="shared" si="276"/>
        <v>0</v>
      </c>
      <c r="BD402" s="3166">
        <f t="shared" si="277"/>
        <v>0</v>
      </c>
      <c r="BE402" s="3166">
        <f t="shared" si="278"/>
        <v>0</v>
      </c>
      <c r="BF402" s="3166">
        <f t="shared" si="279"/>
        <v>0</v>
      </c>
      <c r="BG402" s="3166">
        <f t="shared" si="280"/>
        <v>0</v>
      </c>
      <c r="BH402" s="3166">
        <f t="shared" si="281"/>
        <v>0</v>
      </c>
      <c r="BI402" s="3166">
        <f t="shared" si="282"/>
        <v>0</v>
      </c>
      <c r="BJ402" s="3166">
        <f t="shared" si="283"/>
        <v>0</v>
      </c>
      <c r="BK402" s="3166">
        <f t="shared" si="284"/>
        <v>0</v>
      </c>
      <c r="BL402" s="3166">
        <f t="shared" si="285"/>
        <v>0</v>
      </c>
      <c r="BM402" s="3166">
        <f t="shared" si="286"/>
        <v>0</v>
      </c>
      <c r="BN402" s="3166">
        <f t="shared" si="287"/>
        <v>0</v>
      </c>
      <c r="BO402" s="3166">
        <f t="shared" si="288"/>
        <v>0</v>
      </c>
      <c r="BP402" s="3166">
        <f t="shared" si="289"/>
        <v>0</v>
      </c>
      <c r="BQ402" s="3166">
        <f t="shared" si="290"/>
        <v>0</v>
      </c>
      <c r="BR402" s="3166">
        <f t="shared" si="291"/>
        <v>0</v>
      </c>
      <c r="BS402" s="3166">
        <f t="shared" si="292"/>
        <v>0</v>
      </c>
      <c r="BT402" s="3240">
        <f t="shared" si="293"/>
        <v>0</v>
      </c>
    </row>
    <row r="403" spans="1:72">
      <c r="A403" s="3163"/>
      <c r="B403" s="3173"/>
      <c r="C403" s="3171"/>
      <c r="D403" s="3172"/>
      <c r="E403" s="3166">
        <f t="shared" si="265"/>
        <v>0</v>
      </c>
      <c r="F403" s="3167"/>
      <c r="G403" s="3168">
        <f t="shared" si="266"/>
        <v>0</v>
      </c>
      <c r="H403" s="3169">
        <f t="shared" si="267"/>
        <v>0</v>
      </c>
      <c r="I403" s="3175"/>
      <c r="J403" s="3187"/>
      <c r="K403" s="3175"/>
      <c r="L403" s="3187"/>
      <c r="M403" s="3187"/>
      <c r="N403" s="3187"/>
      <c r="O403" s="3187"/>
      <c r="P403" s="3187"/>
      <c r="Q403" s="3187"/>
      <c r="R403" s="3187"/>
      <c r="S403" s="3187"/>
      <c r="T403" s="3187"/>
      <c r="U403" s="3187"/>
      <c r="V403" s="3187"/>
      <c r="W403" s="3187"/>
      <c r="X403" s="3187"/>
      <c r="Y403" s="3187"/>
      <c r="Z403" s="3187"/>
      <c r="AA403" s="3187"/>
      <c r="AB403" s="3187"/>
      <c r="AC403" s="3166">
        <f t="shared" si="268"/>
        <v>0</v>
      </c>
      <c r="AD403" s="3198"/>
      <c r="AE403" s="3198"/>
      <c r="AF403" s="3175"/>
      <c r="AG403" s="3198"/>
      <c r="AH403" s="3198"/>
      <c r="AI403" s="3198"/>
      <c r="AJ403" s="3198"/>
      <c r="AK403" s="3198"/>
      <c r="AL403" s="3198"/>
      <c r="AM403" s="3198"/>
      <c r="AN403" s="3198"/>
      <c r="AO403" s="3198"/>
      <c r="AP403" s="3198"/>
      <c r="AQ403" s="3198"/>
      <c r="AR403" s="3198"/>
      <c r="AS403" s="3198"/>
      <c r="AT403" s="3218"/>
      <c r="AU403" s="3219"/>
      <c r="AV403" s="488">
        <f t="shared" si="269"/>
        <v>0</v>
      </c>
      <c r="AW403" s="488">
        <f t="shared" si="270"/>
        <v>0</v>
      </c>
      <c r="AX403" s="488">
        <f t="shared" si="271"/>
        <v>0</v>
      </c>
      <c r="AY403" s="3235">
        <f t="shared" si="272"/>
        <v>0</v>
      </c>
      <c r="AZ403" s="3166">
        <f t="shared" si="273"/>
        <v>0</v>
      </c>
      <c r="BA403" s="3166">
        <f t="shared" si="274"/>
        <v>0</v>
      </c>
      <c r="BB403" s="3166">
        <f t="shared" si="275"/>
        <v>0</v>
      </c>
      <c r="BC403" s="3166">
        <f t="shared" si="276"/>
        <v>0</v>
      </c>
      <c r="BD403" s="3166">
        <f t="shared" si="277"/>
        <v>0</v>
      </c>
      <c r="BE403" s="3166">
        <f t="shared" si="278"/>
        <v>0</v>
      </c>
      <c r="BF403" s="3166">
        <f t="shared" si="279"/>
        <v>0</v>
      </c>
      <c r="BG403" s="3166">
        <f t="shared" si="280"/>
        <v>0</v>
      </c>
      <c r="BH403" s="3166">
        <f t="shared" si="281"/>
        <v>0</v>
      </c>
      <c r="BI403" s="3166">
        <f t="shared" si="282"/>
        <v>0</v>
      </c>
      <c r="BJ403" s="3166">
        <f t="shared" si="283"/>
        <v>0</v>
      </c>
      <c r="BK403" s="3166">
        <f t="shared" si="284"/>
        <v>0</v>
      </c>
      <c r="BL403" s="3166">
        <f t="shared" si="285"/>
        <v>0</v>
      </c>
      <c r="BM403" s="3166">
        <f t="shared" si="286"/>
        <v>0</v>
      </c>
      <c r="BN403" s="3166">
        <f t="shared" si="287"/>
        <v>0</v>
      </c>
      <c r="BO403" s="3166">
        <f t="shared" si="288"/>
        <v>0</v>
      </c>
      <c r="BP403" s="3166">
        <f t="shared" si="289"/>
        <v>0</v>
      </c>
      <c r="BQ403" s="3166">
        <f t="shared" si="290"/>
        <v>0</v>
      </c>
      <c r="BR403" s="3166">
        <f t="shared" si="291"/>
        <v>0</v>
      </c>
      <c r="BS403" s="3166">
        <f t="shared" si="292"/>
        <v>0</v>
      </c>
      <c r="BT403" s="3240">
        <f t="shared" si="293"/>
        <v>0</v>
      </c>
    </row>
    <row r="404" spans="1:72">
      <c r="A404" s="3163"/>
      <c r="B404" s="3173"/>
      <c r="C404" s="3171"/>
      <c r="D404" s="3172"/>
      <c r="E404" s="3166">
        <f t="shared" si="265"/>
        <v>0</v>
      </c>
      <c r="F404" s="3167"/>
      <c r="G404" s="3168">
        <f t="shared" si="266"/>
        <v>0</v>
      </c>
      <c r="H404" s="3169">
        <f t="shared" si="267"/>
        <v>0</v>
      </c>
      <c r="I404" s="3175"/>
      <c r="J404" s="3187"/>
      <c r="K404" s="3175"/>
      <c r="L404" s="3187"/>
      <c r="M404" s="3187"/>
      <c r="N404" s="3187"/>
      <c r="O404" s="3187"/>
      <c r="P404" s="3187"/>
      <c r="Q404" s="3187"/>
      <c r="R404" s="3187"/>
      <c r="S404" s="3187"/>
      <c r="T404" s="3187"/>
      <c r="U404" s="3187"/>
      <c r="V404" s="3187"/>
      <c r="W404" s="3187"/>
      <c r="X404" s="3187"/>
      <c r="Y404" s="3187"/>
      <c r="Z404" s="3187"/>
      <c r="AA404" s="3187"/>
      <c r="AB404" s="3187"/>
      <c r="AC404" s="3166">
        <f t="shared" si="268"/>
        <v>0</v>
      </c>
      <c r="AD404" s="3198"/>
      <c r="AE404" s="3198"/>
      <c r="AF404" s="3175"/>
      <c r="AG404" s="3198"/>
      <c r="AH404" s="3198"/>
      <c r="AI404" s="3198"/>
      <c r="AJ404" s="3198"/>
      <c r="AK404" s="3198"/>
      <c r="AL404" s="3198"/>
      <c r="AM404" s="3198"/>
      <c r="AN404" s="3198"/>
      <c r="AO404" s="3198"/>
      <c r="AP404" s="3198"/>
      <c r="AQ404" s="3198"/>
      <c r="AR404" s="3198"/>
      <c r="AS404" s="3198"/>
      <c r="AT404" s="3218"/>
      <c r="AU404" s="3219"/>
      <c r="AV404" s="488">
        <f t="shared" si="269"/>
        <v>0</v>
      </c>
      <c r="AW404" s="488">
        <f t="shared" si="270"/>
        <v>0</v>
      </c>
      <c r="AX404" s="488">
        <f t="shared" si="271"/>
        <v>0</v>
      </c>
      <c r="AY404" s="3235">
        <f t="shared" si="272"/>
        <v>0</v>
      </c>
      <c r="AZ404" s="3166">
        <f t="shared" si="273"/>
        <v>0</v>
      </c>
      <c r="BA404" s="3166">
        <f t="shared" si="274"/>
        <v>0</v>
      </c>
      <c r="BB404" s="3166">
        <f t="shared" si="275"/>
        <v>0</v>
      </c>
      <c r="BC404" s="3166">
        <f t="shared" si="276"/>
        <v>0</v>
      </c>
      <c r="BD404" s="3166">
        <f t="shared" si="277"/>
        <v>0</v>
      </c>
      <c r="BE404" s="3166">
        <f t="shared" si="278"/>
        <v>0</v>
      </c>
      <c r="BF404" s="3166">
        <f t="shared" si="279"/>
        <v>0</v>
      </c>
      <c r="BG404" s="3166">
        <f t="shared" si="280"/>
        <v>0</v>
      </c>
      <c r="BH404" s="3166">
        <f t="shared" si="281"/>
        <v>0</v>
      </c>
      <c r="BI404" s="3166">
        <f t="shared" si="282"/>
        <v>0</v>
      </c>
      <c r="BJ404" s="3166">
        <f t="shared" si="283"/>
        <v>0</v>
      </c>
      <c r="BK404" s="3166">
        <f t="shared" si="284"/>
        <v>0</v>
      </c>
      <c r="BL404" s="3166">
        <f t="shared" si="285"/>
        <v>0</v>
      </c>
      <c r="BM404" s="3166">
        <f t="shared" si="286"/>
        <v>0</v>
      </c>
      <c r="BN404" s="3166">
        <f t="shared" si="287"/>
        <v>0</v>
      </c>
      <c r="BO404" s="3166">
        <f t="shared" si="288"/>
        <v>0</v>
      </c>
      <c r="BP404" s="3166">
        <f t="shared" si="289"/>
        <v>0</v>
      </c>
      <c r="BQ404" s="3166">
        <f t="shared" si="290"/>
        <v>0</v>
      </c>
      <c r="BR404" s="3166">
        <f t="shared" si="291"/>
        <v>0</v>
      </c>
      <c r="BS404" s="3166">
        <f t="shared" si="292"/>
        <v>0</v>
      </c>
      <c r="BT404" s="3240">
        <f t="shared" si="293"/>
        <v>0</v>
      </c>
    </row>
    <row r="405" spans="1:72">
      <c r="A405" s="3163"/>
      <c r="B405" s="3173"/>
      <c r="C405" s="3171"/>
      <c r="D405" s="3172"/>
      <c r="E405" s="3166">
        <f t="shared" si="265"/>
        <v>0</v>
      </c>
      <c r="F405" s="3167"/>
      <c r="G405" s="3168">
        <f t="shared" si="266"/>
        <v>0</v>
      </c>
      <c r="H405" s="3169">
        <f t="shared" si="267"/>
        <v>0</v>
      </c>
      <c r="I405" s="3175"/>
      <c r="J405" s="3187"/>
      <c r="K405" s="3175"/>
      <c r="L405" s="3187"/>
      <c r="M405" s="3187"/>
      <c r="N405" s="3187"/>
      <c r="O405" s="3187"/>
      <c r="P405" s="3187"/>
      <c r="Q405" s="3187"/>
      <c r="R405" s="3187"/>
      <c r="S405" s="3187"/>
      <c r="T405" s="3187"/>
      <c r="U405" s="3187"/>
      <c r="V405" s="3187"/>
      <c r="W405" s="3187"/>
      <c r="X405" s="3187"/>
      <c r="Y405" s="3187"/>
      <c r="Z405" s="3187"/>
      <c r="AA405" s="3187"/>
      <c r="AB405" s="3187"/>
      <c r="AC405" s="3166">
        <f t="shared" si="268"/>
        <v>0</v>
      </c>
      <c r="AD405" s="3198"/>
      <c r="AE405" s="3198"/>
      <c r="AF405" s="3175"/>
      <c r="AG405" s="3198"/>
      <c r="AH405" s="3198"/>
      <c r="AI405" s="3198"/>
      <c r="AJ405" s="3198"/>
      <c r="AK405" s="3198"/>
      <c r="AL405" s="3198"/>
      <c r="AM405" s="3198"/>
      <c r="AN405" s="3198"/>
      <c r="AO405" s="3198"/>
      <c r="AP405" s="3198"/>
      <c r="AQ405" s="3198"/>
      <c r="AR405" s="3198"/>
      <c r="AS405" s="3198"/>
      <c r="AT405" s="3218"/>
      <c r="AU405" s="3219"/>
      <c r="AV405" s="488">
        <f t="shared" si="269"/>
        <v>0</v>
      </c>
      <c r="AW405" s="488">
        <f t="shared" si="270"/>
        <v>0</v>
      </c>
      <c r="AX405" s="488">
        <f t="shared" si="271"/>
        <v>0</v>
      </c>
      <c r="AY405" s="3235">
        <f t="shared" si="272"/>
        <v>0</v>
      </c>
      <c r="AZ405" s="3166">
        <f t="shared" si="273"/>
        <v>0</v>
      </c>
      <c r="BA405" s="3166">
        <f t="shared" si="274"/>
        <v>0</v>
      </c>
      <c r="BB405" s="3166">
        <f t="shared" si="275"/>
        <v>0</v>
      </c>
      <c r="BC405" s="3166">
        <f t="shared" si="276"/>
        <v>0</v>
      </c>
      <c r="BD405" s="3166">
        <f t="shared" si="277"/>
        <v>0</v>
      </c>
      <c r="BE405" s="3166">
        <f t="shared" si="278"/>
        <v>0</v>
      </c>
      <c r="BF405" s="3166">
        <f t="shared" si="279"/>
        <v>0</v>
      </c>
      <c r="BG405" s="3166">
        <f t="shared" si="280"/>
        <v>0</v>
      </c>
      <c r="BH405" s="3166">
        <f t="shared" si="281"/>
        <v>0</v>
      </c>
      <c r="BI405" s="3166">
        <f t="shared" si="282"/>
        <v>0</v>
      </c>
      <c r="BJ405" s="3166">
        <f t="shared" si="283"/>
        <v>0</v>
      </c>
      <c r="BK405" s="3166">
        <f t="shared" si="284"/>
        <v>0</v>
      </c>
      <c r="BL405" s="3166">
        <f t="shared" si="285"/>
        <v>0</v>
      </c>
      <c r="BM405" s="3166">
        <f t="shared" si="286"/>
        <v>0</v>
      </c>
      <c r="BN405" s="3166">
        <f t="shared" si="287"/>
        <v>0</v>
      </c>
      <c r="BO405" s="3166">
        <f t="shared" si="288"/>
        <v>0</v>
      </c>
      <c r="BP405" s="3166">
        <f t="shared" si="289"/>
        <v>0</v>
      </c>
      <c r="BQ405" s="3166">
        <f t="shared" si="290"/>
        <v>0</v>
      </c>
      <c r="BR405" s="3166">
        <f t="shared" si="291"/>
        <v>0</v>
      </c>
      <c r="BS405" s="3166">
        <f t="shared" si="292"/>
        <v>0</v>
      </c>
      <c r="BT405" s="3240">
        <f t="shared" si="293"/>
        <v>0</v>
      </c>
    </row>
    <row r="406" spans="1:72">
      <c r="A406" s="3163"/>
      <c r="B406" s="3173"/>
      <c r="C406" s="3171"/>
      <c r="D406" s="3172"/>
      <c r="E406" s="3166">
        <f t="shared" si="265"/>
        <v>0</v>
      </c>
      <c r="F406" s="3167"/>
      <c r="G406" s="3168">
        <f t="shared" si="266"/>
        <v>0</v>
      </c>
      <c r="H406" s="3169">
        <f t="shared" si="267"/>
        <v>0</v>
      </c>
      <c r="I406" s="3175"/>
      <c r="J406" s="3187"/>
      <c r="K406" s="3175"/>
      <c r="L406" s="3187"/>
      <c r="M406" s="3187"/>
      <c r="N406" s="3187"/>
      <c r="O406" s="3187"/>
      <c r="P406" s="3187"/>
      <c r="Q406" s="3187"/>
      <c r="R406" s="3187"/>
      <c r="S406" s="3187"/>
      <c r="T406" s="3187"/>
      <c r="U406" s="3187"/>
      <c r="V406" s="3187"/>
      <c r="W406" s="3187"/>
      <c r="X406" s="3187"/>
      <c r="Y406" s="3187"/>
      <c r="Z406" s="3187"/>
      <c r="AA406" s="3187"/>
      <c r="AB406" s="3187"/>
      <c r="AC406" s="3166">
        <f t="shared" si="268"/>
        <v>0</v>
      </c>
      <c r="AD406" s="3198"/>
      <c r="AE406" s="3198"/>
      <c r="AF406" s="3175"/>
      <c r="AG406" s="3198"/>
      <c r="AH406" s="3198"/>
      <c r="AI406" s="3198"/>
      <c r="AJ406" s="3198"/>
      <c r="AK406" s="3198"/>
      <c r="AL406" s="3198"/>
      <c r="AM406" s="3198"/>
      <c r="AN406" s="3198"/>
      <c r="AO406" s="3198"/>
      <c r="AP406" s="3198"/>
      <c r="AQ406" s="3198"/>
      <c r="AR406" s="3198"/>
      <c r="AS406" s="3198"/>
      <c r="AT406" s="3218"/>
      <c r="AU406" s="3219"/>
      <c r="AV406" s="488">
        <f t="shared" si="269"/>
        <v>0</v>
      </c>
      <c r="AW406" s="488">
        <f t="shared" si="270"/>
        <v>0</v>
      </c>
      <c r="AX406" s="488">
        <f t="shared" si="271"/>
        <v>0</v>
      </c>
      <c r="AY406" s="3235">
        <f t="shared" si="272"/>
        <v>0</v>
      </c>
      <c r="AZ406" s="3166">
        <f t="shared" si="273"/>
        <v>0</v>
      </c>
      <c r="BA406" s="3166">
        <f t="shared" si="274"/>
        <v>0</v>
      </c>
      <c r="BB406" s="3166">
        <f t="shared" si="275"/>
        <v>0</v>
      </c>
      <c r="BC406" s="3166">
        <f t="shared" si="276"/>
        <v>0</v>
      </c>
      <c r="BD406" s="3166">
        <f t="shared" si="277"/>
        <v>0</v>
      </c>
      <c r="BE406" s="3166">
        <f t="shared" si="278"/>
        <v>0</v>
      </c>
      <c r="BF406" s="3166">
        <f t="shared" si="279"/>
        <v>0</v>
      </c>
      <c r="BG406" s="3166">
        <f t="shared" si="280"/>
        <v>0</v>
      </c>
      <c r="BH406" s="3166">
        <f t="shared" si="281"/>
        <v>0</v>
      </c>
      <c r="BI406" s="3166">
        <f t="shared" si="282"/>
        <v>0</v>
      </c>
      <c r="BJ406" s="3166">
        <f t="shared" si="283"/>
        <v>0</v>
      </c>
      <c r="BK406" s="3166">
        <f t="shared" si="284"/>
        <v>0</v>
      </c>
      <c r="BL406" s="3166">
        <f t="shared" si="285"/>
        <v>0</v>
      </c>
      <c r="BM406" s="3166">
        <f t="shared" si="286"/>
        <v>0</v>
      </c>
      <c r="BN406" s="3166">
        <f t="shared" si="287"/>
        <v>0</v>
      </c>
      <c r="BO406" s="3166">
        <f t="shared" si="288"/>
        <v>0</v>
      </c>
      <c r="BP406" s="3166">
        <f t="shared" si="289"/>
        <v>0</v>
      </c>
      <c r="BQ406" s="3166">
        <f t="shared" si="290"/>
        <v>0</v>
      </c>
      <c r="BR406" s="3166">
        <f t="shared" si="291"/>
        <v>0</v>
      </c>
      <c r="BS406" s="3166">
        <f t="shared" si="292"/>
        <v>0</v>
      </c>
      <c r="BT406" s="3240">
        <f t="shared" si="293"/>
        <v>0</v>
      </c>
    </row>
    <row r="407" spans="1:72">
      <c r="A407" s="3163"/>
      <c r="B407" s="3173"/>
      <c r="C407" s="3171"/>
      <c r="D407" s="3172"/>
      <c r="E407" s="3166">
        <f t="shared" si="265"/>
        <v>0</v>
      </c>
      <c r="F407" s="3167"/>
      <c r="G407" s="3168">
        <f t="shared" si="266"/>
        <v>0</v>
      </c>
      <c r="H407" s="3169">
        <f t="shared" si="267"/>
        <v>0</v>
      </c>
      <c r="I407" s="3175"/>
      <c r="J407" s="3187"/>
      <c r="K407" s="3175"/>
      <c r="L407" s="3187"/>
      <c r="M407" s="3187"/>
      <c r="N407" s="3187"/>
      <c r="O407" s="3187"/>
      <c r="P407" s="3187"/>
      <c r="Q407" s="3187"/>
      <c r="R407" s="3187"/>
      <c r="S407" s="3187"/>
      <c r="T407" s="3187"/>
      <c r="U407" s="3187"/>
      <c r="V407" s="3187"/>
      <c r="W407" s="3187"/>
      <c r="X407" s="3187"/>
      <c r="Y407" s="3187"/>
      <c r="Z407" s="3187"/>
      <c r="AA407" s="3187"/>
      <c r="AB407" s="3187"/>
      <c r="AC407" s="3166">
        <f t="shared" si="268"/>
        <v>0</v>
      </c>
      <c r="AD407" s="3198"/>
      <c r="AE407" s="3198"/>
      <c r="AF407" s="3175"/>
      <c r="AG407" s="3198"/>
      <c r="AH407" s="3198"/>
      <c r="AI407" s="3198"/>
      <c r="AJ407" s="3198"/>
      <c r="AK407" s="3198"/>
      <c r="AL407" s="3198"/>
      <c r="AM407" s="3198"/>
      <c r="AN407" s="3198"/>
      <c r="AO407" s="3198"/>
      <c r="AP407" s="3198"/>
      <c r="AQ407" s="3198"/>
      <c r="AR407" s="3198"/>
      <c r="AS407" s="3198"/>
      <c r="AT407" s="3218"/>
      <c r="AU407" s="3219"/>
      <c r="AV407" s="488">
        <f t="shared" si="269"/>
        <v>0</v>
      </c>
      <c r="AW407" s="488">
        <f t="shared" si="270"/>
        <v>0</v>
      </c>
      <c r="AX407" s="488">
        <f t="shared" si="271"/>
        <v>0</v>
      </c>
      <c r="AY407" s="3235">
        <f t="shared" si="272"/>
        <v>0</v>
      </c>
      <c r="AZ407" s="3166">
        <f t="shared" si="273"/>
        <v>0</v>
      </c>
      <c r="BA407" s="3166">
        <f t="shared" si="274"/>
        <v>0</v>
      </c>
      <c r="BB407" s="3166">
        <f t="shared" si="275"/>
        <v>0</v>
      </c>
      <c r="BC407" s="3166">
        <f t="shared" si="276"/>
        <v>0</v>
      </c>
      <c r="BD407" s="3166">
        <f t="shared" si="277"/>
        <v>0</v>
      </c>
      <c r="BE407" s="3166">
        <f t="shared" si="278"/>
        <v>0</v>
      </c>
      <c r="BF407" s="3166">
        <f t="shared" si="279"/>
        <v>0</v>
      </c>
      <c r="BG407" s="3166">
        <f t="shared" si="280"/>
        <v>0</v>
      </c>
      <c r="BH407" s="3166">
        <f t="shared" si="281"/>
        <v>0</v>
      </c>
      <c r="BI407" s="3166">
        <f t="shared" si="282"/>
        <v>0</v>
      </c>
      <c r="BJ407" s="3166">
        <f t="shared" si="283"/>
        <v>0</v>
      </c>
      <c r="BK407" s="3166">
        <f t="shared" si="284"/>
        <v>0</v>
      </c>
      <c r="BL407" s="3166">
        <f t="shared" si="285"/>
        <v>0</v>
      </c>
      <c r="BM407" s="3166">
        <f t="shared" si="286"/>
        <v>0</v>
      </c>
      <c r="BN407" s="3166">
        <f t="shared" si="287"/>
        <v>0</v>
      </c>
      <c r="BO407" s="3166">
        <f t="shared" si="288"/>
        <v>0</v>
      </c>
      <c r="BP407" s="3166">
        <f t="shared" si="289"/>
        <v>0</v>
      </c>
      <c r="BQ407" s="3166">
        <f t="shared" si="290"/>
        <v>0</v>
      </c>
      <c r="BR407" s="3166">
        <f t="shared" si="291"/>
        <v>0</v>
      </c>
      <c r="BS407" s="3166">
        <f t="shared" si="292"/>
        <v>0</v>
      </c>
      <c r="BT407" s="3240">
        <f t="shared" si="293"/>
        <v>0</v>
      </c>
    </row>
    <row r="408" spans="1:72">
      <c r="A408" s="3163"/>
      <c r="B408" s="3173"/>
      <c r="C408" s="3171"/>
      <c r="D408" s="3172"/>
      <c r="E408" s="3166">
        <f t="shared" si="265"/>
        <v>0</v>
      </c>
      <c r="F408" s="3167"/>
      <c r="G408" s="3168">
        <f t="shared" si="266"/>
        <v>0</v>
      </c>
      <c r="H408" s="3169">
        <f t="shared" si="267"/>
        <v>0</v>
      </c>
      <c r="I408" s="3175"/>
      <c r="J408" s="3187"/>
      <c r="K408" s="3175"/>
      <c r="L408" s="3187"/>
      <c r="M408" s="3187"/>
      <c r="N408" s="3187"/>
      <c r="O408" s="3187"/>
      <c r="P408" s="3187"/>
      <c r="Q408" s="3187"/>
      <c r="R408" s="3187"/>
      <c r="S408" s="3187"/>
      <c r="T408" s="3187"/>
      <c r="U408" s="3187"/>
      <c r="V408" s="3187"/>
      <c r="W408" s="3187"/>
      <c r="X408" s="3187"/>
      <c r="Y408" s="3187"/>
      <c r="Z408" s="3187"/>
      <c r="AA408" s="3187"/>
      <c r="AB408" s="3187"/>
      <c r="AC408" s="3166">
        <f t="shared" si="268"/>
        <v>0</v>
      </c>
      <c r="AD408" s="3198"/>
      <c r="AE408" s="3198"/>
      <c r="AF408" s="3175"/>
      <c r="AG408" s="3198"/>
      <c r="AH408" s="3198"/>
      <c r="AI408" s="3198"/>
      <c r="AJ408" s="3198"/>
      <c r="AK408" s="3198"/>
      <c r="AL408" s="3198"/>
      <c r="AM408" s="3198"/>
      <c r="AN408" s="3198"/>
      <c r="AO408" s="3198"/>
      <c r="AP408" s="3198"/>
      <c r="AQ408" s="3198"/>
      <c r="AR408" s="3198"/>
      <c r="AS408" s="3198"/>
      <c r="AT408" s="3218"/>
      <c r="AU408" s="3219"/>
      <c r="AV408" s="488">
        <f t="shared" si="269"/>
        <v>0</v>
      </c>
      <c r="AW408" s="488">
        <f t="shared" si="270"/>
        <v>0</v>
      </c>
      <c r="AX408" s="488">
        <f t="shared" si="271"/>
        <v>0</v>
      </c>
      <c r="AY408" s="3235">
        <f t="shared" si="272"/>
        <v>0</v>
      </c>
      <c r="AZ408" s="3166">
        <f t="shared" si="273"/>
        <v>0</v>
      </c>
      <c r="BA408" s="3166">
        <f t="shared" si="274"/>
        <v>0</v>
      </c>
      <c r="BB408" s="3166">
        <f t="shared" si="275"/>
        <v>0</v>
      </c>
      <c r="BC408" s="3166">
        <f t="shared" si="276"/>
        <v>0</v>
      </c>
      <c r="BD408" s="3166">
        <f t="shared" si="277"/>
        <v>0</v>
      </c>
      <c r="BE408" s="3166">
        <f t="shared" si="278"/>
        <v>0</v>
      </c>
      <c r="BF408" s="3166">
        <f t="shared" si="279"/>
        <v>0</v>
      </c>
      <c r="BG408" s="3166">
        <f t="shared" si="280"/>
        <v>0</v>
      </c>
      <c r="BH408" s="3166">
        <f t="shared" si="281"/>
        <v>0</v>
      </c>
      <c r="BI408" s="3166">
        <f t="shared" si="282"/>
        <v>0</v>
      </c>
      <c r="BJ408" s="3166">
        <f t="shared" si="283"/>
        <v>0</v>
      </c>
      <c r="BK408" s="3166">
        <f t="shared" si="284"/>
        <v>0</v>
      </c>
      <c r="BL408" s="3166">
        <f t="shared" si="285"/>
        <v>0</v>
      </c>
      <c r="BM408" s="3166">
        <f t="shared" si="286"/>
        <v>0</v>
      </c>
      <c r="BN408" s="3166">
        <f t="shared" si="287"/>
        <v>0</v>
      </c>
      <c r="BO408" s="3166">
        <f t="shared" si="288"/>
        <v>0</v>
      </c>
      <c r="BP408" s="3166">
        <f t="shared" si="289"/>
        <v>0</v>
      </c>
      <c r="BQ408" s="3166">
        <f t="shared" si="290"/>
        <v>0</v>
      </c>
      <c r="BR408" s="3166">
        <f t="shared" si="291"/>
        <v>0</v>
      </c>
      <c r="BS408" s="3166">
        <f t="shared" si="292"/>
        <v>0</v>
      </c>
      <c r="BT408" s="3240">
        <f t="shared" si="293"/>
        <v>0</v>
      </c>
    </row>
    <row r="409" spans="1:72">
      <c r="A409" s="3163"/>
      <c r="B409" s="3173"/>
      <c r="C409" s="3171"/>
      <c r="D409" s="3172"/>
      <c r="E409" s="3166">
        <f t="shared" si="265"/>
        <v>0</v>
      </c>
      <c r="F409" s="3167"/>
      <c r="G409" s="3168">
        <f t="shared" si="266"/>
        <v>0</v>
      </c>
      <c r="H409" s="3169">
        <f t="shared" si="267"/>
        <v>0</v>
      </c>
      <c r="I409" s="3175"/>
      <c r="J409" s="3187"/>
      <c r="K409" s="3175"/>
      <c r="L409" s="3187"/>
      <c r="M409" s="3187"/>
      <c r="N409" s="3187"/>
      <c r="O409" s="3187"/>
      <c r="P409" s="3187"/>
      <c r="Q409" s="3187"/>
      <c r="R409" s="3187"/>
      <c r="S409" s="3187"/>
      <c r="T409" s="3187"/>
      <c r="U409" s="3187"/>
      <c r="V409" s="3187"/>
      <c r="W409" s="3187"/>
      <c r="X409" s="3187"/>
      <c r="Y409" s="3187"/>
      <c r="Z409" s="3187"/>
      <c r="AA409" s="3187"/>
      <c r="AB409" s="3187"/>
      <c r="AC409" s="3166">
        <f t="shared" si="268"/>
        <v>0</v>
      </c>
      <c r="AD409" s="3198"/>
      <c r="AE409" s="3198"/>
      <c r="AF409" s="3175"/>
      <c r="AG409" s="3198"/>
      <c r="AH409" s="3198"/>
      <c r="AI409" s="3198"/>
      <c r="AJ409" s="3198"/>
      <c r="AK409" s="3198"/>
      <c r="AL409" s="3198"/>
      <c r="AM409" s="3198"/>
      <c r="AN409" s="3198"/>
      <c r="AO409" s="3198"/>
      <c r="AP409" s="3198"/>
      <c r="AQ409" s="3198"/>
      <c r="AR409" s="3198"/>
      <c r="AS409" s="3198"/>
      <c r="AT409" s="3218"/>
      <c r="AU409" s="3219"/>
      <c r="AV409" s="488">
        <f t="shared" si="269"/>
        <v>0</v>
      </c>
      <c r="AW409" s="488">
        <f t="shared" si="270"/>
        <v>0</v>
      </c>
      <c r="AX409" s="488">
        <f t="shared" si="271"/>
        <v>0</v>
      </c>
      <c r="AY409" s="3235">
        <f t="shared" si="272"/>
        <v>0</v>
      </c>
      <c r="AZ409" s="3166">
        <f t="shared" si="273"/>
        <v>0</v>
      </c>
      <c r="BA409" s="3166">
        <f t="shared" si="274"/>
        <v>0</v>
      </c>
      <c r="BB409" s="3166">
        <f t="shared" si="275"/>
        <v>0</v>
      </c>
      <c r="BC409" s="3166">
        <f t="shared" si="276"/>
        <v>0</v>
      </c>
      <c r="BD409" s="3166">
        <f t="shared" si="277"/>
        <v>0</v>
      </c>
      <c r="BE409" s="3166">
        <f t="shared" si="278"/>
        <v>0</v>
      </c>
      <c r="BF409" s="3166">
        <f t="shared" si="279"/>
        <v>0</v>
      </c>
      <c r="BG409" s="3166">
        <f t="shared" si="280"/>
        <v>0</v>
      </c>
      <c r="BH409" s="3166">
        <f t="shared" si="281"/>
        <v>0</v>
      </c>
      <c r="BI409" s="3166">
        <f t="shared" si="282"/>
        <v>0</v>
      </c>
      <c r="BJ409" s="3166">
        <f t="shared" si="283"/>
        <v>0</v>
      </c>
      <c r="BK409" s="3166">
        <f t="shared" si="284"/>
        <v>0</v>
      </c>
      <c r="BL409" s="3166">
        <f t="shared" si="285"/>
        <v>0</v>
      </c>
      <c r="BM409" s="3166">
        <f t="shared" si="286"/>
        <v>0</v>
      </c>
      <c r="BN409" s="3166">
        <f t="shared" si="287"/>
        <v>0</v>
      </c>
      <c r="BO409" s="3166">
        <f t="shared" si="288"/>
        <v>0</v>
      </c>
      <c r="BP409" s="3166">
        <f t="shared" si="289"/>
        <v>0</v>
      </c>
      <c r="BQ409" s="3166">
        <f t="shared" si="290"/>
        <v>0</v>
      </c>
      <c r="BR409" s="3166">
        <f t="shared" si="291"/>
        <v>0</v>
      </c>
      <c r="BS409" s="3166">
        <f t="shared" si="292"/>
        <v>0</v>
      </c>
      <c r="BT409" s="3240">
        <f t="shared" si="293"/>
        <v>0</v>
      </c>
    </row>
    <row r="410" spans="1:72">
      <c r="A410" s="3163"/>
      <c r="B410" s="3173"/>
      <c r="C410" s="3171"/>
      <c r="D410" s="3172"/>
      <c r="E410" s="3166">
        <f t="shared" si="265"/>
        <v>0</v>
      </c>
      <c r="F410" s="3167"/>
      <c r="G410" s="3168">
        <f t="shared" si="266"/>
        <v>0</v>
      </c>
      <c r="H410" s="3169">
        <f t="shared" si="267"/>
        <v>0</v>
      </c>
      <c r="I410" s="3175"/>
      <c r="J410" s="3187"/>
      <c r="K410" s="3175"/>
      <c r="L410" s="3187"/>
      <c r="M410" s="3187"/>
      <c r="N410" s="3187"/>
      <c r="O410" s="3187"/>
      <c r="P410" s="3187"/>
      <c r="Q410" s="3187"/>
      <c r="R410" s="3187"/>
      <c r="S410" s="3187"/>
      <c r="T410" s="3187"/>
      <c r="U410" s="3187"/>
      <c r="V410" s="3187"/>
      <c r="W410" s="3187"/>
      <c r="X410" s="3187"/>
      <c r="Y410" s="3187"/>
      <c r="Z410" s="3187"/>
      <c r="AA410" s="3187"/>
      <c r="AB410" s="3187"/>
      <c r="AC410" s="3166">
        <f t="shared" si="268"/>
        <v>0</v>
      </c>
      <c r="AD410" s="3198"/>
      <c r="AE410" s="3198"/>
      <c r="AF410" s="3175"/>
      <c r="AG410" s="3198"/>
      <c r="AH410" s="3198"/>
      <c r="AI410" s="3198"/>
      <c r="AJ410" s="3198"/>
      <c r="AK410" s="3198"/>
      <c r="AL410" s="3198"/>
      <c r="AM410" s="3198"/>
      <c r="AN410" s="3198"/>
      <c r="AO410" s="3198"/>
      <c r="AP410" s="3198"/>
      <c r="AQ410" s="3198"/>
      <c r="AR410" s="3198"/>
      <c r="AS410" s="3198"/>
      <c r="AT410" s="3218"/>
      <c r="AU410" s="3219"/>
      <c r="AV410" s="488">
        <f t="shared" si="269"/>
        <v>0</v>
      </c>
      <c r="AW410" s="488">
        <f t="shared" si="270"/>
        <v>0</v>
      </c>
      <c r="AX410" s="488">
        <f t="shared" si="271"/>
        <v>0</v>
      </c>
      <c r="AY410" s="3235">
        <f t="shared" si="272"/>
        <v>0</v>
      </c>
      <c r="AZ410" s="3166">
        <f t="shared" si="273"/>
        <v>0</v>
      </c>
      <c r="BA410" s="3166">
        <f t="shared" si="274"/>
        <v>0</v>
      </c>
      <c r="BB410" s="3166">
        <f t="shared" si="275"/>
        <v>0</v>
      </c>
      <c r="BC410" s="3166">
        <f t="shared" si="276"/>
        <v>0</v>
      </c>
      <c r="BD410" s="3166">
        <f t="shared" si="277"/>
        <v>0</v>
      </c>
      <c r="BE410" s="3166">
        <f t="shared" si="278"/>
        <v>0</v>
      </c>
      <c r="BF410" s="3166">
        <f t="shared" si="279"/>
        <v>0</v>
      </c>
      <c r="BG410" s="3166">
        <f t="shared" si="280"/>
        <v>0</v>
      </c>
      <c r="BH410" s="3166">
        <f t="shared" si="281"/>
        <v>0</v>
      </c>
      <c r="BI410" s="3166">
        <f t="shared" si="282"/>
        <v>0</v>
      </c>
      <c r="BJ410" s="3166">
        <f t="shared" si="283"/>
        <v>0</v>
      </c>
      <c r="BK410" s="3166">
        <f t="shared" si="284"/>
        <v>0</v>
      </c>
      <c r="BL410" s="3166">
        <f t="shared" si="285"/>
        <v>0</v>
      </c>
      <c r="BM410" s="3166">
        <f t="shared" si="286"/>
        <v>0</v>
      </c>
      <c r="BN410" s="3166">
        <f t="shared" si="287"/>
        <v>0</v>
      </c>
      <c r="BO410" s="3166">
        <f t="shared" si="288"/>
        <v>0</v>
      </c>
      <c r="BP410" s="3166">
        <f t="shared" si="289"/>
        <v>0</v>
      </c>
      <c r="BQ410" s="3166">
        <f t="shared" si="290"/>
        <v>0</v>
      </c>
      <c r="BR410" s="3166">
        <f t="shared" si="291"/>
        <v>0</v>
      </c>
      <c r="BS410" s="3166">
        <f t="shared" si="292"/>
        <v>0</v>
      </c>
      <c r="BT410" s="3240">
        <f t="shared" si="293"/>
        <v>0</v>
      </c>
    </row>
    <row r="411" spans="1:72">
      <c r="A411" s="3163"/>
      <c r="B411" s="3173"/>
      <c r="C411" s="3171"/>
      <c r="D411" s="3172"/>
      <c r="E411" s="3166">
        <f t="shared" si="265"/>
        <v>0</v>
      </c>
      <c r="F411" s="3167"/>
      <c r="G411" s="3168">
        <f t="shared" si="266"/>
        <v>0</v>
      </c>
      <c r="H411" s="3169">
        <f t="shared" si="267"/>
        <v>0</v>
      </c>
      <c r="I411" s="3175"/>
      <c r="J411" s="3187"/>
      <c r="K411" s="3175"/>
      <c r="L411" s="3187"/>
      <c r="M411" s="3187"/>
      <c r="N411" s="3187"/>
      <c r="O411" s="3187"/>
      <c r="P411" s="3187"/>
      <c r="Q411" s="3187"/>
      <c r="R411" s="3187"/>
      <c r="S411" s="3187"/>
      <c r="T411" s="3187"/>
      <c r="U411" s="3187"/>
      <c r="V411" s="3187"/>
      <c r="W411" s="3187"/>
      <c r="X411" s="3187"/>
      <c r="Y411" s="3187"/>
      <c r="Z411" s="3187"/>
      <c r="AA411" s="3187"/>
      <c r="AB411" s="3187"/>
      <c r="AC411" s="3166">
        <f t="shared" si="268"/>
        <v>0</v>
      </c>
      <c r="AD411" s="3198"/>
      <c r="AE411" s="3198"/>
      <c r="AF411" s="3175"/>
      <c r="AG411" s="3198"/>
      <c r="AH411" s="3198"/>
      <c r="AI411" s="3198"/>
      <c r="AJ411" s="3198"/>
      <c r="AK411" s="3198"/>
      <c r="AL411" s="3198"/>
      <c r="AM411" s="3198"/>
      <c r="AN411" s="3198"/>
      <c r="AO411" s="3198"/>
      <c r="AP411" s="3198"/>
      <c r="AQ411" s="3198"/>
      <c r="AR411" s="3198"/>
      <c r="AS411" s="3198"/>
      <c r="AT411" s="3218"/>
      <c r="AU411" s="3219"/>
      <c r="AV411" s="488">
        <f t="shared" si="269"/>
        <v>0</v>
      </c>
      <c r="AW411" s="488">
        <f t="shared" si="270"/>
        <v>0</v>
      </c>
      <c r="AX411" s="488">
        <f t="shared" si="271"/>
        <v>0</v>
      </c>
      <c r="AY411" s="3235">
        <f t="shared" si="272"/>
        <v>0</v>
      </c>
      <c r="AZ411" s="3166">
        <f t="shared" si="273"/>
        <v>0</v>
      </c>
      <c r="BA411" s="3166">
        <f t="shared" si="274"/>
        <v>0</v>
      </c>
      <c r="BB411" s="3166">
        <f t="shared" si="275"/>
        <v>0</v>
      </c>
      <c r="BC411" s="3166">
        <f t="shared" si="276"/>
        <v>0</v>
      </c>
      <c r="BD411" s="3166">
        <f t="shared" si="277"/>
        <v>0</v>
      </c>
      <c r="BE411" s="3166">
        <f t="shared" si="278"/>
        <v>0</v>
      </c>
      <c r="BF411" s="3166">
        <f t="shared" si="279"/>
        <v>0</v>
      </c>
      <c r="BG411" s="3166">
        <f t="shared" si="280"/>
        <v>0</v>
      </c>
      <c r="BH411" s="3166">
        <f t="shared" si="281"/>
        <v>0</v>
      </c>
      <c r="BI411" s="3166">
        <f t="shared" si="282"/>
        <v>0</v>
      </c>
      <c r="BJ411" s="3166">
        <f t="shared" si="283"/>
        <v>0</v>
      </c>
      <c r="BK411" s="3166">
        <f t="shared" si="284"/>
        <v>0</v>
      </c>
      <c r="BL411" s="3166">
        <f t="shared" si="285"/>
        <v>0</v>
      </c>
      <c r="BM411" s="3166">
        <f t="shared" si="286"/>
        <v>0</v>
      </c>
      <c r="BN411" s="3166">
        <f t="shared" si="287"/>
        <v>0</v>
      </c>
      <c r="BO411" s="3166">
        <f t="shared" si="288"/>
        <v>0</v>
      </c>
      <c r="BP411" s="3166">
        <f t="shared" si="289"/>
        <v>0</v>
      </c>
      <c r="BQ411" s="3166">
        <f t="shared" si="290"/>
        <v>0</v>
      </c>
      <c r="BR411" s="3166">
        <f t="shared" si="291"/>
        <v>0</v>
      </c>
      <c r="BS411" s="3166">
        <f t="shared" si="292"/>
        <v>0</v>
      </c>
      <c r="BT411" s="3240">
        <f t="shared" si="293"/>
        <v>0</v>
      </c>
    </row>
    <row r="412" spans="1:72">
      <c r="A412" s="3163"/>
      <c r="B412" s="3173"/>
      <c r="C412" s="3171"/>
      <c r="D412" s="3172"/>
      <c r="E412" s="3166">
        <f t="shared" si="265"/>
        <v>0</v>
      </c>
      <c r="F412" s="3167"/>
      <c r="G412" s="3168">
        <f t="shared" si="266"/>
        <v>0</v>
      </c>
      <c r="H412" s="3169">
        <f t="shared" si="267"/>
        <v>0</v>
      </c>
      <c r="I412" s="3175"/>
      <c r="J412" s="3187"/>
      <c r="K412" s="3175"/>
      <c r="L412" s="3187"/>
      <c r="M412" s="3187"/>
      <c r="N412" s="3187"/>
      <c r="O412" s="3187"/>
      <c r="P412" s="3187"/>
      <c r="Q412" s="3187"/>
      <c r="R412" s="3187"/>
      <c r="S412" s="3187"/>
      <c r="T412" s="3187"/>
      <c r="U412" s="3187"/>
      <c r="V412" s="3187"/>
      <c r="W412" s="3187"/>
      <c r="X412" s="3187"/>
      <c r="Y412" s="3187"/>
      <c r="Z412" s="3187"/>
      <c r="AA412" s="3187"/>
      <c r="AB412" s="3187"/>
      <c r="AC412" s="3166">
        <f t="shared" si="268"/>
        <v>0</v>
      </c>
      <c r="AD412" s="3198"/>
      <c r="AE412" s="3198"/>
      <c r="AF412" s="3175"/>
      <c r="AG412" s="3198"/>
      <c r="AH412" s="3198"/>
      <c r="AI412" s="3198"/>
      <c r="AJ412" s="3198"/>
      <c r="AK412" s="3198"/>
      <c r="AL412" s="3198"/>
      <c r="AM412" s="3198"/>
      <c r="AN412" s="3198"/>
      <c r="AO412" s="3198"/>
      <c r="AP412" s="3198"/>
      <c r="AQ412" s="3198"/>
      <c r="AR412" s="3198"/>
      <c r="AS412" s="3198"/>
      <c r="AT412" s="3218"/>
      <c r="AU412" s="3219"/>
      <c r="AV412" s="488">
        <f t="shared" si="269"/>
        <v>0</v>
      </c>
      <c r="AW412" s="488">
        <f t="shared" si="270"/>
        <v>0</v>
      </c>
      <c r="AX412" s="488">
        <f t="shared" si="271"/>
        <v>0</v>
      </c>
      <c r="AY412" s="3235">
        <f t="shared" si="272"/>
        <v>0</v>
      </c>
      <c r="AZ412" s="3166">
        <f t="shared" si="273"/>
        <v>0</v>
      </c>
      <c r="BA412" s="3166">
        <f t="shared" si="274"/>
        <v>0</v>
      </c>
      <c r="BB412" s="3166">
        <f t="shared" si="275"/>
        <v>0</v>
      </c>
      <c r="BC412" s="3166">
        <f t="shared" si="276"/>
        <v>0</v>
      </c>
      <c r="BD412" s="3166">
        <f t="shared" si="277"/>
        <v>0</v>
      </c>
      <c r="BE412" s="3166">
        <f t="shared" si="278"/>
        <v>0</v>
      </c>
      <c r="BF412" s="3166">
        <f t="shared" si="279"/>
        <v>0</v>
      </c>
      <c r="BG412" s="3166">
        <f t="shared" si="280"/>
        <v>0</v>
      </c>
      <c r="BH412" s="3166">
        <f t="shared" si="281"/>
        <v>0</v>
      </c>
      <c r="BI412" s="3166">
        <f t="shared" si="282"/>
        <v>0</v>
      </c>
      <c r="BJ412" s="3166">
        <f t="shared" si="283"/>
        <v>0</v>
      </c>
      <c r="BK412" s="3166">
        <f t="shared" si="284"/>
        <v>0</v>
      </c>
      <c r="BL412" s="3166">
        <f t="shared" si="285"/>
        <v>0</v>
      </c>
      <c r="BM412" s="3166">
        <f t="shared" si="286"/>
        <v>0</v>
      </c>
      <c r="BN412" s="3166">
        <f t="shared" si="287"/>
        <v>0</v>
      </c>
      <c r="BO412" s="3166">
        <f t="shared" si="288"/>
        <v>0</v>
      </c>
      <c r="BP412" s="3166">
        <f t="shared" si="289"/>
        <v>0</v>
      </c>
      <c r="BQ412" s="3166">
        <f t="shared" si="290"/>
        <v>0</v>
      </c>
      <c r="BR412" s="3166">
        <f t="shared" si="291"/>
        <v>0</v>
      </c>
      <c r="BS412" s="3166">
        <f t="shared" si="292"/>
        <v>0</v>
      </c>
      <c r="BT412" s="3240">
        <f t="shared" si="293"/>
        <v>0</v>
      </c>
    </row>
    <row r="413" spans="1:72">
      <c r="A413" s="3163"/>
      <c r="B413" s="3173"/>
      <c r="C413" s="3171"/>
      <c r="D413" s="3172"/>
      <c r="E413" s="3166">
        <f t="shared" si="265"/>
        <v>0</v>
      </c>
      <c r="F413" s="3167"/>
      <c r="G413" s="3168">
        <f t="shared" si="266"/>
        <v>0</v>
      </c>
      <c r="H413" s="3169">
        <f t="shared" si="267"/>
        <v>0</v>
      </c>
      <c r="I413" s="3175"/>
      <c r="J413" s="3187"/>
      <c r="K413" s="3175"/>
      <c r="L413" s="3187"/>
      <c r="M413" s="3187"/>
      <c r="N413" s="3187"/>
      <c r="O413" s="3187"/>
      <c r="P413" s="3187"/>
      <c r="Q413" s="3187"/>
      <c r="R413" s="3187"/>
      <c r="S413" s="3187"/>
      <c r="T413" s="3187"/>
      <c r="U413" s="3187"/>
      <c r="V413" s="3187"/>
      <c r="W413" s="3187"/>
      <c r="X413" s="3187"/>
      <c r="Y413" s="3187"/>
      <c r="Z413" s="3187"/>
      <c r="AA413" s="3187"/>
      <c r="AB413" s="3187"/>
      <c r="AC413" s="3166">
        <f t="shared" si="268"/>
        <v>0</v>
      </c>
      <c r="AD413" s="3198"/>
      <c r="AE413" s="3198"/>
      <c r="AF413" s="3175"/>
      <c r="AG413" s="3198"/>
      <c r="AH413" s="3198"/>
      <c r="AI413" s="3198"/>
      <c r="AJ413" s="3198"/>
      <c r="AK413" s="3198"/>
      <c r="AL413" s="3198"/>
      <c r="AM413" s="3198"/>
      <c r="AN413" s="3198"/>
      <c r="AO413" s="3198"/>
      <c r="AP413" s="3198"/>
      <c r="AQ413" s="3198"/>
      <c r="AR413" s="3198"/>
      <c r="AS413" s="3198"/>
      <c r="AT413" s="3218"/>
      <c r="AU413" s="3219"/>
      <c r="AV413" s="488">
        <f t="shared" si="269"/>
        <v>0</v>
      </c>
      <c r="AW413" s="488">
        <f t="shared" si="270"/>
        <v>0</v>
      </c>
      <c r="AX413" s="488">
        <f t="shared" si="271"/>
        <v>0</v>
      </c>
      <c r="AY413" s="3235">
        <f t="shared" si="272"/>
        <v>0</v>
      </c>
      <c r="AZ413" s="3166">
        <f t="shared" si="273"/>
        <v>0</v>
      </c>
      <c r="BA413" s="3166">
        <f t="shared" si="274"/>
        <v>0</v>
      </c>
      <c r="BB413" s="3166">
        <f t="shared" si="275"/>
        <v>0</v>
      </c>
      <c r="BC413" s="3166">
        <f t="shared" si="276"/>
        <v>0</v>
      </c>
      <c r="BD413" s="3166">
        <f t="shared" si="277"/>
        <v>0</v>
      </c>
      <c r="BE413" s="3166">
        <f t="shared" si="278"/>
        <v>0</v>
      </c>
      <c r="BF413" s="3166">
        <f t="shared" si="279"/>
        <v>0</v>
      </c>
      <c r="BG413" s="3166">
        <f t="shared" si="280"/>
        <v>0</v>
      </c>
      <c r="BH413" s="3166">
        <f t="shared" si="281"/>
        <v>0</v>
      </c>
      <c r="BI413" s="3166">
        <f t="shared" si="282"/>
        <v>0</v>
      </c>
      <c r="BJ413" s="3166">
        <f t="shared" si="283"/>
        <v>0</v>
      </c>
      <c r="BK413" s="3166">
        <f t="shared" si="284"/>
        <v>0</v>
      </c>
      <c r="BL413" s="3166">
        <f t="shared" si="285"/>
        <v>0</v>
      </c>
      <c r="BM413" s="3166">
        <f t="shared" si="286"/>
        <v>0</v>
      </c>
      <c r="BN413" s="3166">
        <f t="shared" si="287"/>
        <v>0</v>
      </c>
      <c r="BO413" s="3166">
        <f t="shared" si="288"/>
        <v>0</v>
      </c>
      <c r="BP413" s="3166">
        <f t="shared" si="289"/>
        <v>0</v>
      </c>
      <c r="BQ413" s="3166">
        <f t="shared" si="290"/>
        <v>0</v>
      </c>
      <c r="BR413" s="3166">
        <f t="shared" si="291"/>
        <v>0</v>
      </c>
      <c r="BS413" s="3166">
        <f t="shared" si="292"/>
        <v>0</v>
      </c>
      <c r="BT413" s="3240">
        <f t="shared" si="293"/>
        <v>0</v>
      </c>
    </row>
    <row r="414" spans="1:72">
      <c r="A414" s="3163"/>
      <c r="B414" s="3173"/>
      <c r="C414" s="3171"/>
      <c r="D414" s="3172"/>
      <c r="E414" s="3166">
        <f t="shared" si="265"/>
        <v>0</v>
      </c>
      <c r="F414" s="3167"/>
      <c r="G414" s="3168">
        <f t="shared" si="266"/>
        <v>0</v>
      </c>
      <c r="H414" s="3169">
        <f t="shared" si="267"/>
        <v>0</v>
      </c>
      <c r="I414" s="3175"/>
      <c r="J414" s="3187"/>
      <c r="K414" s="3175"/>
      <c r="L414" s="3187"/>
      <c r="M414" s="3187"/>
      <c r="N414" s="3187"/>
      <c r="O414" s="3187"/>
      <c r="P414" s="3187"/>
      <c r="Q414" s="3187"/>
      <c r="R414" s="3187"/>
      <c r="S414" s="3187"/>
      <c r="T414" s="3187"/>
      <c r="U414" s="3187"/>
      <c r="V414" s="3187"/>
      <c r="W414" s="3187"/>
      <c r="X414" s="3187"/>
      <c r="Y414" s="3187"/>
      <c r="Z414" s="3187"/>
      <c r="AA414" s="3187"/>
      <c r="AB414" s="3187"/>
      <c r="AC414" s="3166">
        <f t="shared" si="268"/>
        <v>0</v>
      </c>
      <c r="AD414" s="3198"/>
      <c r="AE414" s="3198"/>
      <c r="AF414" s="3175"/>
      <c r="AG414" s="3198"/>
      <c r="AH414" s="3198"/>
      <c r="AI414" s="3198"/>
      <c r="AJ414" s="3198"/>
      <c r="AK414" s="3198"/>
      <c r="AL414" s="3198"/>
      <c r="AM414" s="3198"/>
      <c r="AN414" s="3198"/>
      <c r="AO414" s="3198"/>
      <c r="AP414" s="3198"/>
      <c r="AQ414" s="3198"/>
      <c r="AR414" s="3198"/>
      <c r="AS414" s="3198"/>
      <c r="AT414" s="3218"/>
      <c r="AU414" s="3219"/>
      <c r="AV414" s="488">
        <f t="shared" si="269"/>
        <v>0</v>
      </c>
      <c r="AW414" s="488">
        <f t="shared" si="270"/>
        <v>0</v>
      </c>
      <c r="AX414" s="488">
        <f t="shared" si="271"/>
        <v>0</v>
      </c>
      <c r="AY414" s="3235">
        <f t="shared" si="272"/>
        <v>0</v>
      </c>
      <c r="AZ414" s="3166">
        <f t="shared" si="273"/>
        <v>0</v>
      </c>
      <c r="BA414" s="3166">
        <f t="shared" si="274"/>
        <v>0</v>
      </c>
      <c r="BB414" s="3166">
        <f t="shared" si="275"/>
        <v>0</v>
      </c>
      <c r="BC414" s="3166">
        <f t="shared" si="276"/>
        <v>0</v>
      </c>
      <c r="BD414" s="3166">
        <f t="shared" si="277"/>
        <v>0</v>
      </c>
      <c r="BE414" s="3166">
        <f t="shared" si="278"/>
        <v>0</v>
      </c>
      <c r="BF414" s="3166">
        <f t="shared" si="279"/>
        <v>0</v>
      </c>
      <c r="BG414" s="3166">
        <f t="shared" si="280"/>
        <v>0</v>
      </c>
      <c r="BH414" s="3166">
        <f t="shared" si="281"/>
        <v>0</v>
      </c>
      <c r="BI414" s="3166">
        <f t="shared" si="282"/>
        <v>0</v>
      </c>
      <c r="BJ414" s="3166">
        <f t="shared" si="283"/>
        <v>0</v>
      </c>
      <c r="BK414" s="3166">
        <f t="shared" si="284"/>
        <v>0</v>
      </c>
      <c r="BL414" s="3166">
        <f t="shared" si="285"/>
        <v>0</v>
      </c>
      <c r="BM414" s="3166">
        <f t="shared" si="286"/>
        <v>0</v>
      </c>
      <c r="BN414" s="3166">
        <f t="shared" si="287"/>
        <v>0</v>
      </c>
      <c r="BO414" s="3166">
        <f t="shared" si="288"/>
        <v>0</v>
      </c>
      <c r="BP414" s="3166">
        <f t="shared" si="289"/>
        <v>0</v>
      </c>
      <c r="BQ414" s="3166">
        <f t="shared" si="290"/>
        <v>0</v>
      </c>
      <c r="BR414" s="3166">
        <f t="shared" si="291"/>
        <v>0</v>
      </c>
      <c r="BS414" s="3166">
        <f t="shared" si="292"/>
        <v>0</v>
      </c>
      <c r="BT414" s="3240">
        <f t="shared" si="293"/>
        <v>0</v>
      </c>
    </row>
    <row r="415" spans="1:72">
      <c r="A415" s="3163"/>
      <c r="B415" s="3173"/>
      <c r="C415" s="3171"/>
      <c r="D415" s="3172"/>
      <c r="E415" s="3166">
        <f t="shared" si="265"/>
        <v>0</v>
      </c>
      <c r="F415" s="3167"/>
      <c r="G415" s="3168">
        <f t="shared" si="266"/>
        <v>0</v>
      </c>
      <c r="H415" s="3169">
        <f t="shared" si="267"/>
        <v>0</v>
      </c>
      <c r="I415" s="3175"/>
      <c r="J415" s="3187"/>
      <c r="K415" s="3175"/>
      <c r="L415" s="3187"/>
      <c r="M415" s="3187"/>
      <c r="N415" s="3187"/>
      <c r="O415" s="3187"/>
      <c r="P415" s="3187"/>
      <c r="Q415" s="3187"/>
      <c r="R415" s="3187"/>
      <c r="S415" s="3187"/>
      <c r="T415" s="3187"/>
      <c r="U415" s="3187"/>
      <c r="V415" s="3187"/>
      <c r="W415" s="3187"/>
      <c r="X415" s="3187"/>
      <c r="Y415" s="3187"/>
      <c r="Z415" s="3187"/>
      <c r="AA415" s="3187"/>
      <c r="AB415" s="3187"/>
      <c r="AC415" s="3166">
        <f t="shared" si="268"/>
        <v>0</v>
      </c>
      <c r="AD415" s="3198"/>
      <c r="AE415" s="3198"/>
      <c r="AF415" s="3171"/>
      <c r="AG415" s="3198"/>
      <c r="AH415" s="3198"/>
      <c r="AI415" s="3198"/>
      <c r="AJ415" s="3198"/>
      <c r="AK415" s="3198"/>
      <c r="AL415" s="3198"/>
      <c r="AM415" s="3198"/>
      <c r="AN415" s="3198"/>
      <c r="AO415" s="3198"/>
      <c r="AP415" s="3198"/>
      <c r="AQ415" s="3198"/>
      <c r="AR415" s="3198"/>
      <c r="AS415" s="3198"/>
      <c r="AT415" s="3218"/>
      <c r="AU415" s="3219"/>
      <c r="AV415" s="488">
        <f t="shared" si="269"/>
        <v>0</v>
      </c>
      <c r="AW415" s="488">
        <f t="shared" si="270"/>
        <v>0</v>
      </c>
      <c r="AX415" s="488">
        <f t="shared" si="271"/>
        <v>0</v>
      </c>
      <c r="AY415" s="3235">
        <f t="shared" si="272"/>
        <v>0</v>
      </c>
      <c r="AZ415" s="3166">
        <f t="shared" si="273"/>
        <v>0</v>
      </c>
      <c r="BA415" s="3166">
        <f t="shared" si="274"/>
        <v>0</v>
      </c>
      <c r="BB415" s="3166">
        <f t="shared" si="275"/>
        <v>0</v>
      </c>
      <c r="BC415" s="3166">
        <f t="shared" si="276"/>
        <v>0</v>
      </c>
      <c r="BD415" s="3166">
        <f t="shared" si="277"/>
        <v>0</v>
      </c>
      <c r="BE415" s="3166">
        <f t="shared" si="278"/>
        <v>0</v>
      </c>
      <c r="BF415" s="3166">
        <f t="shared" si="279"/>
        <v>0</v>
      </c>
      <c r="BG415" s="3166">
        <f t="shared" si="280"/>
        <v>0</v>
      </c>
      <c r="BH415" s="3166">
        <f t="shared" si="281"/>
        <v>0</v>
      </c>
      <c r="BI415" s="3166">
        <f t="shared" si="282"/>
        <v>0</v>
      </c>
      <c r="BJ415" s="3166">
        <f t="shared" si="283"/>
        <v>0</v>
      </c>
      <c r="BK415" s="3166">
        <f t="shared" si="284"/>
        <v>0</v>
      </c>
      <c r="BL415" s="3166">
        <f t="shared" si="285"/>
        <v>0</v>
      </c>
      <c r="BM415" s="3166">
        <f t="shared" si="286"/>
        <v>0</v>
      </c>
      <c r="BN415" s="3166">
        <f t="shared" si="287"/>
        <v>0</v>
      </c>
      <c r="BO415" s="3166">
        <f t="shared" si="288"/>
        <v>0</v>
      </c>
      <c r="BP415" s="3166">
        <f t="shared" si="289"/>
        <v>0</v>
      </c>
      <c r="BQ415" s="3166">
        <f t="shared" si="290"/>
        <v>0</v>
      </c>
      <c r="BR415" s="3166">
        <f t="shared" si="291"/>
        <v>0</v>
      </c>
      <c r="BS415" s="3166">
        <f t="shared" si="292"/>
        <v>0</v>
      </c>
      <c r="BT415" s="3240">
        <f t="shared" si="293"/>
        <v>0</v>
      </c>
    </row>
    <row r="416" spans="1:72">
      <c r="A416" s="3163"/>
      <c r="B416" s="3173"/>
      <c r="C416" s="3171"/>
      <c r="D416" s="3172"/>
      <c r="E416" s="3166">
        <f t="shared" si="265"/>
        <v>0</v>
      </c>
      <c r="F416" s="3167"/>
      <c r="G416" s="3168">
        <f t="shared" si="266"/>
        <v>0</v>
      </c>
      <c r="H416" s="3169">
        <f t="shared" si="267"/>
        <v>0</v>
      </c>
      <c r="I416" s="3171"/>
      <c r="J416" s="3187"/>
      <c r="K416" s="3171"/>
      <c r="L416" s="3187"/>
      <c r="M416" s="3187"/>
      <c r="N416" s="3187"/>
      <c r="O416" s="3187"/>
      <c r="P416" s="3187"/>
      <c r="Q416" s="3187"/>
      <c r="R416" s="3187"/>
      <c r="S416" s="3187"/>
      <c r="T416" s="3187"/>
      <c r="U416" s="3187"/>
      <c r="V416" s="3187"/>
      <c r="W416" s="3187"/>
      <c r="X416" s="3187"/>
      <c r="Y416" s="3187"/>
      <c r="Z416" s="3187"/>
      <c r="AA416" s="3187"/>
      <c r="AB416" s="3187"/>
      <c r="AC416" s="3166">
        <f t="shared" si="268"/>
        <v>0</v>
      </c>
      <c r="AD416" s="3198"/>
      <c r="AE416" s="3198"/>
      <c r="AF416" s="3171"/>
      <c r="AG416" s="3198"/>
      <c r="AH416" s="3198"/>
      <c r="AI416" s="3198"/>
      <c r="AJ416" s="3198"/>
      <c r="AK416" s="3198"/>
      <c r="AL416" s="3198"/>
      <c r="AM416" s="3198"/>
      <c r="AN416" s="3198"/>
      <c r="AO416" s="3198"/>
      <c r="AP416" s="3198"/>
      <c r="AQ416" s="3198"/>
      <c r="AR416" s="3198"/>
      <c r="AS416" s="3198"/>
      <c r="AT416" s="3218"/>
      <c r="AU416" s="3219"/>
      <c r="AV416" s="488">
        <f t="shared" si="269"/>
        <v>0</v>
      </c>
      <c r="AW416" s="488">
        <f t="shared" si="270"/>
        <v>0</v>
      </c>
      <c r="AX416" s="488">
        <f t="shared" si="271"/>
        <v>0</v>
      </c>
      <c r="AY416" s="3235">
        <f t="shared" si="272"/>
        <v>0</v>
      </c>
      <c r="AZ416" s="3166">
        <f t="shared" si="273"/>
        <v>0</v>
      </c>
      <c r="BA416" s="3166">
        <f t="shared" si="274"/>
        <v>0</v>
      </c>
      <c r="BB416" s="3166">
        <f t="shared" si="275"/>
        <v>0</v>
      </c>
      <c r="BC416" s="3166">
        <f t="shared" si="276"/>
        <v>0</v>
      </c>
      <c r="BD416" s="3166">
        <f t="shared" si="277"/>
        <v>0</v>
      </c>
      <c r="BE416" s="3166">
        <f t="shared" si="278"/>
        <v>0</v>
      </c>
      <c r="BF416" s="3166">
        <f t="shared" si="279"/>
        <v>0</v>
      </c>
      <c r="BG416" s="3166">
        <f t="shared" si="280"/>
        <v>0</v>
      </c>
      <c r="BH416" s="3166">
        <f t="shared" si="281"/>
        <v>0</v>
      </c>
      <c r="BI416" s="3166">
        <f t="shared" si="282"/>
        <v>0</v>
      </c>
      <c r="BJ416" s="3166">
        <f t="shared" si="283"/>
        <v>0</v>
      </c>
      <c r="BK416" s="3166">
        <f t="shared" si="284"/>
        <v>0</v>
      </c>
      <c r="BL416" s="3166">
        <f t="shared" si="285"/>
        <v>0</v>
      </c>
      <c r="BM416" s="3166">
        <f t="shared" si="286"/>
        <v>0</v>
      </c>
      <c r="BN416" s="3166">
        <f t="shared" si="287"/>
        <v>0</v>
      </c>
      <c r="BO416" s="3166">
        <f t="shared" si="288"/>
        <v>0</v>
      </c>
      <c r="BP416" s="3166">
        <f t="shared" si="289"/>
        <v>0</v>
      </c>
      <c r="BQ416" s="3166">
        <f t="shared" si="290"/>
        <v>0</v>
      </c>
      <c r="BR416" s="3166">
        <f t="shared" si="291"/>
        <v>0</v>
      </c>
      <c r="BS416" s="3166">
        <f t="shared" si="292"/>
        <v>0</v>
      </c>
      <c r="BT416" s="3240">
        <f t="shared" si="293"/>
        <v>0</v>
      </c>
    </row>
    <row r="417" spans="1:72">
      <c r="A417" s="3163"/>
      <c r="B417" s="3173"/>
      <c r="C417" s="3171"/>
      <c r="D417" s="3172"/>
      <c r="E417" s="3166">
        <f t="shared" si="265"/>
        <v>0</v>
      </c>
      <c r="F417" s="3167"/>
      <c r="G417" s="3168">
        <f t="shared" si="266"/>
        <v>0</v>
      </c>
      <c r="H417" s="3169">
        <f t="shared" si="267"/>
        <v>0</v>
      </c>
      <c r="I417" s="3171"/>
      <c r="J417" s="3187"/>
      <c r="K417" s="3171"/>
      <c r="L417" s="3187"/>
      <c r="M417" s="3187"/>
      <c r="N417" s="3187"/>
      <c r="O417" s="3187"/>
      <c r="P417" s="3187"/>
      <c r="Q417" s="3187"/>
      <c r="R417" s="3187"/>
      <c r="S417" s="3187"/>
      <c r="T417" s="3187"/>
      <c r="U417" s="3187"/>
      <c r="V417" s="3187"/>
      <c r="W417" s="3187"/>
      <c r="X417" s="3187"/>
      <c r="Y417" s="3187"/>
      <c r="Z417" s="3187"/>
      <c r="AA417" s="3187"/>
      <c r="AB417" s="3187"/>
      <c r="AC417" s="3166">
        <f t="shared" si="268"/>
        <v>0</v>
      </c>
      <c r="AD417" s="3198"/>
      <c r="AE417" s="3198"/>
      <c r="AF417" s="3171"/>
      <c r="AG417" s="3198"/>
      <c r="AH417" s="3198"/>
      <c r="AI417" s="3198"/>
      <c r="AJ417" s="3198"/>
      <c r="AK417" s="3198"/>
      <c r="AL417" s="3198"/>
      <c r="AM417" s="3198"/>
      <c r="AN417" s="3198"/>
      <c r="AO417" s="3198"/>
      <c r="AP417" s="3198"/>
      <c r="AQ417" s="3198"/>
      <c r="AR417" s="3198"/>
      <c r="AS417" s="3198"/>
      <c r="AT417" s="3218"/>
      <c r="AU417" s="3219"/>
      <c r="AV417" s="488">
        <f t="shared" si="269"/>
        <v>0</v>
      </c>
      <c r="AW417" s="488">
        <f t="shared" si="270"/>
        <v>0</v>
      </c>
      <c r="AX417" s="488">
        <f t="shared" si="271"/>
        <v>0</v>
      </c>
      <c r="AY417" s="3235">
        <f t="shared" si="272"/>
        <v>0</v>
      </c>
      <c r="AZ417" s="3166">
        <f t="shared" si="273"/>
        <v>0</v>
      </c>
      <c r="BA417" s="3166">
        <f t="shared" si="274"/>
        <v>0</v>
      </c>
      <c r="BB417" s="3166">
        <f t="shared" si="275"/>
        <v>0</v>
      </c>
      <c r="BC417" s="3166">
        <f t="shared" si="276"/>
        <v>0</v>
      </c>
      <c r="BD417" s="3166">
        <f t="shared" si="277"/>
        <v>0</v>
      </c>
      <c r="BE417" s="3166">
        <f t="shared" si="278"/>
        <v>0</v>
      </c>
      <c r="BF417" s="3166">
        <f t="shared" si="279"/>
        <v>0</v>
      </c>
      <c r="BG417" s="3166">
        <f t="shared" si="280"/>
        <v>0</v>
      </c>
      <c r="BH417" s="3166">
        <f t="shared" si="281"/>
        <v>0</v>
      </c>
      <c r="BI417" s="3166">
        <f t="shared" si="282"/>
        <v>0</v>
      </c>
      <c r="BJ417" s="3166">
        <f t="shared" si="283"/>
        <v>0</v>
      </c>
      <c r="BK417" s="3166">
        <f t="shared" si="284"/>
        <v>0</v>
      </c>
      <c r="BL417" s="3166">
        <f t="shared" si="285"/>
        <v>0</v>
      </c>
      <c r="BM417" s="3166">
        <f t="shared" si="286"/>
        <v>0</v>
      </c>
      <c r="BN417" s="3166">
        <f t="shared" si="287"/>
        <v>0</v>
      </c>
      <c r="BO417" s="3166">
        <f t="shared" si="288"/>
        <v>0</v>
      </c>
      <c r="BP417" s="3166">
        <f t="shared" si="289"/>
        <v>0</v>
      </c>
      <c r="BQ417" s="3166">
        <f t="shared" si="290"/>
        <v>0</v>
      </c>
      <c r="BR417" s="3166">
        <f t="shared" si="291"/>
        <v>0</v>
      </c>
      <c r="BS417" s="3166">
        <f t="shared" si="292"/>
        <v>0</v>
      </c>
      <c r="BT417" s="3240">
        <f t="shared" si="293"/>
        <v>0</v>
      </c>
    </row>
    <row r="418" spans="1:72">
      <c r="A418" s="3163"/>
      <c r="B418" s="3173"/>
      <c r="C418" s="3171"/>
      <c r="D418" s="3172"/>
      <c r="E418" s="3166">
        <f t="shared" si="265"/>
        <v>0</v>
      </c>
      <c r="F418" s="3167"/>
      <c r="G418" s="3168">
        <f t="shared" si="266"/>
        <v>0</v>
      </c>
      <c r="H418" s="3169">
        <f t="shared" si="267"/>
        <v>0</v>
      </c>
      <c r="I418" s="3171"/>
      <c r="J418" s="3187"/>
      <c r="K418" s="3171"/>
      <c r="L418" s="3187"/>
      <c r="M418" s="3187"/>
      <c r="N418" s="3187"/>
      <c r="O418" s="3187"/>
      <c r="P418" s="3187"/>
      <c r="Q418" s="3187"/>
      <c r="R418" s="3187"/>
      <c r="S418" s="3187"/>
      <c r="T418" s="3187"/>
      <c r="U418" s="3187"/>
      <c r="V418" s="3187"/>
      <c r="W418" s="3187"/>
      <c r="X418" s="3187"/>
      <c r="Y418" s="3187"/>
      <c r="Z418" s="3187"/>
      <c r="AA418" s="3187"/>
      <c r="AB418" s="3187"/>
      <c r="AC418" s="3166">
        <f t="shared" si="268"/>
        <v>0</v>
      </c>
      <c r="AD418" s="3198"/>
      <c r="AE418" s="3198"/>
      <c r="AF418" s="3171"/>
      <c r="AG418" s="3198"/>
      <c r="AH418" s="3198"/>
      <c r="AI418" s="3198"/>
      <c r="AJ418" s="3198"/>
      <c r="AK418" s="3198"/>
      <c r="AL418" s="3198"/>
      <c r="AM418" s="3198"/>
      <c r="AN418" s="3198"/>
      <c r="AO418" s="3198"/>
      <c r="AP418" s="3198"/>
      <c r="AQ418" s="3198"/>
      <c r="AR418" s="3198"/>
      <c r="AS418" s="3198"/>
      <c r="AT418" s="3218"/>
      <c r="AU418" s="3219"/>
      <c r="AV418" s="488">
        <f t="shared" si="269"/>
        <v>0</v>
      </c>
      <c r="AW418" s="488">
        <f t="shared" si="270"/>
        <v>0</v>
      </c>
      <c r="AX418" s="488">
        <f t="shared" si="271"/>
        <v>0</v>
      </c>
      <c r="AY418" s="3235">
        <f t="shared" si="272"/>
        <v>0</v>
      </c>
      <c r="AZ418" s="3166">
        <f t="shared" si="273"/>
        <v>0</v>
      </c>
      <c r="BA418" s="3166">
        <f t="shared" si="274"/>
        <v>0</v>
      </c>
      <c r="BB418" s="3166">
        <f t="shared" si="275"/>
        <v>0</v>
      </c>
      <c r="BC418" s="3166">
        <f t="shared" si="276"/>
        <v>0</v>
      </c>
      <c r="BD418" s="3166">
        <f t="shared" si="277"/>
        <v>0</v>
      </c>
      <c r="BE418" s="3166">
        <f t="shared" si="278"/>
        <v>0</v>
      </c>
      <c r="BF418" s="3166">
        <f t="shared" si="279"/>
        <v>0</v>
      </c>
      <c r="BG418" s="3166">
        <f t="shared" si="280"/>
        <v>0</v>
      </c>
      <c r="BH418" s="3166">
        <f t="shared" si="281"/>
        <v>0</v>
      </c>
      <c r="BI418" s="3166">
        <f t="shared" si="282"/>
        <v>0</v>
      </c>
      <c r="BJ418" s="3166">
        <f t="shared" si="283"/>
        <v>0</v>
      </c>
      <c r="BK418" s="3166">
        <f t="shared" si="284"/>
        <v>0</v>
      </c>
      <c r="BL418" s="3166">
        <f t="shared" si="285"/>
        <v>0</v>
      </c>
      <c r="BM418" s="3166">
        <f t="shared" si="286"/>
        <v>0</v>
      </c>
      <c r="BN418" s="3166">
        <f t="shared" si="287"/>
        <v>0</v>
      </c>
      <c r="BO418" s="3166">
        <f t="shared" si="288"/>
        <v>0</v>
      </c>
      <c r="BP418" s="3166">
        <f t="shared" si="289"/>
        <v>0</v>
      </c>
      <c r="BQ418" s="3166">
        <f t="shared" si="290"/>
        <v>0</v>
      </c>
      <c r="BR418" s="3166">
        <f t="shared" si="291"/>
        <v>0</v>
      </c>
      <c r="BS418" s="3166">
        <f t="shared" si="292"/>
        <v>0</v>
      </c>
      <c r="BT418" s="3240">
        <f t="shared" si="293"/>
        <v>0</v>
      </c>
    </row>
    <row r="419" spans="1:72">
      <c r="A419" s="3163"/>
      <c r="B419" s="3173"/>
      <c r="C419" s="3171"/>
      <c r="D419" s="3172"/>
      <c r="E419" s="3166">
        <f t="shared" si="265"/>
        <v>0</v>
      </c>
      <c r="F419" s="3167"/>
      <c r="G419" s="3168">
        <f t="shared" si="266"/>
        <v>0</v>
      </c>
      <c r="H419" s="3169">
        <f t="shared" si="267"/>
        <v>0</v>
      </c>
      <c r="I419" s="3171"/>
      <c r="J419" s="3187"/>
      <c r="K419" s="3171"/>
      <c r="L419" s="3187"/>
      <c r="M419" s="3187"/>
      <c r="N419" s="3187"/>
      <c r="O419" s="3187"/>
      <c r="P419" s="3187"/>
      <c r="Q419" s="3187"/>
      <c r="R419" s="3187"/>
      <c r="S419" s="3187"/>
      <c r="T419" s="3187"/>
      <c r="U419" s="3187"/>
      <c r="V419" s="3187"/>
      <c r="W419" s="3187"/>
      <c r="X419" s="3187"/>
      <c r="Y419" s="3187"/>
      <c r="Z419" s="3187"/>
      <c r="AA419" s="3187"/>
      <c r="AB419" s="3187"/>
      <c r="AC419" s="3166">
        <f t="shared" si="268"/>
        <v>0</v>
      </c>
      <c r="AD419" s="3198"/>
      <c r="AE419" s="3198"/>
      <c r="AF419" s="3171"/>
      <c r="AG419" s="3198"/>
      <c r="AH419" s="3198"/>
      <c r="AI419" s="3198"/>
      <c r="AJ419" s="3198"/>
      <c r="AK419" s="3198"/>
      <c r="AL419" s="3198"/>
      <c r="AM419" s="3198"/>
      <c r="AN419" s="3198"/>
      <c r="AO419" s="3198"/>
      <c r="AP419" s="3198"/>
      <c r="AQ419" s="3198"/>
      <c r="AR419" s="3198"/>
      <c r="AS419" s="3198"/>
      <c r="AT419" s="3218"/>
      <c r="AU419" s="3219"/>
      <c r="AV419" s="488">
        <f t="shared" si="269"/>
        <v>0</v>
      </c>
      <c r="AW419" s="488">
        <f t="shared" si="270"/>
        <v>0</v>
      </c>
      <c r="AX419" s="488">
        <f t="shared" si="271"/>
        <v>0</v>
      </c>
      <c r="AY419" s="3235">
        <f t="shared" si="272"/>
        <v>0</v>
      </c>
      <c r="AZ419" s="3166">
        <f t="shared" si="273"/>
        <v>0</v>
      </c>
      <c r="BA419" s="3166">
        <f t="shared" si="274"/>
        <v>0</v>
      </c>
      <c r="BB419" s="3166">
        <f t="shared" si="275"/>
        <v>0</v>
      </c>
      <c r="BC419" s="3166">
        <f t="shared" si="276"/>
        <v>0</v>
      </c>
      <c r="BD419" s="3166">
        <f t="shared" si="277"/>
        <v>0</v>
      </c>
      <c r="BE419" s="3166">
        <f t="shared" si="278"/>
        <v>0</v>
      </c>
      <c r="BF419" s="3166">
        <f t="shared" si="279"/>
        <v>0</v>
      </c>
      <c r="BG419" s="3166">
        <f t="shared" si="280"/>
        <v>0</v>
      </c>
      <c r="BH419" s="3166">
        <f t="shared" si="281"/>
        <v>0</v>
      </c>
      <c r="BI419" s="3166">
        <f t="shared" si="282"/>
        <v>0</v>
      </c>
      <c r="BJ419" s="3166">
        <f t="shared" si="283"/>
        <v>0</v>
      </c>
      <c r="BK419" s="3166">
        <f t="shared" si="284"/>
        <v>0</v>
      </c>
      <c r="BL419" s="3166">
        <f t="shared" si="285"/>
        <v>0</v>
      </c>
      <c r="BM419" s="3166">
        <f t="shared" si="286"/>
        <v>0</v>
      </c>
      <c r="BN419" s="3166">
        <f t="shared" si="287"/>
        <v>0</v>
      </c>
      <c r="BO419" s="3166">
        <f t="shared" si="288"/>
        <v>0</v>
      </c>
      <c r="BP419" s="3166">
        <f t="shared" si="289"/>
        <v>0</v>
      </c>
      <c r="BQ419" s="3166">
        <f t="shared" si="290"/>
        <v>0</v>
      </c>
      <c r="BR419" s="3166">
        <f t="shared" si="291"/>
        <v>0</v>
      </c>
      <c r="BS419" s="3166">
        <f t="shared" si="292"/>
        <v>0</v>
      </c>
      <c r="BT419" s="3240">
        <f t="shared" si="293"/>
        <v>0</v>
      </c>
    </row>
    <row r="420" spans="1:72">
      <c r="A420" s="3163"/>
      <c r="B420" s="3173"/>
      <c r="C420" s="3171"/>
      <c r="D420" s="3172"/>
      <c r="E420" s="3166">
        <f t="shared" si="265"/>
        <v>0</v>
      </c>
      <c r="F420" s="3167"/>
      <c r="G420" s="3168">
        <f t="shared" si="266"/>
        <v>0</v>
      </c>
      <c r="H420" s="3169">
        <f t="shared" si="267"/>
        <v>0</v>
      </c>
      <c r="I420" s="3171"/>
      <c r="J420" s="3187"/>
      <c r="K420" s="3171"/>
      <c r="L420" s="3187"/>
      <c r="M420" s="3187"/>
      <c r="N420" s="3187"/>
      <c r="O420" s="3187"/>
      <c r="P420" s="3187"/>
      <c r="Q420" s="3187"/>
      <c r="R420" s="3187"/>
      <c r="S420" s="3187"/>
      <c r="T420" s="3187"/>
      <c r="U420" s="3187"/>
      <c r="V420" s="3187"/>
      <c r="W420" s="3187"/>
      <c r="X420" s="3187"/>
      <c r="Y420" s="3187"/>
      <c r="Z420" s="3187"/>
      <c r="AA420" s="3187"/>
      <c r="AB420" s="3187"/>
      <c r="AC420" s="3166">
        <f t="shared" si="268"/>
        <v>0</v>
      </c>
      <c r="AD420" s="3198"/>
      <c r="AE420" s="3198"/>
      <c r="AF420" s="3171"/>
      <c r="AG420" s="3198"/>
      <c r="AH420" s="3198"/>
      <c r="AI420" s="3198"/>
      <c r="AJ420" s="3198"/>
      <c r="AK420" s="3198"/>
      <c r="AL420" s="3198"/>
      <c r="AM420" s="3198"/>
      <c r="AN420" s="3198"/>
      <c r="AO420" s="3198"/>
      <c r="AP420" s="3198"/>
      <c r="AQ420" s="3198"/>
      <c r="AR420" s="3198"/>
      <c r="AS420" s="3198"/>
      <c r="AT420" s="3218"/>
      <c r="AU420" s="3219"/>
      <c r="AV420" s="488">
        <f t="shared" si="269"/>
        <v>0</v>
      </c>
      <c r="AW420" s="488">
        <f t="shared" si="270"/>
        <v>0</v>
      </c>
      <c r="AX420" s="488">
        <f t="shared" si="271"/>
        <v>0</v>
      </c>
      <c r="AY420" s="3235">
        <f t="shared" si="272"/>
        <v>0</v>
      </c>
      <c r="AZ420" s="3166">
        <f t="shared" si="273"/>
        <v>0</v>
      </c>
      <c r="BA420" s="3166">
        <f t="shared" si="274"/>
        <v>0</v>
      </c>
      <c r="BB420" s="3166">
        <f t="shared" si="275"/>
        <v>0</v>
      </c>
      <c r="BC420" s="3166">
        <f t="shared" si="276"/>
        <v>0</v>
      </c>
      <c r="BD420" s="3166">
        <f t="shared" si="277"/>
        <v>0</v>
      </c>
      <c r="BE420" s="3166">
        <f t="shared" si="278"/>
        <v>0</v>
      </c>
      <c r="BF420" s="3166">
        <f t="shared" si="279"/>
        <v>0</v>
      </c>
      <c r="BG420" s="3166">
        <f t="shared" si="280"/>
        <v>0</v>
      </c>
      <c r="BH420" s="3166">
        <f t="shared" si="281"/>
        <v>0</v>
      </c>
      <c r="BI420" s="3166">
        <f t="shared" si="282"/>
        <v>0</v>
      </c>
      <c r="BJ420" s="3166">
        <f t="shared" si="283"/>
        <v>0</v>
      </c>
      <c r="BK420" s="3166">
        <f t="shared" si="284"/>
        <v>0</v>
      </c>
      <c r="BL420" s="3166">
        <f t="shared" si="285"/>
        <v>0</v>
      </c>
      <c r="BM420" s="3166">
        <f t="shared" si="286"/>
        <v>0</v>
      </c>
      <c r="BN420" s="3166">
        <f t="shared" si="287"/>
        <v>0</v>
      </c>
      <c r="BO420" s="3166">
        <f t="shared" si="288"/>
        <v>0</v>
      </c>
      <c r="BP420" s="3166">
        <f t="shared" si="289"/>
        <v>0</v>
      </c>
      <c r="BQ420" s="3166">
        <f t="shared" si="290"/>
        <v>0</v>
      </c>
      <c r="BR420" s="3166">
        <f t="shared" si="291"/>
        <v>0</v>
      </c>
      <c r="BS420" s="3166">
        <f t="shared" si="292"/>
        <v>0</v>
      </c>
      <c r="BT420" s="3240">
        <f t="shared" si="293"/>
        <v>0</v>
      </c>
    </row>
    <row r="421" spans="1:72">
      <c r="A421" s="3163"/>
      <c r="B421" s="3173"/>
      <c r="C421" s="3171"/>
      <c r="D421" s="3172"/>
      <c r="E421" s="3166">
        <f t="shared" si="265"/>
        <v>0</v>
      </c>
      <c r="F421" s="3167"/>
      <c r="G421" s="3168">
        <f t="shared" si="266"/>
        <v>0</v>
      </c>
      <c r="H421" s="3169">
        <f t="shared" si="267"/>
        <v>0</v>
      </c>
      <c r="I421" s="3171"/>
      <c r="J421" s="3187"/>
      <c r="K421" s="3171"/>
      <c r="L421" s="3187"/>
      <c r="M421" s="3187"/>
      <c r="N421" s="3187"/>
      <c r="O421" s="3187"/>
      <c r="P421" s="3187"/>
      <c r="Q421" s="3187"/>
      <c r="R421" s="3187"/>
      <c r="S421" s="3187"/>
      <c r="T421" s="3187"/>
      <c r="U421" s="3187"/>
      <c r="V421" s="3187"/>
      <c r="W421" s="3187"/>
      <c r="X421" s="3187"/>
      <c r="Y421" s="3187"/>
      <c r="Z421" s="3187"/>
      <c r="AA421" s="3187"/>
      <c r="AB421" s="3187"/>
      <c r="AC421" s="3166">
        <f t="shared" si="268"/>
        <v>0</v>
      </c>
      <c r="AD421" s="3198"/>
      <c r="AE421" s="3198"/>
      <c r="AF421" s="3171"/>
      <c r="AG421" s="3198"/>
      <c r="AH421" s="3198"/>
      <c r="AI421" s="3198"/>
      <c r="AJ421" s="3198"/>
      <c r="AK421" s="3198"/>
      <c r="AL421" s="3198"/>
      <c r="AM421" s="3198"/>
      <c r="AN421" s="3198"/>
      <c r="AO421" s="3198"/>
      <c r="AP421" s="3198"/>
      <c r="AQ421" s="3198"/>
      <c r="AR421" s="3198"/>
      <c r="AS421" s="3198"/>
      <c r="AT421" s="3218"/>
      <c r="AU421" s="3219"/>
      <c r="AV421" s="488">
        <f t="shared" si="269"/>
        <v>0</v>
      </c>
      <c r="AW421" s="488">
        <f t="shared" si="270"/>
        <v>0</v>
      </c>
      <c r="AX421" s="488">
        <f t="shared" si="271"/>
        <v>0</v>
      </c>
      <c r="AY421" s="3235">
        <f t="shared" si="272"/>
        <v>0</v>
      </c>
      <c r="AZ421" s="3166">
        <f t="shared" si="273"/>
        <v>0</v>
      </c>
      <c r="BA421" s="3166">
        <f t="shared" si="274"/>
        <v>0</v>
      </c>
      <c r="BB421" s="3166">
        <f t="shared" si="275"/>
        <v>0</v>
      </c>
      <c r="BC421" s="3166">
        <f t="shared" si="276"/>
        <v>0</v>
      </c>
      <c r="BD421" s="3166">
        <f t="shared" si="277"/>
        <v>0</v>
      </c>
      <c r="BE421" s="3166">
        <f t="shared" si="278"/>
        <v>0</v>
      </c>
      <c r="BF421" s="3166">
        <f t="shared" si="279"/>
        <v>0</v>
      </c>
      <c r="BG421" s="3166">
        <f t="shared" si="280"/>
        <v>0</v>
      </c>
      <c r="BH421" s="3166">
        <f t="shared" si="281"/>
        <v>0</v>
      </c>
      <c r="BI421" s="3166">
        <f t="shared" si="282"/>
        <v>0</v>
      </c>
      <c r="BJ421" s="3166">
        <f t="shared" si="283"/>
        <v>0</v>
      </c>
      <c r="BK421" s="3166">
        <f t="shared" si="284"/>
        <v>0</v>
      </c>
      <c r="BL421" s="3166">
        <f t="shared" si="285"/>
        <v>0</v>
      </c>
      <c r="BM421" s="3166">
        <f t="shared" si="286"/>
        <v>0</v>
      </c>
      <c r="BN421" s="3166">
        <f t="shared" si="287"/>
        <v>0</v>
      </c>
      <c r="BO421" s="3166">
        <f t="shared" si="288"/>
        <v>0</v>
      </c>
      <c r="BP421" s="3166">
        <f t="shared" si="289"/>
        <v>0</v>
      </c>
      <c r="BQ421" s="3166">
        <f t="shared" si="290"/>
        <v>0</v>
      </c>
      <c r="BR421" s="3166">
        <f t="shared" si="291"/>
        <v>0</v>
      </c>
      <c r="BS421" s="3166">
        <f t="shared" si="292"/>
        <v>0</v>
      </c>
      <c r="BT421" s="3240">
        <f t="shared" si="293"/>
        <v>0</v>
      </c>
    </row>
    <row r="422" spans="1:72">
      <c r="A422" s="3163"/>
      <c r="B422" s="3173"/>
      <c r="C422" s="3171"/>
      <c r="D422" s="3172"/>
      <c r="E422" s="3166">
        <f t="shared" si="265"/>
        <v>0</v>
      </c>
      <c r="F422" s="3167"/>
      <c r="G422" s="3168">
        <f t="shared" si="266"/>
        <v>0</v>
      </c>
      <c r="H422" s="3169">
        <f t="shared" si="267"/>
        <v>0</v>
      </c>
      <c r="I422" s="3171"/>
      <c r="J422" s="3187"/>
      <c r="K422" s="3171"/>
      <c r="L422" s="3187"/>
      <c r="M422" s="3187"/>
      <c r="N422" s="3187"/>
      <c r="O422" s="3187"/>
      <c r="P422" s="3187"/>
      <c r="Q422" s="3187"/>
      <c r="R422" s="3187"/>
      <c r="S422" s="3187"/>
      <c r="T422" s="3187"/>
      <c r="U422" s="3187"/>
      <c r="V422" s="3187"/>
      <c r="W422" s="3187"/>
      <c r="X422" s="3187"/>
      <c r="Y422" s="3187"/>
      <c r="Z422" s="3187"/>
      <c r="AA422" s="3187"/>
      <c r="AB422" s="3187"/>
      <c r="AC422" s="3166">
        <f t="shared" si="268"/>
        <v>0</v>
      </c>
      <c r="AD422" s="3198"/>
      <c r="AE422" s="3198"/>
      <c r="AF422" s="3171"/>
      <c r="AG422" s="3198"/>
      <c r="AH422" s="3198"/>
      <c r="AI422" s="3198"/>
      <c r="AJ422" s="3198"/>
      <c r="AK422" s="3198"/>
      <c r="AL422" s="3198"/>
      <c r="AM422" s="3198"/>
      <c r="AN422" s="3198"/>
      <c r="AO422" s="3198"/>
      <c r="AP422" s="3198"/>
      <c r="AQ422" s="3198"/>
      <c r="AR422" s="3198"/>
      <c r="AS422" s="3198"/>
      <c r="AT422" s="3218"/>
      <c r="AU422" s="3219"/>
      <c r="AV422" s="488">
        <f t="shared" si="269"/>
        <v>0</v>
      </c>
      <c r="AW422" s="488">
        <f t="shared" si="270"/>
        <v>0</v>
      </c>
      <c r="AX422" s="488">
        <f t="shared" si="271"/>
        <v>0</v>
      </c>
      <c r="AY422" s="3235">
        <f t="shared" si="272"/>
        <v>0</v>
      </c>
      <c r="AZ422" s="3166">
        <f t="shared" si="273"/>
        <v>0</v>
      </c>
      <c r="BA422" s="3166">
        <f t="shared" si="274"/>
        <v>0</v>
      </c>
      <c r="BB422" s="3166">
        <f t="shared" si="275"/>
        <v>0</v>
      </c>
      <c r="BC422" s="3166">
        <f t="shared" si="276"/>
        <v>0</v>
      </c>
      <c r="BD422" s="3166">
        <f t="shared" si="277"/>
        <v>0</v>
      </c>
      <c r="BE422" s="3166">
        <f t="shared" si="278"/>
        <v>0</v>
      </c>
      <c r="BF422" s="3166">
        <f t="shared" si="279"/>
        <v>0</v>
      </c>
      <c r="BG422" s="3166">
        <f t="shared" si="280"/>
        <v>0</v>
      </c>
      <c r="BH422" s="3166">
        <f t="shared" si="281"/>
        <v>0</v>
      </c>
      <c r="BI422" s="3166">
        <f t="shared" si="282"/>
        <v>0</v>
      </c>
      <c r="BJ422" s="3166">
        <f t="shared" si="283"/>
        <v>0</v>
      </c>
      <c r="BK422" s="3166">
        <f t="shared" si="284"/>
        <v>0</v>
      </c>
      <c r="BL422" s="3166">
        <f t="shared" si="285"/>
        <v>0</v>
      </c>
      <c r="BM422" s="3166">
        <f t="shared" si="286"/>
        <v>0</v>
      </c>
      <c r="BN422" s="3166">
        <f t="shared" si="287"/>
        <v>0</v>
      </c>
      <c r="BO422" s="3166">
        <f t="shared" si="288"/>
        <v>0</v>
      </c>
      <c r="BP422" s="3166">
        <f t="shared" si="289"/>
        <v>0</v>
      </c>
      <c r="BQ422" s="3166">
        <f t="shared" si="290"/>
        <v>0</v>
      </c>
      <c r="BR422" s="3166">
        <f t="shared" si="291"/>
        <v>0</v>
      </c>
      <c r="BS422" s="3166">
        <f t="shared" si="292"/>
        <v>0</v>
      </c>
      <c r="BT422" s="3240">
        <f t="shared" si="293"/>
        <v>0</v>
      </c>
    </row>
    <row r="423" spans="1:72">
      <c r="A423" s="3163"/>
      <c r="B423" s="3174"/>
      <c r="C423" s="3175"/>
      <c r="D423" s="3172"/>
      <c r="E423" s="3166">
        <f t="shared" si="265"/>
        <v>0</v>
      </c>
      <c r="F423" s="3167"/>
      <c r="G423" s="3168">
        <f t="shared" si="266"/>
        <v>0</v>
      </c>
      <c r="H423" s="3169">
        <f t="shared" si="267"/>
        <v>0</v>
      </c>
      <c r="I423" s="3171"/>
      <c r="J423" s="3187"/>
      <c r="K423" s="3171"/>
      <c r="L423" s="3187"/>
      <c r="M423" s="3171"/>
      <c r="N423" s="3187"/>
      <c r="O423" s="3187"/>
      <c r="P423" s="3187"/>
      <c r="Q423" s="3187"/>
      <c r="R423" s="3187"/>
      <c r="S423" s="3187"/>
      <c r="T423" s="3187"/>
      <c r="U423" s="3187"/>
      <c r="V423" s="3187"/>
      <c r="W423" s="3187"/>
      <c r="X423" s="3187"/>
      <c r="Y423" s="3187"/>
      <c r="Z423" s="3187"/>
      <c r="AA423" s="3187"/>
      <c r="AB423" s="3187"/>
      <c r="AC423" s="3166">
        <f t="shared" si="268"/>
        <v>0</v>
      </c>
      <c r="AD423" s="3198"/>
      <c r="AE423" s="3198"/>
      <c r="AF423" s="3171"/>
      <c r="AG423" s="3198"/>
      <c r="AH423" s="3198"/>
      <c r="AI423" s="3198"/>
      <c r="AJ423" s="3198"/>
      <c r="AK423" s="3198"/>
      <c r="AL423" s="3198"/>
      <c r="AM423" s="3198"/>
      <c r="AN423" s="3198"/>
      <c r="AO423" s="3198"/>
      <c r="AP423" s="3198"/>
      <c r="AQ423" s="3198"/>
      <c r="AR423" s="3198"/>
      <c r="AS423" s="3198"/>
      <c r="AT423" s="3218"/>
      <c r="AU423" s="3219"/>
      <c r="AV423" s="488">
        <f t="shared" si="269"/>
        <v>0</v>
      </c>
      <c r="AW423" s="488">
        <f t="shared" si="270"/>
        <v>0</v>
      </c>
      <c r="AX423" s="488">
        <f t="shared" si="271"/>
        <v>0</v>
      </c>
      <c r="AY423" s="3235">
        <f t="shared" si="272"/>
        <v>0</v>
      </c>
      <c r="AZ423" s="3166">
        <f t="shared" si="273"/>
        <v>0</v>
      </c>
      <c r="BA423" s="3166">
        <f t="shared" si="274"/>
        <v>0</v>
      </c>
      <c r="BB423" s="3166">
        <f t="shared" si="275"/>
        <v>0</v>
      </c>
      <c r="BC423" s="3166">
        <f t="shared" si="276"/>
        <v>0</v>
      </c>
      <c r="BD423" s="3166">
        <f t="shared" si="277"/>
        <v>0</v>
      </c>
      <c r="BE423" s="3166">
        <f t="shared" si="278"/>
        <v>0</v>
      </c>
      <c r="BF423" s="3166">
        <f t="shared" si="279"/>
        <v>0</v>
      </c>
      <c r="BG423" s="3166">
        <f t="shared" si="280"/>
        <v>0</v>
      </c>
      <c r="BH423" s="3166">
        <f t="shared" si="281"/>
        <v>0</v>
      </c>
      <c r="BI423" s="3166">
        <f t="shared" si="282"/>
        <v>0</v>
      </c>
      <c r="BJ423" s="3166">
        <f t="shared" si="283"/>
        <v>0</v>
      </c>
      <c r="BK423" s="3166">
        <f t="shared" si="284"/>
        <v>0</v>
      </c>
      <c r="BL423" s="3166">
        <f t="shared" si="285"/>
        <v>0</v>
      </c>
      <c r="BM423" s="3166">
        <f t="shared" si="286"/>
        <v>0</v>
      </c>
      <c r="BN423" s="3166">
        <f t="shared" si="287"/>
        <v>0</v>
      </c>
      <c r="BO423" s="3166">
        <f t="shared" si="288"/>
        <v>0</v>
      </c>
      <c r="BP423" s="3166">
        <f t="shared" si="289"/>
        <v>0</v>
      </c>
      <c r="BQ423" s="3166">
        <f t="shared" si="290"/>
        <v>0</v>
      </c>
      <c r="BR423" s="3166">
        <f t="shared" si="291"/>
        <v>0</v>
      </c>
      <c r="BS423" s="3166">
        <f t="shared" si="292"/>
        <v>0</v>
      </c>
      <c r="BT423" s="3240">
        <f t="shared" si="293"/>
        <v>0</v>
      </c>
    </row>
    <row r="424" spans="1:72">
      <c r="A424" s="3163"/>
      <c r="B424" s="3164"/>
      <c r="C424" s="3164"/>
      <c r="D424" s="3176"/>
      <c r="E424" s="3166">
        <f t="shared" si="265"/>
        <v>0</v>
      </c>
      <c r="F424" s="3167"/>
      <c r="G424" s="3168">
        <f t="shared" si="266"/>
        <v>0</v>
      </c>
      <c r="H424" s="3169">
        <f t="shared" si="267"/>
        <v>0</v>
      </c>
      <c r="I424" s="3187"/>
      <c r="J424" s="3187"/>
      <c r="K424" s="3187"/>
      <c r="L424" s="3187"/>
      <c r="M424" s="3187"/>
      <c r="N424" s="3187"/>
      <c r="O424" s="3187"/>
      <c r="P424" s="3187"/>
      <c r="Q424" s="3187"/>
      <c r="R424" s="3187"/>
      <c r="S424" s="3187"/>
      <c r="T424" s="3187"/>
      <c r="U424" s="3187"/>
      <c r="V424" s="3187"/>
      <c r="W424" s="3187"/>
      <c r="X424" s="3187"/>
      <c r="Y424" s="3187"/>
      <c r="Z424" s="3187"/>
      <c r="AA424" s="3187"/>
      <c r="AB424" s="3187"/>
      <c r="AC424" s="3166">
        <f t="shared" si="268"/>
        <v>0</v>
      </c>
      <c r="AD424" s="3198"/>
      <c r="AE424" s="3198"/>
      <c r="AF424" s="3198"/>
      <c r="AG424" s="3198"/>
      <c r="AH424" s="3198"/>
      <c r="AI424" s="3198"/>
      <c r="AJ424" s="3198"/>
      <c r="AK424" s="3198"/>
      <c r="AL424" s="3198"/>
      <c r="AM424" s="3198"/>
      <c r="AN424" s="3198"/>
      <c r="AO424" s="3198"/>
      <c r="AP424" s="3198"/>
      <c r="AQ424" s="3198"/>
      <c r="AR424" s="3198"/>
      <c r="AS424" s="3198"/>
      <c r="AT424" s="3218"/>
      <c r="AU424" s="3219"/>
      <c r="AV424" s="488">
        <f t="shared" si="269"/>
        <v>0</v>
      </c>
      <c r="AW424" s="488">
        <f t="shared" si="270"/>
        <v>0</v>
      </c>
      <c r="AX424" s="488">
        <f t="shared" si="271"/>
        <v>0</v>
      </c>
      <c r="AY424" s="3235">
        <f t="shared" si="272"/>
        <v>0</v>
      </c>
      <c r="AZ424" s="3166">
        <f t="shared" si="273"/>
        <v>0</v>
      </c>
      <c r="BA424" s="3166">
        <f t="shared" si="274"/>
        <v>0</v>
      </c>
      <c r="BB424" s="3166">
        <f t="shared" si="275"/>
        <v>0</v>
      </c>
      <c r="BC424" s="3166">
        <f t="shared" si="276"/>
        <v>0</v>
      </c>
      <c r="BD424" s="3166">
        <f t="shared" si="277"/>
        <v>0</v>
      </c>
      <c r="BE424" s="3166">
        <f t="shared" si="278"/>
        <v>0</v>
      </c>
      <c r="BF424" s="3166">
        <f t="shared" si="279"/>
        <v>0</v>
      </c>
      <c r="BG424" s="3166">
        <f t="shared" si="280"/>
        <v>0</v>
      </c>
      <c r="BH424" s="3166">
        <f t="shared" si="281"/>
        <v>0</v>
      </c>
      <c r="BI424" s="3166">
        <f t="shared" si="282"/>
        <v>0</v>
      </c>
      <c r="BJ424" s="3166">
        <f t="shared" si="283"/>
        <v>0</v>
      </c>
      <c r="BK424" s="3166">
        <f t="shared" si="284"/>
        <v>0</v>
      </c>
      <c r="BL424" s="3166">
        <f t="shared" si="285"/>
        <v>0</v>
      </c>
      <c r="BM424" s="3166">
        <f t="shared" si="286"/>
        <v>0</v>
      </c>
      <c r="BN424" s="3166">
        <f t="shared" si="287"/>
        <v>0</v>
      </c>
      <c r="BO424" s="3166">
        <f t="shared" si="288"/>
        <v>0</v>
      </c>
      <c r="BP424" s="3166">
        <f t="shared" si="289"/>
        <v>0</v>
      </c>
      <c r="BQ424" s="3166">
        <f t="shared" si="290"/>
        <v>0</v>
      </c>
      <c r="BR424" s="3166">
        <f t="shared" si="291"/>
        <v>0</v>
      </c>
      <c r="BS424" s="3166">
        <f t="shared" si="292"/>
        <v>0</v>
      </c>
      <c r="BT424" s="3240">
        <f t="shared" si="293"/>
        <v>0</v>
      </c>
    </row>
    <row r="425" spans="1:72">
      <c r="A425" s="3163"/>
      <c r="B425" s="3164"/>
      <c r="C425" s="3164"/>
      <c r="D425" s="3176"/>
      <c r="E425" s="3166">
        <f t="shared" si="265"/>
        <v>0</v>
      </c>
      <c r="F425" s="3167"/>
      <c r="G425" s="3168">
        <f t="shared" si="266"/>
        <v>0</v>
      </c>
      <c r="H425" s="3169">
        <f t="shared" si="267"/>
        <v>0</v>
      </c>
      <c r="I425" s="3187"/>
      <c r="J425" s="3187"/>
      <c r="K425" s="3187"/>
      <c r="L425" s="3187"/>
      <c r="M425" s="3187"/>
      <c r="N425" s="3187"/>
      <c r="O425" s="3187"/>
      <c r="P425" s="3187"/>
      <c r="Q425" s="3187"/>
      <c r="R425" s="3187"/>
      <c r="S425" s="3187"/>
      <c r="T425" s="3187"/>
      <c r="U425" s="3187"/>
      <c r="V425" s="3187"/>
      <c r="W425" s="3187"/>
      <c r="X425" s="3187"/>
      <c r="Y425" s="3187"/>
      <c r="Z425" s="3187"/>
      <c r="AA425" s="3187"/>
      <c r="AB425" s="3187"/>
      <c r="AC425" s="3166">
        <f t="shared" si="268"/>
        <v>0</v>
      </c>
      <c r="AD425" s="3198"/>
      <c r="AE425" s="3198"/>
      <c r="AF425" s="3198"/>
      <c r="AG425" s="3198"/>
      <c r="AH425" s="3198"/>
      <c r="AI425" s="3198"/>
      <c r="AJ425" s="3198"/>
      <c r="AK425" s="3198"/>
      <c r="AL425" s="3198"/>
      <c r="AM425" s="3198"/>
      <c r="AN425" s="3198"/>
      <c r="AO425" s="3198"/>
      <c r="AP425" s="3198"/>
      <c r="AQ425" s="3198"/>
      <c r="AR425" s="3198"/>
      <c r="AS425" s="3198"/>
      <c r="AT425" s="3218"/>
      <c r="AU425" s="3219"/>
      <c r="AV425" s="488">
        <f t="shared" si="269"/>
        <v>0</v>
      </c>
      <c r="AW425" s="488">
        <f t="shared" si="270"/>
        <v>0</v>
      </c>
      <c r="AX425" s="488">
        <f t="shared" si="271"/>
        <v>0</v>
      </c>
      <c r="AY425" s="3235">
        <f t="shared" si="272"/>
        <v>0</v>
      </c>
      <c r="AZ425" s="3166">
        <f t="shared" si="273"/>
        <v>0</v>
      </c>
      <c r="BA425" s="3166">
        <f t="shared" si="274"/>
        <v>0</v>
      </c>
      <c r="BB425" s="3166">
        <f t="shared" si="275"/>
        <v>0</v>
      </c>
      <c r="BC425" s="3166">
        <f t="shared" si="276"/>
        <v>0</v>
      </c>
      <c r="BD425" s="3166">
        <f t="shared" si="277"/>
        <v>0</v>
      </c>
      <c r="BE425" s="3166">
        <f t="shared" si="278"/>
        <v>0</v>
      </c>
      <c r="BF425" s="3166">
        <f t="shared" si="279"/>
        <v>0</v>
      </c>
      <c r="BG425" s="3166">
        <f t="shared" si="280"/>
        <v>0</v>
      </c>
      <c r="BH425" s="3166">
        <f t="shared" si="281"/>
        <v>0</v>
      </c>
      <c r="BI425" s="3166">
        <f t="shared" si="282"/>
        <v>0</v>
      </c>
      <c r="BJ425" s="3166">
        <f t="shared" si="283"/>
        <v>0</v>
      </c>
      <c r="BK425" s="3166">
        <f t="shared" si="284"/>
        <v>0</v>
      </c>
      <c r="BL425" s="3166">
        <f t="shared" si="285"/>
        <v>0</v>
      </c>
      <c r="BM425" s="3166">
        <f t="shared" si="286"/>
        <v>0</v>
      </c>
      <c r="BN425" s="3166">
        <f t="shared" si="287"/>
        <v>0</v>
      </c>
      <c r="BO425" s="3166">
        <f t="shared" si="288"/>
        <v>0</v>
      </c>
      <c r="BP425" s="3166">
        <f t="shared" si="289"/>
        <v>0</v>
      </c>
      <c r="BQ425" s="3166">
        <f t="shared" si="290"/>
        <v>0</v>
      </c>
      <c r="BR425" s="3166">
        <f t="shared" si="291"/>
        <v>0</v>
      </c>
      <c r="BS425" s="3166">
        <f t="shared" si="292"/>
        <v>0</v>
      </c>
      <c r="BT425" s="3240">
        <f t="shared" si="293"/>
        <v>0</v>
      </c>
    </row>
    <row r="426" spans="1:72">
      <c r="A426" s="3163"/>
      <c r="B426" s="3164"/>
      <c r="C426" s="3164"/>
      <c r="D426" s="3176"/>
      <c r="E426" s="3166">
        <f t="shared" si="265"/>
        <v>0</v>
      </c>
      <c r="F426" s="3167"/>
      <c r="G426" s="3168">
        <f t="shared" si="266"/>
        <v>0</v>
      </c>
      <c r="H426" s="3169">
        <f t="shared" si="267"/>
        <v>0</v>
      </c>
      <c r="I426" s="3187"/>
      <c r="J426" s="3187"/>
      <c r="K426" s="3187"/>
      <c r="L426" s="3187"/>
      <c r="M426" s="3187"/>
      <c r="N426" s="3187"/>
      <c r="O426" s="3187"/>
      <c r="P426" s="3187"/>
      <c r="Q426" s="3187"/>
      <c r="R426" s="3187"/>
      <c r="S426" s="3187"/>
      <c r="T426" s="3187"/>
      <c r="U426" s="3187"/>
      <c r="V426" s="3187"/>
      <c r="W426" s="3187"/>
      <c r="X426" s="3187"/>
      <c r="Y426" s="3187"/>
      <c r="Z426" s="3187"/>
      <c r="AA426" s="3187"/>
      <c r="AB426" s="3187"/>
      <c r="AC426" s="3166">
        <f t="shared" si="268"/>
        <v>0</v>
      </c>
      <c r="AD426" s="3198"/>
      <c r="AE426" s="3198"/>
      <c r="AF426" s="3198"/>
      <c r="AG426" s="3198"/>
      <c r="AH426" s="3198"/>
      <c r="AI426" s="3198"/>
      <c r="AJ426" s="3198"/>
      <c r="AK426" s="3198"/>
      <c r="AL426" s="3198"/>
      <c r="AM426" s="3198"/>
      <c r="AN426" s="3198"/>
      <c r="AO426" s="3198"/>
      <c r="AP426" s="3198"/>
      <c r="AQ426" s="3198"/>
      <c r="AR426" s="3198"/>
      <c r="AS426" s="3198"/>
      <c r="AT426" s="3218"/>
      <c r="AU426" s="3219"/>
      <c r="AV426" s="488">
        <f t="shared" si="269"/>
        <v>0</v>
      </c>
      <c r="AW426" s="488">
        <f t="shared" si="270"/>
        <v>0</v>
      </c>
      <c r="AX426" s="488">
        <f t="shared" si="271"/>
        <v>0</v>
      </c>
      <c r="AY426" s="3235">
        <f t="shared" si="272"/>
        <v>0</v>
      </c>
      <c r="AZ426" s="3166">
        <f t="shared" si="273"/>
        <v>0</v>
      </c>
      <c r="BA426" s="3166">
        <f t="shared" si="274"/>
        <v>0</v>
      </c>
      <c r="BB426" s="3166">
        <f t="shared" si="275"/>
        <v>0</v>
      </c>
      <c r="BC426" s="3166">
        <f t="shared" si="276"/>
        <v>0</v>
      </c>
      <c r="BD426" s="3166">
        <f t="shared" si="277"/>
        <v>0</v>
      </c>
      <c r="BE426" s="3166">
        <f t="shared" si="278"/>
        <v>0</v>
      </c>
      <c r="BF426" s="3166">
        <f t="shared" si="279"/>
        <v>0</v>
      </c>
      <c r="BG426" s="3166">
        <f t="shared" si="280"/>
        <v>0</v>
      </c>
      <c r="BH426" s="3166">
        <f t="shared" si="281"/>
        <v>0</v>
      </c>
      <c r="BI426" s="3166">
        <f t="shared" si="282"/>
        <v>0</v>
      </c>
      <c r="BJ426" s="3166">
        <f t="shared" si="283"/>
        <v>0</v>
      </c>
      <c r="BK426" s="3166">
        <f t="shared" si="284"/>
        <v>0</v>
      </c>
      <c r="BL426" s="3166">
        <f t="shared" si="285"/>
        <v>0</v>
      </c>
      <c r="BM426" s="3166">
        <f t="shared" si="286"/>
        <v>0</v>
      </c>
      <c r="BN426" s="3166">
        <f t="shared" si="287"/>
        <v>0</v>
      </c>
      <c r="BO426" s="3166">
        <f t="shared" si="288"/>
        <v>0</v>
      </c>
      <c r="BP426" s="3166">
        <f t="shared" si="289"/>
        <v>0</v>
      </c>
      <c r="BQ426" s="3166">
        <f t="shared" si="290"/>
        <v>0</v>
      </c>
      <c r="BR426" s="3166">
        <f t="shared" si="291"/>
        <v>0</v>
      </c>
      <c r="BS426" s="3166">
        <f t="shared" si="292"/>
        <v>0</v>
      </c>
      <c r="BT426" s="3240">
        <f t="shared" si="293"/>
        <v>0</v>
      </c>
    </row>
    <row r="427" spans="1:72">
      <c r="A427" s="3163"/>
      <c r="B427" s="3164"/>
      <c r="C427" s="3164"/>
      <c r="D427" s="3176"/>
      <c r="E427" s="3166">
        <f t="shared" si="265"/>
        <v>0</v>
      </c>
      <c r="F427" s="3167"/>
      <c r="G427" s="3168">
        <f t="shared" si="266"/>
        <v>0</v>
      </c>
      <c r="H427" s="3169">
        <f t="shared" si="267"/>
        <v>0</v>
      </c>
      <c r="I427" s="3187"/>
      <c r="J427" s="3187"/>
      <c r="K427" s="3187"/>
      <c r="L427" s="3187"/>
      <c r="M427" s="3187"/>
      <c r="N427" s="3187"/>
      <c r="O427" s="3187"/>
      <c r="P427" s="3187"/>
      <c r="Q427" s="3187"/>
      <c r="R427" s="3187"/>
      <c r="S427" s="3187"/>
      <c r="T427" s="3187"/>
      <c r="U427" s="3187"/>
      <c r="V427" s="3187"/>
      <c r="W427" s="3187"/>
      <c r="X427" s="3187"/>
      <c r="Y427" s="3187"/>
      <c r="Z427" s="3187"/>
      <c r="AA427" s="3187"/>
      <c r="AB427" s="3187"/>
      <c r="AC427" s="3166">
        <f t="shared" si="268"/>
        <v>0</v>
      </c>
      <c r="AD427" s="3198"/>
      <c r="AE427" s="3198"/>
      <c r="AF427" s="3198"/>
      <c r="AG427" s="3198"/>
      <c r="AH427" s="3198"/>
      <c r="AI427" s="3198"/>
      <c r="AJ427" s="3198"/>
      <c r="AK427" s="3198"/>
      <c r="AL427" s="3198"/>
      <c r="AM427" s="3198"/>
      <c r="AN427" s="3198"/>
      <c r="AO427" s="3198"/>
      <c r="AP427" s="3198"/>
      <c r="AQ427" s="3198"/>
      <c r="AR427" s="3198"/>
      <c r="AS427" s="3198"/>
      <c r="AT427" s="3218"/>
      <c r="AU427" s="3219"/>
      <c r="AV427" s="488">
        <f t="shared" si="269"/>
        <v>0</v>
      </c>
      <c r="AW427" s="488">
        <f t="shared" si="270"/>
        <v>0</v>
      </c>
      <c r="AX427" s="488">
        <f t="shared" si="271"/>
        <v>0</v>
      </c>
      <c r="AY427" s="3235">
        <f t="shared" si="272"/>
        <v>0</v>
      </c>
      <c r="AZ427" s="3166">
        <f t="shared" si="273"/>
        <v>0</v>
      </c>
      <c r="BA427" s="3166">
        <f t="shared" si="274"/>
        <v>0</v>
      </c>
      <c r="BB427" s="3166">
        <f t="shared" si="275"/>
        <v>0</v>
      </c>
      <c r="BC427" s="3166">
        <f t="shared" si="276"/>
        <v>0</v>
      </c>
      <c r="BD427" s="3166">
        <f t="shared" si="277"/>
        <v>0</v>
      </c>
      <c r="BE427" s="3166">
        <f t="shared" si="278"/>
        <v>0</v>
      </c>
      <c r="BF427" s="3166">
        <f t="shared" si="279"/>
        <v>0</v>
      </c>
      <c r="BG427" s="3166">
        <f t="shared" si="280"/>
        <v>0</v>
      </c>
      <c r="BH427" s="3166">
        <f t="shared" si="281"/>
        <v>0</v>
      </c>
      <c r="BI427" s="3166">
        <f t="shared" si="282"/>
        <v>0</v>
      </c>
      <c r="BJ427" s="3166">
        <f t="shared" si="283"/>
        <v>0</v>
      </c>
      <c r="BK427" s="3166">
        <f t="shared" si="284"/>
        <v>0</v>
      </c>
      <c r="BL427" s="3166">
        <f t="shared" si="285"/>
        <v>0</v>
      </c>
      <c r="BM427" s="3166">
        <f t="shared" si="286"/>
        <v>0</v>
      </c>
      <c r="BN427" s="3166">
        <f t="shared" si="287"/>
        <v>0</v>
      </c>
      <c r="BO427" s="3166">
        <f t="shared" si="288"/>
        <v>0</v>
      </c>
      <c r="BP427" s="3166">
        <f t="shared" si="289"/>
        <v>0</v>
      </c>
      <c r="BQ427" s="3166">
        <f t="shared" si="290"/>
        <v>0</v>
      </c>
      <c r="BR427" s="3166">
        <f t="shared" si="291"/>
        <v>0</v>
      </c>
      <c r="BS427" s="3166">
        <f t="shared" si="292"/>
        <v>0</v>
      </c>
      <c r="BT427" s="3240">
        <f t="shared" si="293"/>
        <v>0</v>
      </c>
    </row>
    <row r="428" spans="1:72">
      <c r="A428" s="3163"/>
      <c r="B428" s="3164"/>
      <c r="C428" s="3164"/>
      <c r="D428" s="3176"/>
      <c r="E428" s="3166">
        <f t="shared" si="265"/>
        <v>0</v>
      </c>
      <c r="F428" s="3167"/>
      <c r="G428" s="3168">
        <f t="shared" si="266"/>
        <v>0</v>
      </c>
      <c r="H428" s="3169">
        <f t="shared" si="267"/>
        <v>0</v>
      </c>
      <c r="I428" s="3187"/>
      <c r="J428" s="3187"/>
      <c r="K428" s="3187"/>
      <c r="L428" s="3187"/>
      <c r="M428" s="3187"/>
      <c r="N428" s="3187"/>
      <c r="O428" s="3187"/>
      <c r="P428" s="3187"/>
      <c r="Q428" s="3187"/>
      <c r="R428" s="3187"/>
      <c r="S428" s="3187"/>
      <c r="T428" s="3187"/>
      <c r="U428" s="3187"/>
      <c r="V428" s="3187"/>
      <c r="W428" s="3187"/>
      <c r="X428" s="3187"/>
      <c r="Y428" s="3187"/>
      <c r="Z428" s="3187"/>
      <c r="AA428" s="3187"/>
      <c r="AB428" s="3187"/>
      <c r="AC428" s="3166">
        <f t="shared" si="268"/>
        <v>0</v>
      </c>
      <c r="AD428" s="3198"/>
      <c r="AE428" s="3198"/>
      <c r="AF428" s="3198"/>
      <c r="AG428" s="3198"/>
      <c r="AH428" s="3198"/>
      <c r="AI428" s="3198"/>
      <c r="AJ428" s="3198"/>
      <c r="AK428" s="3198"/>
      <c r="AL428" s="3198"/>
      <c r="AM428" s="3198"/>
      <c r="AN428" s="3198"/>
      <c r="AO428" s="3198"/>
      <c r="AP428" s="3198"/>
      <c r="AQ428" s="3198"/>
      <c r="AR428" s="3198"/>
      <c r="AS428" s="3198"/>
      <c r="AT428" s="3218"/>
      <c r="AU428" s="3219"/>
      <c r="AV428" s="488">
        <f t="shared" si="269"/>
        <v>0</v>
      </c>
      <c r="AW428" s="488">
        <f t="shared" si="270"/>
        <v>0</v>
      </c>
      <c r="AX428" s="488">
        <f t="shared" si="271"/>
        <v>0</v>
      </c>
      <c r="AY428" s="3235">
        <f t="shared" si="272"/>
        <v>0</v>
      </c>
      <c r="AZ428" s="3166">
        <f t="shared" si="273"/>
        <v>0</v>
      </c>
      <c r="BA428" s="3166">
        <f t="shared" si="274"/>
        <v>0</v>
      </c>
      <c r="BB428" s="3166">
        <f t="shared" si="275"/>
        <v>0</v>
      </c>
      <c r="BC428" s="3166">
        <f t="shared" si="276"/>
        <v>0</v>
      </c>
      <c r="BD428" s="3166">
        <f t="shared" si="277"/>
        <v>0</v>
      </c>
      <c r="BE428" s="3166">
        <f t="shared" si="278"/>
        <v>0</v>
      </c>
      <c r="BF428" s="3166">
        <f t="shared" si="279"/>
        <v>0</v>
      </c>
      <c r="BG428" s="3166">
        <f t="shared" si="280"/>
        <v>0</v>
      </c>
      <c r="BH428" s="3166">
        <f t="shared" si="281"/>
        <v>0</v>
      </c>
      <c r="BI428" s="3166">
        <f t="shared" si="282"/>
        <v>0</v>
      </c>
      <c r="BJ428" s="3166">
        <f t="shared" si="283"/>
        <v>0</v>
      </c>
      <c r="BK428" s="3166">
        <f t="shared" si="284"/>
        <v>0</v>
      </c>
      <c r="BL428" s="3166">
        <f t="shared" si="285"/>
        <v>0</v>
      </c>
      <c r="BM428" s="3166">
        <f t="shared" si="286"/>
        <v>0</v>
      </c>
      <c r="BN428" s="3166">
        <f t="shared" si="287"/>
        <v>0</v>
      </c>
      <c r="BO428" s="3166">
        <f t="shared" si="288"/>
        <v>0</v>
      </c>
      <c r="BP428" s="3166">
        <f t="shared" si="289"/>
        <v>0</v>
      </c>
      <c r="BQ428" s="3166">
        <f t="shared" si="290"/>
        <v>0</v>
      </c>
      <c r="BR428" s="3166">
        <f t="shared" si="291"/>
        <v>0</v>
      </c>
      <c r="BS428" s="3166">
        <f t="shared" si="292"/>
        <v>0</v>
      </c>
      <c r="BT428" s="3240">
        <f t="shared" si="293"/>
        <v>0</v>
      </c>
    </row>
    <row r="429" spans="1:72">
      <c r="A429" s="3163"/>
      <c r="B429" s="3164"/>
      <c r="C429" s="3164"/>
      <c r="D429" s="3176"/>
      <c r="E429" s="3166">
        <f t="shared" si="265"/>
        <v>0</v>
      </c>
      <c r="F429" s="3167"/>
      <c r="G429" s="3168">
        <f t="shared" si="266"/>
        <v>0</v>
      </c>
      <c r="H429" s="3169">
        <f t="shared" si="267"/>
        <v>0</v>
      </c>
      <c r="I429" s="3187"/>
      <c r="J429" s="3187"/>
      <c r="K429" s="3187"/>
      <c r="L429" s="3187"/>
      <c r="M429" s="3187"/>
      <c r="N429" s="3187"/>
      <c r="O429" s="3187"/>
      <c r="P429" s="3187"/>
      <c r="Q429" s="3187"/>
      <c r="R429" s="3187"/>
      <c r="S429" s="3187"/>
      <c r="T429" s="3187"/>
      <c r="U429" s="3187"/>
      <c r="V429" s="3187"/>
      <c r="W429" s="3187"/>
      <c r="X429" s="3187"/>
      <c r="Y429" s="3187"/>
      <c r="Z429" s="3187"/>
      <c r="AA429" s="3187"/>
      <c r="AB429" s="3187"/>
      <c r="AC429" s="3166">
        <f t="shared" si="268"/>
        <v>0</v>
      </c>
      <c r="AD429" s="3198"/>
      <c r="AE429" s="3198"/>
      <c r="AF429" s="3198"/>
      <c r="AG429" s="3198"/>
      <c r="AH429" s="3198"/>
      <c r="AI429" s="3198"/>
      <c r="AJ429" s="3198"/>
      <c r="AK429" s="3198"/>
      <c r="AL429" s="3198"/>
      <c r="AM429" s="3198"/>
      <c r="AN429" s="3198"/>
      <c r="AO429" s="3198"/>
      <c r="AP429" s="3198"/>
      <c r="AQ429" s="3198"/>
      <c r="AR429" s="3198"/>
      <c r="AS429" s="3198"/>
      <c r="AT429" s="3218"/>
      <c r="AU429" s="3219"/>
      <c r="AV429" s="488">
        <f t="shared" si="269"/>
        <v>0</v>
      </c>
      <c r="AW429" s="488">
        <f t="shared" si="270"/>
        <v>0</v>
      </c>
      <c r="AX429" s="488">
        <f t="shared" si="271"/>
        <v>0</v>
      </c>
      <c r="AY429" s="3235">
        <f t="shared" si="272"/>
        <v>0</v>
      </c>
      <c r="AZ429" s="3166">
        <f t="shared" si="273"/>
        <v>0</v>
      </c>
      <c r="BA429" s="3166">
        <f t="shared" si="274"/>
        <v>0</v>
      </c>
      <c r="BB429" s="3166">
        <f t="shared" si="275"/>
        <v>0</v>
      </c>
      <c r="BC429" s="3166">
        <f t="shared" si="276"/>
        <v>0</v>
      </c>
      <c r="BD429" s="3166">
        <f t="shared" si="277"/>
        <v>0</v>
      </c>
      <c r="BE429" s="3166">
        <f t="shared" si="278"/>
        <v>0</v>
      </c>
      <c r="BF429" s="3166">
        <f t="shared" si="279"/>
        <v>0</v>
      </c>
      <c r="BG429" s="3166">
        <f t="shared" si="280"/>
        <v>0</v>
      </c>
      <c r="BH429" s="3166">
        <f t="shared" si="281"/>
        <v>0</v>
      </c>
      <c r="BI429" s="3166">
        <f t="shared" si="282"/>
        <v>0</v>
      </c>
      <c r="BJ429" s="3166">
        <f t="shared" si="283"/>
        <v>0</v>
      </c>
      <c r="BK429" s="3166">
        <f t="shared" si="284"/>
        <v>0</v>
      </c>
      <c r="BL429" s="3166">
        <f t="shared" si="285"/>
        <v>0</v>
      </c>
      <c r="BM429" s="3166">
        <f t="shared" si="286"/>
        <v>0</v>
      </c>
      <c r="BN429" s="3166">
        <f t="shared" si="287"/>
        <v>0</v>
      </c>
      <c r="BO429" s="3166">
        <f t="shared" si="288"/>
        <v>0</v>
      </c>
      <c r="BP429" s="3166">
        <f t="shared" si="289"/>
        <v>0</v>
      </c>
      <c r="BQ429" s="3166">
        <f t="shared" si="290"/>
        <v>0</v>
      </c>
      <c r="BR429" s="3166">
        <f t="shared" si="291"/>
        <v>0</v>
      </c>
      <c r="BS429" s="3166">
        <f t="shared" si="292"/>
        <v>0</v>
      </c>
      <c r="BT429" s="3240">
        <f t="shared" si="293"/>
        <v>0</v>
      </c>
    </row>
    <row r="430" spans="1:72">
      <c r="A430" s="3163"/>
      <c r="B430" s="3164"/>
      <c r="C430" s="3164"/>
      <c r="D430" s="3176"/>
      <c r="E430" s="3166">
        <f t="shared" si="265"/>
        <v>0</v>
      </c>
      <c r="F430" s="3167"/>
      <c r="G430" s="3168">
        <f t="shared" si="266"/>
        <v>0</v>
      </c>
      <c r="H430" s="3169">
        <f t="shared" si="267"/>
        <v>0</v>
      </c>
      <c r="I430" s="3187"/>
      <c r="J430" s="3187"/>
      <c r="K430" s="3187"/>
      <c r="L430" s="3187"/>
      <c r="M430" s="3187"/>
      <c r="N430" s="3187"/>
      <c r="O430" s="3187"/>
      <c r="P430" s="3187"/>
      <c r="Q430" s="3187"/>
      <c r="R430" s="3187"/>
      <c r="S430" s="3187"/>
      <c r="T430" s="3187"/>
      <c r="U430" s="3187"/>
      <c r="V430" s="3187"/>
      <c r="W430" s="3187"/>
      <c r="X430" s="3187"/>
      <c r="Y430" s="3187"/>
      <c r="Z430" s="3187"/>
      <c r="AA430" s="3187"/>
      <c r="AB430" s="3187"/>
      <c r="AC430" s="3166">
        <f t="shared" si="268"/>
        <v>0</v>
      </c>
      <c r="AD430" s="3198"/>
      <c r="AE430" s="3198"/>
      <c r="AF430" s="3198"/>
      <c r="AG430" s="3198"/>
      <c r="AH430" s="3198"/>
      <c r="AI430" s="3198"/>
      <c r="AJ430" s="3198"/>
      <c r="AK430" s="3198"/>
      <c r="AL430" s="3198"/>
      <c r="AM430" s="3198"/>
      <c r="AN430" s="3198"/>
      <c r="AO430" s="3198"/>
      <c r="AP430" s="3198"/>
      <c r="AQ430" s="3198"/>
      <c r="AR430" s="3198"/>
      <c r="AS430" s="3198"/>
      <c r="AT430" s="3218"/>
      <c r="AU430" s="3219"/>
      <c r="AV430" s="488">
        <f t="shared" si="269"/>
        <v>0</v>
      </c>
      <c r="AW430" s="488">
        <f t="shared" si="270"/>
        <v>0</v>
      </c>
      <c r="AX430" s="488">
        <f t="shared" si="271"/>
        <v>0</v>
      </c>
      <c r="AY430" s="3235">
        <f t="shared" si="272"/>
        <v>0</v>
      </c>
      <c r="AZ430" s="3166">
        <f t="shared" si="273"/>
        <v>0</v>
      </c>
      <c r="BA430" s="3166">
        <f t="shared" si="274"/>
        <v>0</v>
      </c>
      <c r="BB430" s="3166">
        <f t="shared" si="275"/>
        <v>0</v>
      </c>
      <c r="BC430" s="3166">
        <f t="shared" si="276"/>
        <v>0</v>
      </c>
      <c r="BD430" s="3166">
        <f t="shared" si="277"/>
        <v>0</v>
      </c>
      <c r="BE430" s="3166">
        <f t="shared" si="278"/>
        <v>0</v>
      </c>
      <c r="BF430" s="3166">
        <f t="shared" si="279"/>
        <v>0</v>
      </c>
      <c r="BG430" s="3166">
        <f t="shared" si="280"/>
        <v>0</v>
      </c>
      <c r="BH430" s="3166">
        <f t="shared" si="281"/>
        <v>0</v>
      </c>
      <c r="BI430" s="3166">
        <f t="shared" si="282"/>
        <v>0</v>
      </c>
      <c r="BJ430" s="3166">
        <f t="shared" si="283"/>
        <v>0</v>
      </c>
      <c r="BK430" s="3166">
        <f t="shared" si="284"/>
        <v>0</v>
      </c>
      <c r="BL430" s="3166">
        <f t="shared" si="285"/>
        <v>0</v>
      </c>
      <c r="BM430" s="3166">
        <f t="shared" si="286"/>
        <v>0</v>
      </c>
      <c r="BN430" s="3166">
        <f t="shared" si="287"/>
        <v>0</v>
      </c>
      <c r="BO430" s="3166">
        <f t="shared" si="288"/>
        <v>0</v>
      </c>
      <c r="BP430" s="3166">
        <f t="shared" si="289"/>
        <v>0</v>
      </c>
      <c r="BQ430" s="3166">
        <f t="shared" si="290"/>
        <v>0</v>
      </c>
      <c r="BR430" s="3166">
        <f t="shared" si="291"/>
        <v>0</v>
      </c>
      <c r="BS430" s="3166">
        <f t="shared" si="292"/>
        <v>0</v>
      </c>
      <c r="BT430" s="3240">
        <f t="shared" si="293"/>
        <v>0</v>
      </c>
    </row>
    <row r="431" spans="1:72">
      <c r="A431" s="3163"/>
      <c r="B431" s="3164"/>
      <c r="C431" s="3164"/>
      <c r="D431" s="3176"/>
      <c r="E431" s="3166">
        <f t="shared" si="265"/>
        <v>0</v>
      </c>
      <c r="F431" s="3167"/>
      <c r="G431" s="3168">
        <f t="shared" si="266"/>
        <v>0</v>
      </c>
      <c r="H431" s="3169">
        <f t="shared" si="267"/>
        <v>0</v>
      </c>
      <c r="I431" s="3187"/>
      <c r="J431" s="3187"/>
      <c r="K431" s="3187"/>
      <c r="L431" s="3187"/>
      <c r="M431" s="3187"/>
      <c r="N431" s="3187"/>
      <c r="O431" s="3187"/>
      <c r="P431" s="3187"/>
      <c r="Q431" s="3187"/>
      <c r="R431" s="3187"/>
      <c r="S431" s="3187"/>
      <c r="T431" s="3187"/>
      <c r="U431" s="3187"/>
      <c r="V431" s="3187"/>
      <c r="W431" s="3187"/>
      <c r="X431" s="3187"/>
      <c r="Y431" s="3187"/>
      <c r="Z431" s="3187"/>
      <c r="AA431" s="3187"/>
      <c r="AB431" s="3187"/>
      <c r="AC431" s="3166">
        <f t="shared" si="268"/>
        <v>0</v>
      </c>
      <c r="AD431" s="3198"/>
      <c r="AE431" s="3198"/>
      <c r="AF431" s="3198"/>
      <c r="AG431" s="3198"/>
      <c r="AH431" s="3198"/>
      <c r="AI431" s="3198"/>
      <c r="AJ431" s="3198"/>
      <c r="AK431" s="3198"/>
      <c r="AL431" s="3198"/>
      <c r="AM431" s="3198"/>
      <c r="AN431" s="3198"/>
      <c r="AO431" s="3198"/>
      <c r="AP431" s="3198"/>
      <c r="AQ431" s="3198"/>
      <c r="AR431" s="3198"/>
      <c r="AS431" s="3198"/>
      <c r="AT431" s="3218"/>
      <c r="AU431" s="3219"/>
      <c r="AV431" s="488">
        <f t="shared" si="269"/>
        <v>0</v>
      </c>
      <c r="AW431" s="488">
        <f t="shared" si="270"/>
        <v>0</v>
      </c>
      <c r="AX431" s="488">
        <f t="shared" si="271"/>
        <v>0</v>
      </c>
      <c r="AY431" s="3235">
        <f t="shared" si="272"/>
        <v>0</v>
      </c>
      <c r="AZ431" s="3166">
        <f t="shared" si="273"/>
        <v>0</v>
      </c>
      <c r="BA431" s="3166">
        <f t="shared" si="274"/>
        <v>0</v>
      </c>
      <c r="BB431" s="3166">
        <f t="shared" si="275"/>
        <v>0</v>
      </c>
      <c r="BC431" s="3166">
        <f t="shared" si="276"/>
        <v>0</v>
      </c>
      <c r="BD431" s="3166">
        <f t="shared" si="277"/>
        <v>0</v>
      </c>
      <c r="BE431" s="3166">
        <f t="shared" si="278"/>
        <v>0</v>
      </c>
      <c r="BF431" s="3166">
        <f t="shared" si="279"/>
        <v>0</v>
      </c>
      <c r="BG431" s="3166">
        <f t="shared" si="280"/>
        <v>0</v>
      </c>
      <c r="BH431" s="3166">
        <f t="shared" si="281"/>
        <v>0</v>
      </c>
      <c r="BI431" s="3166">
        <f t="shared" si="282"/>
        <v>0</v>
      </c>
      <c r="BJ431" s="3166">
        <f t="shared" si="283"/>
        <v>0</v>
      </c>
      <c r="BK431" s="3166">
        <f t="shared" si="284"/>
        <v>0</v>
      </c>
      <c r="BL431" s="3166">
        <f t="shared" si="285"/>
        <v>0</v>
      </c>
      <c r="BM431" s="3166">
        <f t="shared" si="286"/>
        <v>0</v>
      </c>
      <c r="BN431" s="3166">
        <f t="shared" si="287"/>
        <v>0</v>
      </c>
      <c r="BO431" s="3166">
        <f t="shared" si="288"/>
        <v>0</v>
      </c>
      <c r="BP431" s="3166">
        <f t="shared" si="289"/>
        <v>0</v>
      </c>
      <c r="BQ431" s="3166">
        <f t="shared" si="290"/>
        <v>0</v>
      </c>
      <c r="BR431" s="3166">
        <f t="shared" si="291"/>
        <v>0</v>
      </c>
      <c r="BS431" s="3166">
        <f t="shared" si="292"/>
        <v>0</v>
      </c>
      <c r="BT431" s="3240">
        <f t="shared" si="293"/>
        <v>0</v>
      </c>
    </row>
    <row r="432" spans="1:72">
      <c r="A432" s="3163"/>
      <c r="B432" s="3164"/>
      <c r="C432" s="3164"/>
      <c r="D432" s="3176"/>
      <c r="E432" s="3166">
        <f t="shared" si="265"/>
        <v>0</v>
      </c>
      <c r="F432" s="3167"/>
      <c r="G432" s="3168">
        <f t="shared" si="266"/>
        <v>0</v>
      </c>
      <c r="H432" s="3169">
        <f t="shared" si="267"/>
        <v>0</v>
      </c>
      <c r="I432" s="3187"/>
      <c r="J432" s="3187"/>
      <c r="K432" s="3187"/>
      <c r="L432" s="3187"/>
      <c r="M432" s="3187"/>
      <c r="N432" s="3187"/>
      <c r="O432" s="3187"/>
      <c r="P432" s="3187"/>
      <c r="Q432" s="3187"/>
      <c r="R432" s="3187"/>
      <c r="S432" s="3187"/>
      <c r="T432" s="3187"/>
      <c r="U432" s="3187"/>
      <c r="V432" s="3187"/>
      <c r="W432" s="3187"/>
      <c r="X432" s="3187"/>
      <c r="Y432" s="3187"/>
      <c r="Z432" s="3187"/>
      <c r="AA432" s="3187"/>
      <c r="AB432" s="3187"/>
      <c r="AC432" s="3166">
        <f t="shared" si="268"/>
        <v>0</v>
      </c>
      <c r="AD432" s="3198"/>
      <c r="AE432" s="3198"/>
      <c r="AF432" s="3198"/>
      <c r="AG432" s="3198"/>
      <c r="AH432" s="3198"/>
      <c r="AI432" s="3198"/>
      <c r="AJ432" s="3198"/>
      <c r="AK432" s="3198"/>
      <c r="AL432" s="3198"/>
      <c r="AM432" s="3198"/>
      <c r="AN432" s="3198"/>
      <c r="AO432" s="3198"/>
      <c r="AP432" s="3198"/>
      <c r="AQ432" s="3198"/>
      <c r="AR432" s="3198"/>
      <c r="AS432" s="3198"/>
      <c r="AT432" s="3218"/>
      <c r="AU432" s="3219"/>
      <c r="AV432" s="488">
        <f t="shared" si="269"/>
        <v>0</v>
      </c>
      <c r="AW432" s="488">
        <f t="shared" si="270"/>
        <v>0</v>
      </c>
      <c r="AX432" s="488">
        <f t="shared" si="271"/>
        <v>0</v>
      </c>
      <c r="AY432" s="3235">
        <f t="shared" si="272"/>
        <v>0</v>
      </c>
      <c r="AZ432" s="3166">
        <f t="shared" si="273"/>
        <v>0</v>
      </c>
      <c r="BA432" s="3166">
        <f t="shared" si="274"/>
        <v>0</v>
      </c>
      <c r="BB432" s="3166">
        <f t="shared" si="275"/>
        <v>0</v>
      </c>
      <c r="BC432" s="3166">
        <f t="shared" si="276"/>
        <v>0</v>
      </c>
      <c r="BD432" s="3166">
        <f t="shared" si="277"/>
        <v>0</v>
      </c>
      <c r="BE432" s="3166">
        <f t="shared" si="278"/>
        <v>0</v>
      </c>
      <c r="BF432" s="3166">
        <f t="shared" si="279"/>
        <v>0</v>
      </c>
      <c r="BG432" s="3166">
        <f t="shared" si="280"/>
        <v>0</v>
      </c>
      <c r="BH432" s="3166">
        <f t="shared" si="281"/>
        <v>0</v>
      </c>
      <c r="BI432" s="3166">
        <f t="shared" si="282"/>
        <v>0</v>
      </c>
      <c r="BJ432" s="3166">
        <f t="shared" si="283"/>
        <v>0</v>
      </c>
      <c r="BK432" s="3166">
        <f t="shared" si="284"/>
        <v>0</v>
      </c>
      <c r="BL432" s="3166">
        <f t="shared" si="285"/>
        <v>0</v>
      </c>
      <c r="BM432" s="3166">
        <f t="shared" si="286"/>
        <v>0</v>
      </c>
      <c r="BN432" s="3166">
        <f t="shared" si="287"/>
        <v>0</v>
      </c>
      <c r="BO432" s="3166">
        <f t="shared" si="288"/>
        <v>0</v>
      </c>
      <c r="BP432" s="3166">
        <f t="shared" si="289"/>
        <v>0</v>
      </c>
      <c r="BQ432" s="3166">
        <f t="shared" si="290"/>
        <v>0</v>
      </c>
      <c r="BR432" s="3166">
        <f t="shared" si="291"/>
        <v>0</v>
      </c>
      <c r="BS432" s="3166">
        <f t="shared" si="292"/>
        <v>0</v>
      </c>
      <c r="BT432" s="3240">
        <f t="shared" si="293"/>
        <v>0</v>
      </c>
    </row>
    <row r="433" spans="1:72">
      <c r="A433" s="3163"/>
      <c r="B433" s="3164"/>
      <c r="C433" s="3164"/>
      <c r="D433" s="3176"/>
      <c r="E433" s="3166">
        <f t="shared" si="265"/>
        <v>0</v>
      </c>
      <c r="F433" s="3167"/>
      <c r="G433" s="3168">
        <f t="shared" si="266"/>
        <v>0</v>
      </c>
      <c r="H433" s="3169">
        <f t="shared" si="267"/>
        <v>0</v>
      </c>
      <c r="I433" s="3187"/>
      <c r="J433" s="3187"/>
      <c r="K433" s="3187"/>
      <c r="L433" s="3187"/>
      <c r="M433" s="3187"/>
      <c r="N433" s="3187"/>
      <c r="O433" s="3187"/>
      <c r="P433" s="3187"/>
      <c r="Q433" s="3187"/>
      <c r="R433" s="3187"/>
      <c r="S433" s="3187"/>
      <c r="T433" s="3187"/>
      <c r="U433" s="3187"/>
      <c r="V433" s="3187"/>
      <c r="W433" s="3187"/>
      <c r="X433" s="3187"/>
      <c r="Y433" s="3187"/>
      <c r="Z433" s="3187"/>
      <c r="AA433" s="3187"/>
      <c r="AB433" s="3187"/>
      <c r="AC433" s="3166">
        <f t="shared" si="268"/>
        <v>0</v>
      </c>
      <c r="AD433" s="3198"/>
      <c r="AE433" s="3198"/>
      <c r="AF433" s="3198"/>
      <c r="AG433" s="3198"/>
      <c r="AH433" s="3198"/>
      <c r="AI433" s="3198"/>
      <c r="AJ433" s="3198"/>
      <c r="AK433" s="3198"/>
      <c r="AL433" s="3198"/>
      <c r="AM433" s="3198"/>
      <c r="AN433" s="3198"/>
      <c r="AO433" s="3198"/>
      <c r="AP433" s="3198"/>
      <c r="AQ433" s="3198"/>
      <c r="AR433" s="3198"/>
      <c r="AS433" s="3198"/>
      <c r="AT433" s="3218"/>
      <c r="AU433" s="3219"/>
      <c r="AV433" s="488">
        <f t="shared" si="269"/>
        <v>0</v>
      </c>
      <c r="AW433" s="488">
        <f t="shared" si="270"/>
        <v>0</v>
      </c>
      <c r="AX433" s="488">
        <f t="shared" si="271"/>
        <v>0</v>
      </c>
      <c r="AY433" s="3235">
        <f t="shared" si="272"/>
        <v>0</v>
      </c>
      <c r="AZ433" s="3166">
        <f t="shared" si="273"/>
        <v>0</v>
      </c>
      <c r="BA433" s="3166">
        <f t="shared" si="274"/>
        <v>0</v>
      </c>
      <c r="BB433" s="3166">
        <f t="shared" si="275"/>
        <v>0</v>
      </c>
      <c r="BC433" s="3166">
        <f t="shared" si="276"/>
        <v>0</v>
      </c>
      <c r="BD433" s="3166">
        <f t="shared" si="277"/>
        <v>0</v>
      </c>
      <c r="BE433" s="3166">
        <f t="shared" si="278"/>
        <v>0</v>
      </c>
      <c r="BF433" s="3166">
        <f t="shared" si="279"/>
        <v>0</v>
      </c>
      <c r="BG433" s="3166">
        <f t="shared" si="280"/>
        <v>0</v>
      </c>
      <c r="BH433" s="3166">
        <f t="shared" si="281"/>
        <v>0</v>
      </c>
      <c r="BI433" s="3166">
        <f t="shared" si="282"/>
        <v>0</v>
      </c>
      <c r="BJ433" s="3166">
        <f t="shared" si="283"/>
        <v>0</v>
      </c>
      <c r="BK433" s="3166">
        <f t="shared" si="284"/>
        <v>0</v>
      </c>
      <c r="BL433" s="3166">
        <f t="shared" si="285"/>
        <v>0</v>
      </c>
      <c r="BM433" s="3166">
        <f t="shared" si="286"/>
        <v>0</v>
      </c>
      <c r="BN433" s="3166">
        <f t="shared" si="287"/>
        <v>0</v>
      </c>
      <c r="BO433" s="3166">
        <f t="shared" si="288"/>
        <v>0</v>
      </c>
      <c r="BP433" s="3166">
        <f t="shared" si="289"/>
        <v>0</v>
      </c>
      <c r="BQ433" s="3166">
        <f t="shared" si="290"/>
        <v>0</v>
      </c>
      <c r="BR433" s="3166">
        <f t="shared" si="291"/>
        <v>0</v>
      </c>
      <c r="BS433" s="3166">
        <f t="shared" si="292"/>
        <v>0</v>
      </c>
      <c r="BT433" s="3240">
        <f t="shared" si="293"/>
        <v>0</v>
      </c>
    </row>
    <row r="434" spans="1:72">
      <c r="A434" s="3163"/>
      <c r="B434" s="3164"/>
      <c r="C434" s="3164"/>
      <c r="D434" s="3176"/>
      <c r="E434" s="3166">
        <f t="shared" si="265"/>
        <v>0</v>
      </c>
      <c r="F434" s="3167"/>
      <c r="G434" s="3168">
        <f t="shared" si="266"/>
        <v>0</v>
      </c>
      <c r="H434" s="3169">
        <f t="shared" si="267"/>
        <v>0</v>
      </c>
      <c r="I434" s="3187"/>
      <c r="J434" s="3187"/>
      <c r="K434" s="3187"/>
      <c r="L434" s="3187"/>
      <c r="M434" s="3187"/>
      <c r="N434" s="3187"/>
      <c r="O434" s="3187"/>
      <c r="P434" s="3187"/>
      <c r="Q434" s="3187"/>
      <c r="R434" s="3187"/>
      <c r="S434" s="3187"/>
      <c r="T434" s="3187"/>
      <c r="U434" s="3187"/>
      <c r="V434" s="3187"/>
      <c r="W434" s="3187"/>
      <c r="X434" s="3187"/>
      <c r="Y434" s="3187"/>
      <c r="Z434" s="3187"/>
      <c r="AA434" s="3187"/>
      <c r="AB434" s="3187"/>
      <c r="AC434" s="3166">
        <f t="shared" si="268"/>
        <v>0</v>
      </c>
      <c r="AD434" s="3198"/>
      <c r="AE434" s="3198"/>
      <c r="AF434" s="3198"/>
      <c r="AG434" s="3198"/>
      <c r="AH434" s="3198"/>
      <c r="AI434" s="3198"/>
      <c r="AJ434" s="3198"/>
      <c r="AK434" s="3198"/>
      <c r="AL434" s="3198"/>
      <c r="AM434" s="3198"/>
      <c r="AN434" s="3198"/>
      <c r="AO434" s="3198"/>
      <c r="AP434" s="3198"/>
      <c r="AQ434" s="3198"/>
      <c r="AR434" s="3198"/>
      <c r="AS434" s="3198"/>
      <c r="AT434" s="3218"/>
      <c r="AU434" s="3219"/>
      <c r="AV434" s="488">
        <f t="shared" si="269"/>
        <v>0</v>
      </c>
      <c r="AW434" s="488">
        <f t="shared" si="270"/>
        <v>0</v>
      </c>
      <c r="AX434" s="488">
        <f t="shared" si="271"/>
        <v>0</v>
      </c>
      <c r="AY434" s="3235">
        <f t="shared" si="272"/>
        <v>0</v>
      </c>
      <c r="AZ434" s="3166">
        <f t="shared" si="273"/>
        <v>0</v>
      </c>
      <c r="BA434" s="3166">
        <f t="shared" si="274"/>
        <v>0</v>
      </c>
      <c r="BB434" s="3166">
        <f t="shared" si="275"/>
        <v>0</v>
      </c>
      <c r="BC434" s="3166">
        <f t="shared" si="276"/>
        <v>0</v>
      </c>
      <c r="BD434" s="3166">
        <f t="shared" si="277"/>
        <v>0</v>
      </c>
      <c r="BE434" s="3166">
        <f t="shared" si="278"/>
        <v>0</v>
      </c>
      <c r="BF434" s="3166">
        <f t="shared" si="279"/>
        <v>0</v>
      </c>
      <c r="BG434" s="3166">
        <f t="shared" si="280"/>
        <v>0</v>
      </c>
      <c r="BH434" s="3166">
        <f t="shared" si="281"/>
        <v>0</v>
      </c>
      <c r="BI434" s="3166">
        <f t="shared" si="282"/>
        <v>0</v>
      </c>
      <c r="BJ434" s="3166">
        <f t="shared" si="283"/>
        <v>0</v>
      </c>
      <c r="BK434" s="3166">
        <f t="shared" si="284"/>
        <v>0</v>
      </c>
      <c r="BL434" s="3166">
        <f t="shared" si="285"/>
        <v>0</v>
      </c>
      <c r="BM434" s="3166">
        <f t="shared" si="286"/>
        <v>0</v>
      </c>
      <c r="BN434" s="3166">
        <f t="shared" si="287"/>
        <v>0</v>
      </c>
      <c r="BO434" s="3166">
        <f t="shared" si="288"/>
        <v>0</v>
      </c>
      <c r="BP434" s="3166">
        <f t="shared" si="289"/>
        <v>0</v>
      </c>
      <c r="BQ434" s="3166">
        <f t="shared" si="290"/>
        <v>0</v>
      </c>
      <c r="BR434" s="3166">
        <f t="shared" si="291"/>
        <v>0</v>
      </c>
      <c r="BS434" s="3166">
        <f t="shared" si="292"/>
        <v>0</v>
      </c>
      <c r="BT434" s="3240">
        <f t="shared" si="293"/>
        <v>0</v>
      </c>
    </row>
    <row r="435" spans="1:72">
      <c r="A435" s="3163"/>
      <c r="B435" s="3164"/>
      <c r="C435" s="3164"/>
      <c r="D435" s="3176"/>
      <c r="E435" s="3166">
        <f t="shared" si="265"/>
        <v>0</v>
      </c>
      <c r="F435" s="3167"/>
      <c r="G435" s="3168">
        <f t="shared" si="266"/>
        <v>0</v>
      </c>
      <c r="H435" s="3169">
        <f t="shared" si="267"/>
        <v>0</v>
      </c>
      <c r="I435" s="3187"/>
      <c r="J435" s="3187"/>
      <c r="K435" s="3187"/>
      <c r="L435" s="3187"/>
      <c r="M435" s="3187"/>
      <c r="N435" s="3187"/>
      <c r="O435" s="3187"/>
      <c r="P435" s="3187"/>
      <c r="Q435" s="3187"/>
      <c r="R435" s="3187"/>
      <c r="S435" s="3187"/>
      <c r="T435" s="3187"/>
      <c r="U435" s="3187"/>
      <c r="V435" s="3187"/>
      <c r="W435" s="3187"/>
      <c r="X435" s="3187"/>
      <c r="Y435" s="3187"/>
      <c r="Z435" s="3187"/>
      <c r="AA435" s="3187"/>
      <c r="AB435" s="3187"/>
      <c r="AC435" s="3166">
        <f t="shared" si="268"/>
        <v>0</v>
      </c>
      <c r="AD435" s="3198"/>
      <c r="AE435" s="3198"/>
      <c r="AF435" s="3198"/>
      <c r="AG435" s="3198"/>
      <c r="AH435" s="3198"/>
      <c r="AI435" s="3198"/>
      <c r="AJ435" s="3198"/>
      <c r="AK435" s="3198"/>
      <c r="AL435" s="3198"/>
      <c r="AM435" s="3198"/>
      <c r="AN435" s="3198"/>
      <c r="AO435" s="3198"/>
      <c r="AP435" s="3198"/>
      <c r="AQ435" s="3198"/>
      <c r="AR435" s="3198"/>
      <c r="AS435" s="3198"/>
      <c r="AT435" s="3218"/>
      <c r="AU435" s="3219"/>
      <c r="AV435" s="488">
        <f t="shared" si="269"/>
        <v>0</v>
      </c>
      <c r="AW435" s="488">
        <f t="shared" si="270"/>
        <v>0</v>
      </c>
      <c r="AX435" s="488">
        <f t="shared" si="271"/>
        <v>0</v>
      </c>
      <c r="AY435" s="3235">
        <f t="shared" si="272"/>
        <v>0</v>
      </c>
      <c r="AZ435" s="3166">
        <f t="shared" si="273"/>
        <v>0</v>
      </c>
      <c r="BA435" s="3166">
        <f t="shared" si="274"/>
        <v>0</v>
      </c>
      <c r="BB435" s="3166">
        <f t="shared" si="275"/>
        <v>0</v>
      </c>
      <c r="BC435" s="3166">
        <f t="shared" si="276"/>
        <v>0</v>
      </c>
      <c r="BD435" s="3166">
        <f t="shared" si="277"/>
        <v>0</v>
      </c>
      <c r="BE435" s="3166">
        <f t="shared" si="278"/>
        <v>0</v>
      </c>
      <c r="BF435" s="3166">
        <f t="shared" si="279"/>
        <v>0</v>
      </c>
      <c r="BG435" s="3166">
        <f t="shared" si="280"/>
        <v>0</v>
      </c>
      <c r="BH435" s="3166">
        <f t="shared" si="281"/>
        <v>0</v>
      </c>
      <c r="BI435" s="3166">
        <f t="shared" si="282"/>
        <v>0</v>
      </c>
      <c r="BJ435" s="3166">
        <f t="shared" si="283"/>
        <v>0</v>
      </c>
      <c r="BK435" s="3166">
        <f t="shared" si="284"/>
        <v>0</v>
      </c>
      <c r="BL435" s="3166">
        <f t="shared" si="285"/>
        <v>0</v>
      </c>
      <c r="BM435" s="3166">
        <f t="shared" si="286"/>
        <v>0</v>
      </c>
      <c r="BN435" s="3166">
        <f t="shared" si="287"/>
        <v>0</v>
      </c>
      <c r="BO435" s="3166">
        <f t="shared" si="288"/>
        <v>0</v>
      </c>
      <c r="BP435" s="3166">
        <f t="shared" si="289"/>
        <v>0</v>
      </c>
      <c r="BQ435" s="3166">
        <f t="shared" si="290"/>
        <v>0</v>
      </c>
      <c r="BR435" s="3166">
        <f t="shared" si="291"/>
        <v>0</v>
      </c>
      <c r="BS435" s="3166">
        <f t="shared" si="292"/>
        <v>0</v>
      </c>
      <c r="BT435" s="3240">
        <f t="shared" si="293"/>
        <v>0</v>
      </c>
    </row>
    <row r="436" spans="1:72">
      <c r="A436" s="3163"/>
      <c r="B436" s="3164"/>
      <c r="C436" s="3164"/>
      <c r="D436" s="3176"/>
      <c r="E436" s="3166">
        <f t="shared" si="265"/>
        <v>0</v>
      </c>
      <c r="F436" s="3167"/>
      <c r="G436" s="3168">
        <f t="shared" si="266"/>
        <v>0</v>
      </c>
      <c r="H436" s="3169">
        <f t="shared" si="267"/>
        <v>0</v>
      </c>
      <c r="I436" s="3187"/>
      <c r="J436" s="3187"/>
      <c r="K436" s="3187"/>
      <c r="L436" s="3187"/>
      <c r="M436" s="3187"/>
      <c r="N436" s="3187"/>
      <c r="O436" s="3187"/>
      <c r="P436" s="3187"/>
      <c r="Q436" s="3187"/>
      <c r="R436" s="3187"/>
      <c r="S436" s="3187"/>
      <c r="T436" s="3187"/>
      <c r="U436" s="3187"/>
      <c r="V436" s="3187"/>
      <c r="W436" s="3187"/>
      <c r="X436" s="3187"/>
      <c r="Y436" s="3187"/>
      <c r="Z436" s="3187"/>
      <c r="AA436" s="3187"/>
      <c r="AB436" s="3187"/>
      <c r="AC436" s="3166">
        <f t="shared" si="268"/>
        <v>0</v>
      </c>
      <c r="AD436" s="3198"/>
      <c r="AE436" s="3198"/>
      <c r="AF436" s="3198"/>
      <c r="AG436" s="3198"/>
      <c r="AH436" s="3198"/>
      <c r="AI436" s="3198"/>
      <c r="AJ436" s="3198"/>
      <c r="AK436" s="3198"/>
      <c r="AL436" s="3198"/>
      <c r="AM436" s="3198"/>
      <c r="AN436" s="3198"/>
      <c r="AO436" s="3198"/>
      <c r="AP436" s="3198"/>
      <c r="AQ436" s="3198"/>
      <c r="AR436" s="3198"/>
      <c r="AS436" s="3198"/>
      <c r="AT436" s="3218"/>
      <c r="AU436" s="3219"/>
      <c r="AV436" s="488">
        <f t="shared" si="269"/>
        <v>0</v>
      </c>
      <c r="AW436" s="488">
        <f t="shared" si="270"/>
        <v>0</v>
      </c>
      <c r="AX436" s="488">
        <f t="shared" si="271"/>
        <v>0</v>
      </c>
      <c r="AY436" s="3235">
        <f t="shared" si="272"/>
        <v>0</v>
      </c>
      <c r="AZ436" s="3166">
        <f t="shared" si="273"/>
        <v>0</v>
      </c>
      <c r="BA436" s="3166">
        <f t="shared" si="274"/>
        <v>0</v>
      </c>
      <c r="BB436" s="3166">
        <f t="shared" si="275"/>
        <v>0</v>
      </c>
      <c r="BC436" s="3166">
        <f t="shared" si="276"/>
        <v>0</v>
      </c>
      <c r="BD436" s="3166">
        <f t="shared" si="277"/>
        <v>0</v>
      </c>
      <c r="BE436" s="3166">
        <f t="shared" si="278"/>
        <v>0</v>
      </c>
      <c r="BF436" s="3166">
        <f t="shared" si="279"/>
        <v>0</v>
      </c>
      <c r="BG436" s="3166">
        <f t="shared" si="280"/>
        <v>0</v>
      </c>
      <c r="BH436" s="3166">
        <f t="shared" si="281"/>
        <v>0</v>
      </c>
      <c r="BI436" s="3166">
        <f t="shared" si="282"/>
        <v>0</v>
      </c>
      <c r="BJ436" s="3166">
        <f t="shared" si="283"/>
        <v>0</v>
      </c>
      <c r="BK436" s="3166">
        <f t="shared" si="284"/>
        <v>0</v>
      </c>
      <c r="BL436" s="3166">
        <f t="shared" si="285"/>
        <v>0</v>
      </c>
      <c r="BM436" s="3166">
        <f t="shared" si="286"/>
        <v>0</v>
      </c>
      <c r="BN436" s="3166">
        <f t="shared" si="287"/>
        <v>0</v>
      </c>
      <c r="BO436" s="3166">
        <f t="shared" si="288"/>
        <v>0</v>
      </c>
      <c r="BP436" s="3166">
        <f t="shared" si="289"/>
        <v>0</v>
      </c>
      <c r="BQ436" s="3166">
        <f t="shared" si="290"/>
        <v>0</v>
      </c>
      <c r="BR436" s="3166">
        <f t="shared" si="291"/>
        <v>0</v>
      </c>
      <c r="BS436" s="3166">
        <f t="shared" si="292"/>
        <v>0</v>
      </c>
      <c r="BT436" s="3240">
        <f t="shared" si="293"/>
        <v>0</v>
      </c>
    </row>
    <row r="437" spans="1:72">
      <c r="A437" s="3163"/>
      <c r="B437" s="3164"/>
      <c r="C437" s="3164"/>
      <c r="D437" s="3176"/>
      <c r="E437" s="3166">
        <f t="shared" si="265"/>
        <v>0</v>
      </c>
      <c r="F437" s="3167"/>
      <c r="G437" s="3168">
        <f t="shared" si="266"/>
        <v>0</v>
      </c>
      <c r="H437" s="3169">
        <f t="shared" si="267"/>
        <v>0</v>
      </c>
      <c r="I437" s="3187"/>
      <c r="J437" s="3187"/>
      <c r="K437" s="3187"/>
      <c r="L437" s="3187"/>
      <c r="M437" s="3187"/>
      <c r="N437" s="3187"/>
      <c r="O437" s="3187"/>
      <c r="P437" s="3187"/>
      <c r="Q437" s="3187"/>
      <c r="R437" s="3187"/>
      <c r="S437" s="3187"/>
      <c r="T437" s="3187"/>
      <c r="U437" s="3187"/>
      <c r="V437" s="3187"/>
      <c r="W437" s="3187"/>
      <c r="X437" s="3187"/>
      <c r="Y437" s="3187"/>
      <c r="Z437" s="3187"/>
      <c r="AA437" s="3187"/>
      <c r="AB437" s="3187"/>
      <c r="AC437" s="3166">
        <f t="shared" si="268"/>
        <v>0</v>
      </c>
      <c r="AD437" s="3198"/>
      <c r="AE437" s="3198"/>
      <c r="AF437" s="3198"/>
      <c r="AG437" s="3198"/>
      <c r="AH437" s="3198"/>
      <c r="AI437" s="3198"/>
      <c r="AJ437" s="3198"/>
      <c r="AK437" s="3198"/>
      <c r="AL437" s="3198"/>
      <c r="AM437" s="3198"/>
      <c r="AN437" s="3198"/>
      <c r="AO437" s="3198"/>
      <c r="AP437" s="3198"/>
      <c r="AQ437" s="3198"/>
      <c r="AR437" s="3198"/>
      <c r="AS437" s="3198"/>
      <c r="AT437" s="3218"/>
      <c r="AU437" s="3219"/>
      <c r="AV437" s="488">
        <f t="shared" si="269"/>
        <v>0</v>
      </c>
      <c r="AW437" s="488">
        <f t="shared" si="270"/>
        <v>0</v>
      </c>
      <c r="AX437" s="488">
        <f t="shared" si="271"/>
        <v>0</v>
      </c>
      <c r="AY437" s="3235">
        <f t="shared" si="272"/>
        <v>0</v>
      </c>
      <c r="AZ437" s="3166">
        <f t="shared" si="273"/>
        <v>0</v>
      </c>
      <c r="BA437" s="3166">
        <f t="shared" si="274"/>
        <v>0</v>
      </c>
      <c r="BB437" s="3166">
        <f t="shared" si="275"/>
        <v>0</v>
      </c>
      <c r="BC437" s="3166">
        <f t="shared" si="276"/>
        <v>0</v>
      </c>
      <c r="BD437" s="3166">
        <f t="shared" si="277"/>
        <v>0</v>
      </c>
      <c r="BE437" s="3166">
        <f t="shared" si="278"/>
        <v>0</v>
      </c>
      <c r="BF437" s="3166">
        <f t="shared" si="279"/>
        <v>0</v>
      </c>
      <c r="BG437" s="3166">
        <f t="shared" si="280"/>
        <v>0</v>
      </c>
      <c r="BH437" s="3166">
        <f t="shared" si="281"/>
        <v>0</v>
      </c>
      <c r="BI437" s="3166">
        <f t="shared" si="282"/>
        <v>0</v>
      </c>
      <c r="BJ437" s="3166">
        <f t="shared" si="283"/>
        <v>0</v>
      </c>
      <c r="BK437" s="3166">
        <f t="shared" si="284"/>
        <v>0</v>
      </c>
      <c r="BL437" s="3166">
        <f t="shared" si="285"/>
        <v>0</v>
      </c>
      <c r="BM437" s="3166">
        <f t="shared" si="286"/>
        <v>0</v>
      </c>
      <c r="BN437" s="3166">
        <f t="shared" si="287"/>
        <v>0</v>
      </c>
      <c r="BO437" s="3166">
        <f t="shared" si="288"/>
        <v>0</v>
      </c>
      <c r="BP437" s="3166">
        <f t="shared" si="289"/>
        <v>0</v>
      </c>
      <c r="BQ437" s="3166">
        <f t="shared" si="290"/>
        <v>0</v>
      </c>
      <c r="BR437" s="3166">
        <f t="shared" si="291"/>
        <v>0</v>
      </c>
      <c r="BS437" s="3166">
        <f t="shared" si="292"/>
        <v>0</v>
      </c>
      <c r="BT437" s="3240">
        <f t="shared" si="293"/>
        <v>0</v>
      </c>
    </row>
    <row r="438" spans="1:72">
      <c r="A438" s="3163"/>
      <c r="B438" s="3164"/>
      <c r="C438" s="3164"/>
      <c r="D438" s="3176"/>
      <c r="E438" s="3166">
        <f t="shared" si="265"/>
        <v>0</v>
      </c>
      <c r="F438" s="3167"/>
      <c r="G438" s="3168">
        <f t="shared" si="266"/>
        <v>0</v>
      </c>
      <c r="H438" s="3169">
        <f t="shared" si="267"/>
        <v>0</v>
      </c>
      <c r="I438" s="3187"/>
      <c r="J438" s="3187"/>
      <c r="K438" s="3187"/>
      <c r="L438" s="3187"/>
      <c r="M438" s="3187"/>
      <c r="N438" s="3187"/>
      <c r="O438" s="3187"/>
      <c r="P438" s="3187"/>
      <c r="Q438" s="3187"/>
      <c r="R438" s="3187"/>
      <c r="S438" s="3187"/>
      <c r="T438" s="3187"/>
      <c r="U438" s="3187"/>
      <c r="V438" s="3187"/>
      <c r="W438" s="3187"/>
      <c r="X438" s="3187"/>
      <c r="Y438" s="3187"/>
      <c r="Z438" s="3187"/>
      <c r="AA438" s="3187"/>
      <c r="AB438" s="3187"/>
      <c r="AC438" s="3166">
        <f t="shared" si="268"/>
        <v>0</v>
      </c>
      <c r="AD438" s="3198"/>
      <c r="AE438" s="3198"/>
      <c r="AF438" s="3198"/>
      <c r="AG438" s="3198"/>
      <c r="AH438" s="3198"/>
      <c r="AI438" s="3198"/>
      <c r="AJ438" s="3198"/>
      <c r="AK438" s="3198"/>
      <c r="AL438" s="3198"/>
      <c r="AM438" s="3198"/>
      <c r="AN438" s="3198"/>
      <c r="AO438" s="3198"/>
      <c r="AP438" s="3198"/>
      <c r="AQ438" s="3198"/>
      <c r="AR438" s="3198"/>
      <c r="AS438" s="3198"/>
      <c r="AT438" s="3218"/>
      <c r="AU438" s="3219"/>
      <c r="AV438" s="488">
        <f t="shared" si="269"/>
        <v>0</v>
      </c>
      <c r="AW438" s="488">
        <f t="shared" si="270"/>
        <v>0</v>
      </c>
      <c r="AX438" s="488">
        <f t="shared" si="271"/>
        <v>0</v>
      </c>
      <c r="AY438" s="3235">
        <f t="shared" si="272"/>
        <v>0</v>
      </c>
      <c r="AZ438" s="3166">
        <f t="shared" si="273"/>
        <v>0</v>
      </c>
      <c r="BA438" s="3166">
        <f t="shared" si="274"/>
        <v>0</v>
      </c>
      <c r="BB438" s="3166">
        <f t="shared" si="275"/>
        <v>0</v>
      </c>
      <c r="BC438" s="3166">
        <f t="shared" si="276"/>
        <v>0</v>
      </c>
      <c r="BD438" s="3166">
        <f t="shared" si="277"/>
        <v>0</v>
      </c>
      <c r="BE438" s="3166">
        <f t="shared" si="278"/>
        <v>0</v>
      </c>
      <c r="BF438" s="3166">
        <f t="shared" si="279"/>
        <v>0</v>
      </c>
      <c r="BG438" s="3166">
        <f t="shared" si="280"/>
        <v>0</v>
      </c>
      <c r="BH438" s="3166">
        <f t="shared" si="281"/>
        <v>0</v>
      </c>
      <c r="BI438" s="3166">
        <f t="shared" si="282"/>
        <v>0</v>
      </c>
      <c r="BJ438" s="3166">
        <f t="shared" si="283"/>
        <v>0</v>
      </c>
      <c r="BK438" s="3166">
        <f t="shared" si="284"/>
        <v>0</v>
      </c>
      <c r="BL438" s="3166">
        <f t="shared" si="285"/>
        <v>0</v>
      </c>
      <c r="BM438" s="3166">
        <f t="shared" si="286"/>
        <v>0</v>
      </c>
      <c r="BN438" s="3166">
        <f t="shared" si="287"/>
        <v>0</v>
      </c>
      <c r="BO438" s="3166">
        <f t="shared" si="288"/>
        <v>0</v>
      </c>
      <c r="BP438" s="3166">
        <f t="shared" si="289"/>
        <v>0</v>
      </c>
      <c r="BQ438" s="3166">
        <f t="shared" si="290"/>
        <v>0</v>
      </c>
      <c r="BR438" s="3166">
        <f t="shared" si="291"/>
        <v>0</v>
      </c>
      <c r="BS438" s="3166">
        <f t="shared" si="292"/>
        <v>0</v>
      </c>
      <c r="BT438" s="3240">
        <f t="shared" si="293"/>
        <v>0</v>
      </c>
    </row>
    <row r="439" spans="1:72">
      <c r="A439" s="3163"/>
      <c r="B439" s="3164"/>
      <c r="C439" s="3164"/>
      <c r="D439" s="3176"/>
      <c r="E439" s="3166">
        <f t="shared" si="265"/>
        <v>0</v>
      </c>
      <c r="F439" s="3167"/>
      <c r="G439" s="3168">
        <f t="shared" si="266"/>
        <v>0</v>
      </c>
      <c r="H439" s="3169">
        <f t="shared" si="267"/>
        <v>0</v>
      </c>
      <c r="I439" s="3187"/>
      <c r="J439" s="3187"/>
      <c r="K439" s="3187"/>
      <c r="L439" s="3187"/>
      <c r="M439" s="3187"/>
      <c r="N439" s="3187"/>
      <c r="O439" s="3187"/>
      <c r="P439" s="3187"/>
      <c r="Q439" s="3187"/>
      <c r="R439" s="3187"/>
      <c r="S439" s="3187"/>
      <c r="T439" s="3187"/>
      <c r="U439" s="3187"/>
      <c r="V439" s="3187"/>
      <c r="W439" s="3187"/>
      <c r="X439" s="3187"/>
      <c r="Y439" s="3187"/>
      <c r="Z439" s="3187"/>
      <c r="AA439" s="3187"/>
      <c r="AB439" s="3187"/>
      <c r="AC439" s="3166">
        <f t="shared" si="268"/>
        <v>0</v>
      </c>
      <c r="AD439" s="3198"/>
      <c r="AE439" s="3198"/>
      <c r="AF439" s="3198"/>
      <c r="AG439" s="3198"/>
      <c r="AH439" s="3198"/>
      <c r="AI439" s="3198"/>
      <c r="AJ439" s="3198"/>
      <c r="AK439" s="3198"/>
      <c r="AL439" s="3198"/>
      <c r="AM439" s="3198"/>
      <c r="AN439" s="3198"/>
      <c r="AO439" s="3198"/>
      <c r="AP439" s="3198"/>
      <c r="AQ439" s="3198"/>
      <c r="AR439" s="3198"/>
      <c r="AS439" s="3198"/>
      <c r="AT439" s="3218"/>
      <c r="AU439" s="3219"/>
      <c r="AV439" s="488">
        <f t="shared" si="269"/>
        <v>0</v>
      </c>
      <c r="AW439" s="488">
        <f t="shared" si="270"/>
        <v>0</v>
      </c>
      <c r="AX439" s="488">
        <f t="shared" si="271"/>
        <v>0</v>
      </c>
      <c r="AY439" s="3235">
        <f t="shared" si="272"/>
        <v>0</v>
      </c>
      <c r="AZ439" s="3166">
        <f t="shared" si="273"/>
        <v>0</v>
      </c>
      <c r="BA439" s="3166">
        <f t="shared" si="274"/>
        <v>0</v>
      </c>
      <c r="BB439" s="3166">
        <f t="shared" si="275"/>
        <v>0</v>
      </c>
      <c r="BC439" s="3166">
        <f t="shared" si="276"/>
        <v>0</v>
      </c>
      <c r="BD439" s="3166">
        <f t="shared" si="277"/>
        <v>0</v>
      </c>
      <c r="BE439" s="3166">
        <f t="shared" si="278"/>
        <v>0</v>
      </c>
      <c r="BF439" s="3166">
        <f t="shared" si="279"/>
        <v>0</v>
      </c>
      <c r="BG439" s="3166">
        <f t="shared" si="280"/>
        <v>0</v>
      </c>
      <c r="BH439" s="3166">
        <f t="shared" si="281"/>
        <v>0</v>
      </c>
      <c r="BI439" s="3166">
        <f t="shared" si="282"/>
        <v>0</v>
      </c>
      <c r="BJ439" s="3166">
        <f t="shared" si="283"/>
        <v>0</v>
      </c>
      <c r="BK439" s="3166">
        <f t="shared" si="284"/>
        <v>0</v>
      </c>
      <c r="BL439" s="3166">
        <f t="shared" si="285"/>
        <v>0</v>
      </c>
      <c r="BM439" s="3166">
        <f t="shared" si="286"/>
        <v>0</v>
      </c>
      <c r="BN439" s="3166">
        <f t="shared" si="287"/>
        <v>0</v>
      </c>
      <c r="BO439" s="3166">
        <f t="shared" si="288"/>
        <v>0</v>
      </c>
      <c r="BP439" s="3166">
        <f t="shared" si="289"/>
        <v>0</v>
      </c>
      <c r="BQ439" s="3166">
        <f t="shared" si="290"/>
        <v>0</v>
      </c>
      <c r="BR439" s="3166">
        <f t="shared" si="291"/>
        <v>0</v>
      </c>
      <c r="BS439" s="3166">
        <f t="shared" si="292"/>
        <v>0</v>
      </c>
      <c r="BT439" s="3240">
        <f t="shared" si="293"/>
        <v>0</v>
      </c>
    </row>
    <row r="440" spans="1:72">
      <c r="A440" s="3163"/>
      <c r="B440" s="3164"/>
      <c r="C440" s="3164"/>
      <c r="D440" s="3176"/>
      <c r="E440" s="3166">
        <f t="shared" si="265"/>
        <v>0</v>
      </c>
      <c r="F440" s="3167"/>
      <c r="G440" s="3168">
        <f t="shared" si="266"/>
        <v>0</v>
      </c>
      <c r="H440" s="3169">
        <f t="shared" si="267"/>
        <v>0</v>
      </c>
      <c r="I440" s="3187"/>
      <c r="J440" s="3187"/>
      <c r="K440" s="3187"/>
      <c r="L440" s="3187"/>
      <c r="M440" s="3187"/>
      <c r="N440" s="3187"/>
      <c r="O440" s="3187"/>
      <c r="P440" s="3187"/>
      <c r="Q440" s="3187"/>
      <c r="R440" s="3187"/>
      <c r="S440" s="3187"/>
      <c r="T440" s="3187"/>
      <c r="U440" s="3187"/>
      <c r="V440" s="3187"/>
      <c r="W440" s="3187"/>
      <c r="X440" s="3187"/>
      <c r="Y440" s="3187"/>
      <c r="Z440" s="3187"/>
      <c r="AA440" s="3187"/>
      <c r="AB440" s="3187"/>
      <c r="AC440" s="3166">
        <f t="shared" si="268"/>
        <v>0</v>
      </c>
      <c r="AD440" s="3198"/>
      <c r="AE440" s="3198"/>
      <c r="AF440" s="3198"/>
      <c r="AG440" s="3198"/>
      <c r="AH440" s="3198"/>
      <c r="AI440" s="3198"/>
      <c r="AJ440" s="3198"/>
      <c r="AK440" s="3198"/>
      <c r="AL440" s="3198"/>
      <c r="AM440" s="3198"/>
      <c r="AN440" s="3198"/>
      <c r="AO440" s="3198"/>
      <c r="AP440" s="3198"/>
      <c r="AQ440" s="3198"/>
      <c r="AR440" s="3198"/>
      <c r="AS440" s="3198"/>
      <c r="AT440" s="3218"/>
      <c r="AU440" s="3219"/>
      <c r="AV440" s="488">
        <f t="shared" si="269"/>
        <v>0</v>
      </c>
      <c r="AW440" s="488">
        <f t="shared" si="270"/>
        <v>0</v>
      </c>
      <c r="AX440" s="488">
        <f t="shared" si="271"/>
        <v>0</v>
      </c>
      <c r="AY440" s="3235">
        <f t="shared" si="272"/>
        <v>0</v>
      </c>
      <c r="AZ440" s="3166">
        <f t="shared" si="273"/>
        <v>0</v>
      </c>
      <c r="BA440" s="3166">
        <f t="shared" si="274"/>
        <v>0</v>
      </c>
      <c r="BB440" s="3166">
        <f t="shared" si="275"/>
        <v>0</v>
      </c>
      <c r="BC440" s="3166">
        <f t="shared" si="276"/>
        <v>0</v>
      </c>
      <c r="BD440" s="3166">
        <f t="shared" si="277"/>
        <v>0</v>
      </c>
      <c r="BE440" s="3166">
        <f t="shared" si="278"/>
        <v>0</v>
      </c>
      <c r="BF440" s="3166">
        <f t="shared" si="279"/>
        <v>0</v>
      </c>
      <c r="BG440" s="3166">
        <f t="shared" si="280"/>
        <v>0</v>
      </c>
      <c r="BH440" s="3166">
        <f t="shared" si="281"/>
        <v>0</v>
      </c>
      <c r="BI440" s="3166">
        <f t="shared" si="282"/>
        <v>0</v>
      </c>
      <c r="BJ440" s="3166">
        <f t="shared" si="283"/>
        <v>0</v>
      </c>
      <c r="BK440" s="3166">
        <f t="shared" si="284"/>
        <v>0</v>
      </c>
      <c r="BL440" s="3166">
        <f t="shared" si="285"/>
        <v>0</v>
      </c>
      <c r="BM440" s="3166">
        <f t="shared" si="286"/>
        <v>0</v>
      </c>
      <c r="BN440" s="3166">
        <f t="shared" si="287"/>
        <v>0</v>
      </c>
      <c r="BO440" s="3166">
        <f t="shared" si="288"/>
        <v>0</v>
      </c>
      <c r="BP440" s="3166">
        <f t="shared" si="289"/>
        <v>0</v>
      </c>
      <c r="BQ440" s="3166">
        <f t="shared" si="290"/>
        <v>0</v>
      </c>
      <c r="BR440" s="3166">
        <f t="shared" si="291"/>
        <v>0</v>
      </c>
      <c r="BS440" s="3166">
        <f t="shared" si="292"/>
        <v>0</v>
      </c>
      <c r="BT440" s="3240">
        <f t="shared" si="293"/>
        <v>0</v>
      </c>
    </row>
    <row r="441" spans="1:72">
      <c r="A441" s="3163"/>
      <c r="B441" s="3164"/>
      <c r="C441" s="3164"/>
      <c r="D441" s="3176"/>
      <c r="E441" s="3166">
        <f t="shared" si="265"/>
        <v>0</v>
      </c>
      <c r="F441" s="3167"/>
      <c r="G441" s="3168">
        <f t="shared" si="266"/>
        <v>0</v>
      </c>
      <c r="H441" s="3169">
        <f t="shared" si="267"/>
        <v>0</v>
      </c>
      <c r="I441" s="3187"/>
      <c r="J441" s="3187"/>
      <c r="K441" s="3187"/>
      <c r="L441" s="3187"/>
      <c r="M441" s="3187"/>
      <c r="N441" s="3187"/>
      <c r="O441" s="3187"/>
      <c r="P441" s="3187"/>
      <c r="Q441" s="3187"/>
      <c r="R441" s="3187"/>
      <c r="S441" s="3187"/>
      <c r="T441" s="3187"/>
      <c r="U441" s="3187"/>
      <c r="V441" s="3187"/>
      <c r="W441" s="3187"/>
      <c r="X441" s="3187"/>
      <c r="Y441" s="3187"/>
      <c r="Z441" s="3187"/>
      <c r="AA441" s="3187"/>
      <c r="AB441" s="3187"/>
      <c r="AC441" s="3166">
        <f t="shared" si="268"/>
        <v>0</v>
      </c>
      <c r="AD441" s="3198"/>
      <c r="AE441" s="3198"/>
      <c r="AF441" s="3198"/>
      <c r="AG441" s="3198"/>
      <c r="AH441" s="3198"/>
      <c r="AI441" s="3198"/>
      <c r="AJ441" s="3198"/>
      <c r="AK441" s="3198"/>
      <c r="AL441" s="3198"/>
      <c r="AM441" s="3198"/>
      <c r="AN441" s="3198"/>
      <c r="AO441" s="3198"/>
      <c r="AP441" s="3198"/>
      <c r="AQ441" s="3198"/>
      <c r="AR441" s="3198"/>
      <c r="AS441" s="3198"/>
      <c r="AT441" s="3218"/>
      <c r="AU441" s="3219"/>
      <c r="AV441" s="488">
        <f t="shared" si="269"/>
        <v>0</v>
      </c>
      <c r="AW441" s="488">
        <f t="shared" si="270"/>
        <v>0</v>
      </c>
      <c r="AX441" s="488">
        <f t="shared" si="271"/>
        <v>0</v>
      </c>
      <c r="AY441" s="3235">
        <f t="shared" si="272"/>
        <v>0</v>
      </c>
      <c r="AZ441" s="3166">
        <f t="shared" si="273"/>
        <v>0</v>
      </c>
      <c r="BA441" s="3166">
        <f t="shared" si="274"/>
        <v>0</v>
      </c>
      <c r="BB441" s="3166">
        <f t="shared" si="275"/>
        <v>0</v>
      </c>
      <c r="BC441" s="3166">
        <f t="shared" si="276"/>
        <v>0</v>
      </c>
      <c r="BD441" s="3166">
        <f t="shared" si="277"/>
        <v>0</v>
      </c>
      <c r="BE441" s="3166">
        <f t="shared" si="278"/>
        <v>0</v>
      </c>
      <c r="BF441" s="3166">
        <f t="shared" si="279"/>
        <v>0</v>
      </c>
      <c r="BG441" s="3166">
        <f t="shared" si="280"/>
        <v>0</v>
      </c>
      <c r="BH441" s="3166">
        <f t="shared" si="281"/>
        <v>0</v>
      </c>
      <c r="BI441" s="3166">
        <f t="shared" si="282"/>
        <v>0</v>
      </c>
      <c r="BJ441" s="3166">
        <f t="shared" si="283"/>
        <v>0</v>
      </c>
      <c r="BK441" s="3166">
        <f t="shared" si="284"/>
        <v>0</v>
      </c>
      <c r="BL441" s="3166">
        <f t="shared" si="285"/>
        <v>0</v>
      </c>
      <c r="BM441" s="3166">
        <f t="shared" si="286"/>
        <v>0</v>
      </c>
      <c r="BN441" s="3166">
        <f t="shared" si="287"/>
        <v>0</v>
      </c>
      <c r="BO441" s="3166">
        <f t="shared" si="288"/>
        <v>0</v>
      </c>
      <c r="BP441" s="3166">
        <f t="shared" si="289"/>
        <v>0</v>
      </c>
      <c r="BQ441" s="3166">
        <f t="shared" si="290"/>
        <v>0</v>
      </c>
      <c r="BR441" s="3166">
        <f t="shared" si="291"/>
        <v>0</v>
      </c>
      <c r="BS441" s="3166">
        <f t="shared" si="292"/>
        <v>0</v>
      </c>
      <c r="BT441" s="3240">
        <f t="shared" si="293"/>
        <v>0</v>
      </c>
    </row>
    <row r="442" spans="1:72">
      <c r="A442" s="3163"/>
      <c r="B442" s="3164"/>
      <c r="C442" s="3164"/>
      <c r="D442" s="3176"/>
      <c r="E442" s="3166">
        <f t="shared" si="265"/>
        <v>0</v>
      </c>
      <c r="F442" s="3167"/>
      <c r="G442" s="3168">
        <f t="shared" si="266"/>
        <v>0</v>
      </c>
      <c r="H442" s="3169">
        <f t="shared" si="267"/>
        <v>0</v>
      </c>
      <c r="I442" s="3187"/>
      <c r="J442" s="3187"/>
      <c r="K442" s="3187"/>
      <c r="L442" s="3187"/>
      <c r="M442" s="3187"/>
      <c r="N442" s="3187"/>
      <c r="O442" s="3187"/>
      <c r="P442" s="3187"/>
      <c r="Q442" s="3187"/>
      <c r="R442" s="3187"/>
      <c r="S442" s="3187"/>
      <c r="T442" s="3187"/>
      <c r="U442" s="3187"/>
      <c r="V442" s="3187"/>
      <c r="W442" s="3187"/>
      <c r="X442" s="3187"/>
      <c r="Y442" s="3187"/>
      <c r="Z442" s="3187"/>
      <c r="AA442" s="3187"/>
      <c r="AB442" s="3187"/>
      <c r="AC442" s="3166">
        <f t="shared" si="268"/>
        <v>0</v>
      </c>
      <c r="AD442" s="3198"/>
      <c r="AE442" s="3198"/>
      <c r="AF442" s="3198"/>
      <c r="AG442" s="3198"/>
      <c r="AH442" s="3198"/>
      <c r="AI442" s="3198"/>
      <c r="AJ442" s="3198"/>
      <c r="AK442" s="3198"/>
      <c r="AL442" s="3198"/>
      <c r="AM442" s="3198"/>
      <c r="AN442" s="3198"/>
      <c r="AO442" s="3198"/>
      <c r="AP442" s="3198"/>
      <c r="AQ442" s="3198"/>
      <c r="AR442" s="3198"/>
      <c r="AS442" s="3198"/>
      <c r="AT442" s="3218"/>
      <c r="AU442" s="3219"/>
      <c r="AV442" s="488">
        <f t="shared" si="269"/>
        <v>0</v>
      </c>
      <c r="AW442" s="488">
        <f t="shared" si="270"/>
        <v>0</v>
      </c>
      <c r="AX442" s="488">
        <f t="shared" si="271"/>
        <v>0</v>
      </c>
      <c r="AY442" s="3235">
        <f t="shared" si="272"/>
        <v>0</v>
      </c>
      <c r="AZ442" s="3166">
        <f t="shared" si="273"/>
        <v>0</v>
      </c>
      <c r="BA442" s="3166">
        <f t="shared" si="274"/>
        <v>0</v>
      </c>
      <c r="BB442" s="3166">
        <f t="shared" si="275"/>
        <v>0</v>
      </c>
      <c r="BC442" s="3166">
        <f t="shared" si="276"/>
        <v>0</v>
      </c>
      <c r="BD442" s="3166">
        <f t="shared" si="277"/>
        <v>0</v>
      </c>
      <c r="BE442" s="3166">
        <f t="shared" si="278"/>
        <v>0</v>
      </c>
      <c r="BF442" s="3166">
        <f t="shared" si="279"/>
        <v>0</v>
      </c>
      <c r="BG442" s="3166">
        <f t="shared" si="280"/>
        <v>0</v>
      </c>
      <c r="BH442" s="3166">
        <f t="shared" si="281"/>
        <v>0</v>
      </c>
      <c r="BI442" s="3166">
        <f t="shared" si="282"/>
        <v>0</v>
      </c>
      <c r="BJ442" s="3166">
        <f t="shared" si="283"/>
        <v>0</v>
      </c>
      <c r="BK442" s="3166">
        <f t="shared" si="284"/>
        <v>0</v>
      </c>
      <c r="BL442" s="3166">
        <f t="shared" si="285"/>
        <v>0</v>
      </c>
      <c r="BM442" s="3166">
        <f t="shared" si="286"/>
        <v>0</v>
      </c>
      <c r="BN442" s="3166">
        <f t="shared" si="287"/>
        <v>0</v>
      </c>
      <c r="BO442" s="3166">
        <f t="shared" si="288"/>
        <v>0</v>
      </c>
      <c r="BP442" s="3166">
        <f t="shared" si="289"/>
        <v>0</v>
      </c>
      <c r="BQ442" s="3166">
        <f t="shared" si="290"/>
        <v>0</v>
      </c>
      <c r="BR442" s="3166">
        <f t="shared" si="291"/>
        <v>0</v>
      </c>
      <c r="BS442" s="3166">
        <f t="shared" si="292"/>
        <v>0</v>
      </c>
      <c r="BT442" s="3240">
        <f t="shared" si="293"/>
        <v>0</v>
      </c>
    </row>
    <row r="443" spans="1:72">
      <c r="A443" s="3163"/>
      <c r="B443" s="3164"/>
      <c r="C443" s="3164"/>
      <c r="D443" s="3176"/>
      <c r="E443" s="3166">
        <f t="shared" si="265"/>
        <v>0</v>
      </c>
      <c r="F443" s="3167"/>
      <c r="G443" s="3168">
        <f t="shared" si="266"/>
        <v>0</v>
      </c>
      <c r="H443" s="3169">
        <f t="shared" si="267"/>
        <v>0</v>
      </c>
      <c r="I443" s="3187"/>
      <c r="J443" s="3187"/>
      <c r="K443" s="3187"/>
      <c r="L443" s="3187"/>
      <c r="M443" s="3187"/>
      <c r="N443" s="3187"/>
      <c r="O443" s="3187"/>
      <c r="P443" s="3187"/>
      <c r="Q443" s="3187"/>
      <c r="R443" s="3187"/>
      <c r="S443" s="3187"/>
      <c r="T443" s="3187"/>
      <c r="U443" s="3187"/>
      <c r="V443" s="3187"/>
      <c r="W443" s="3187"/>
      <c r="X443" s="3187"/>
      <c r="Y443" s="3187"/>
      <c r="Z443" s="3187"/>
      <c r="AA443" s="3187"/>
      <c r="AB443" s="3187"/>
      <c r="AC443" s="3166">
        <f t="shared" si="268"/>
        <v>0</v>
      </c>
      <c r="AD443" s="3198"/>
      <c r="AE443" s="3198"/>
      <c r="AF443" s="3198"/>
      <c r="AG443" s="3198"/>
      <c r="AH443" s="3198"/>
      <c r="AI443" s="3198"/>
      <c r="AJ443" s="3198"/>
      <c r="AK443" s="3198"/>
      <c r="AL443" s="3198"/>
      <c r="AM443" s="3198"/>
      <c r="AN443" s="3198"/>
      <c r="AO443" s="3198"/>
      <c r="AP443" s="3198"/>
      <c r="AQ443" s="3198"/>
      <c r="AR443" s="3198"/>
      <c r="AS443" s="3198"/>
      <c r="AT443" s="3218"/>
      <c r="AU443" s="3219"/>
      <c r="AV443" s="488">
        <f t="shared" si="269"/>
        <v>0</v>
      </c>
      <c r="AW443" s="488">
        <f t="shared" si="270"/>
        <v>0</v>
      </c>
      <c r="AX443" s="488">
        <f t="shared" si="271"/>
        <v>0</v>
      </c>
      <c r="AY443" s="3235">
        <f t="shared" si="272"/>
        <v>0</v>
      </c>
      <c r="AZ443" s="3166">
        <f t="shared" si="273"/>
        <v>0</v>
      </c>
      <c r="BA443" s="3166">
        <f t="shared" si="274"/>
        <v>0</v>
      </c>
      <c r="BB443" s="3166">
        <f t="shared" si="275"/>
        <v>0</v>
      </c>
      <c r="BC443" s="3166">
        <f t="shared" si="276"/>
        <v>0</v>
      </c>
      <c r="BD443" s="3166">
        <f t="shared" si="277"/>
        <v>0</v>
      </c>
      <c r="BE443" s="3166">
        <f t="shared" si="278"/>
        <v>0</v>
      </c>
      <c r="BF443" s="3166">
        <f t="shared" si="279"/>
        <v>0</v>
      </c>
      <c r="BG443" s="3166">
        <f t="shared" si="280"/>
        <v>0</v>
      </c>
      <c r="BH443" s="3166">
        <f t="shared" si="281"/>
        <v>0</v>
      </c>
      <c r="BI443" s="3166">
        <f t="shared" si="282"/>
        <v>0</v>
      </c>
      <c r="BJ443" s="3166">
        <f t="shared" si="283"/>
        <v>0</v>
      </c>
      <c r="BK443" s="3166">
        <f t="shared" si="284"/>
        <v>0</v>
      </c>
      <c r="BL443" s="3166">
        <f t="shared" si="285"/>
        <v>0</v>
      </c>
      <c r="BM443" s="3166">
        <f t="shared" si="286"/>
        <v>0</v>
      </c>
      <c r="BN443" s="3166">
        <f t="shared" si="287"/>
        <v>0</v>
      </c>
      <c r="BO443" s="3166">
        <f t="shared" si="288"/>
        <v>0</v>
      </c>
      <c r="BP443" s="3166">
        <f t="shared" si="289"/>
        <v>0</v>
      </c>
      <c r="BQ443" s="3166">
        <f t="shared" si="290"/>
        <v>0</v>
      </c>
      <c r="BR443" s="3166">
        <f t="shared" si="291"/>
        <v>0</v>
      </c>
      <c r="BS443" s="3166">
        <f t="shared" si="292"/>
        <v>0</v>
      </c>
      <c r="BT443" s="3240">
        <f t="shared" si="293"/>
        <v>0</v>
      </c>
    </row>
    <row r="444" spans="1:72">
      <c r="A444" s="3163"/>
      <c r="B444" s="3164"/>
      <c r="C444" s="3164"/>
      <c r="D444" s="3176"/>
      <c r="E444" s="3166">
        <f t="shared" si="265"/>
        <v>0</v>
      </c>
      <c r="F444" s="3167"/>
      <c r="G444" s="3168">
        <f t="shared" si="266"/>
        <v>0</v>
      </c>
      <c r="H444" s="3169">
        <f t="shared" si="267"/>
        <v>0</v>
      </c>
      <c r="I444" s="3187"/>
      <c r="J444" s="3187"/>
      <c r="K444" s="3187"/>
      <c r="L444" s="3187"/>
      <c r="M444" s="3187"/>
      <c r="N444" s="3187"/>
      <c r="O444" s="3187"/>
      <c r="P444" s="3187"/>
      <c r="Q444" s="3187"/>
      <c r="R444" s="3187"/>
      <c r="S444" s="3187"/>
      <c r="T444" s="3187"/>
      <c r="U444" s="3187"/>
      <c r="V444" s="3187"/>
      <c r="W444" s="3187"/>
      <c r="X444" s="3187"/>
      <c r="Y444" s="3187"/>
      <c r="Z444" s="3187"/>
      <c r="AA444" s="3187"/>
      <c r="AB444" s="3187"/>
      <c r="AC444" s="3166">
        <f t="shared" si="268"/>
        <v>0</v>
      </c>
      <c r="AD444" s="3198"/>
      <c r="AE444" s="3198"/>
      <c r="AF444" s="3198"/>
      <c r="AG444" s="3198"/>
      <c r="AH444" s="3198"/>
      <c r="AI444" s="3198"/>
      <c r="AJ444" s="3198"/>
      <c r="AK444" s="3198"/>
      <c r="AL444" s="3198"/>
      <c r="AM444" s="3198"/>
      <c r="AN444" s="3198"/>
      <c r="AO444" s="3198"/>
      <c r="AP444" s="3198"/>
      <c r="AQ444" s="3198"/>
      <c r="AR444" s="3198"/>
      <c r="AS444" s="3198"/>
      <c r="AT444" s="3218"/>
      <c r="AU444" s="3219"/>
      <c r="AV444" s="488">
        <f t="shared" si="269"/>
        <v>0</v>
      </c>
      <c r="AW444" s="488">
        <f t="shared" si="270"/>
        <v>0</v>
      </c>
      <c r="AX444" s="488">
        <f t="shared" si="271"/>
        <v>0</v>
      </c>
      <c r="AY444" s="3235">
        <f t="shared" si="272"/>
        <v>0</v>
      </c>
      <c r="AZ444" s="3166">
        <f t="shared" si="273"/>
        <v>0</v>
      </c>
      <c r="BA444" s="3166">
        <f t="shared" si="274"/>
        <v>0</v>
      </c>
      <c r="BB444" s="3166">
        <f t="shared" si="275"/>
        <v>0</v>
      </c>
      <c r="BC444" s="3166">
        <f t="shared" si="276"/>
        <v>0</v>
      </c>
      <c r="BD444" s="3166">
        <f t="shared" si="277"/>
        <v>0</v>
      </c>
      <c r="BE444" s="3166">
        <f t="shared" si="278"/>
        <v>0</v>
      </c>
      <c r="BF444" s="3166">
        <f t="shared" si="279"/>
        <v>0</v>
      </c>
      <c r="BG444" s="3166">
        <f t="shared" si="280"/>
        <v>0</v>
      </c>
      <c r="BH444" s="3166">
        <f t="shared" si="281"/>
        <v>0</v>
      </c>
      <c r="BI444" s="3166">
        <f t="shared" si="282"/>
        <v>0</v>
      </c>
      <c r="BJ444" s="3166">
        <f t="shared" si="283"/>
        <v>0</v>
      </c>
      <c r="BK444" s="3166">
        <f t="shared" si="284"/>
        <v>0</v>
      </c>
      <c r="BL444" s="3166">
        <f t="shared" si="285"/>
        <v>0</v>
      </c>
      <c r="BM444" s="3166">
        <f t="shared" si="286"/>
        <v>0</v>
      </c>
      <c r="BN444" s="3166">
        <f t="shared" si="287"/>
        <v>0</v>
      </c>
      <c r="BO444" s="3166">
        <f t="shared" si="288"/>
        <v>0</v>
      </c>
      <c r="BP444" s="3166">
        <f t="shared" si="289"/>
        <v>0</v>
      </c>
      <c r="BQ444" s="3166">
        <f t="shared" si="290"/>
        <v>0</v>
      </c>
      <c r="BR444" s="3166">
        <f t="shared" si="291"/>
        <v>0</v>
      </c>
      <c r="BS444" s="3166">
        <f t="shared" si="292"/>
        <v>0</v>
      </c>
      <c r="BT444" s="3240">
        <f t="shared" si="293"/>
        <v>0</v>
      </c>
    </row>
    <row r="445" spans="1:72">
      <c r="A445" s="3163"/>
      <c r="B445" s="3164"/>
      <c r="C445" s="3164"/>
      <c r="D445" s="3176"/>
      <c r="E445" s="3166">
        <f t="shared" si="265"/>
        <v>0</v>
      </c>
      <c r="F445" s="3167"/>
      <c r="G445" s="3168">
        <f t="shared" si="266"/>
        <v>0</v>
      </c>
      <c r="H445" s="3169">
        <f t="shared" si="267"/>
        <v>0</v>
      </c>
      <c r="I445" s="3187"/>
      <c r="J445" s="3187"/>
      <c r="K445" s="3187"/>
      <c r="L445" s="3187"/>
      <c r="M445" s="3187"/>
      <c r="N445" s="3187"/>
      <c r="O445" s="3187"/>
      <c r="P445" s="3187"/>
      <c r="Q445" s="3187"/>
      <c r="R445" s="3187"/>
      <c r="S445" s="3187"/>
      <c r="T445" s="3187"/>
      <c r="U445" s="3187"/>
      <c r="V445" s="3187"/>
      <c r="W445" s="3187"/>
      <c r="X445" s="3187"/>
      <c r="Y445" s="3187"/>
      <c r="Z445" s="3187"/>
      <c r="AA445" s="3187"/>
      <c r="AB445" s="3187"/>
      <c r="AC445" s="3166">
        <f t="shared" si="268"/>
        <v>0</v>
      </c>
      <c r="AD445" s="3198"/>
      <c r="AE445" s="3198"/>
      <c r="AF445" s="3198"/>
      <c r="AG445" s="3198"/>
      <c r="AH445" s="3198"/>
      <c r="AI445" s="3198"/>
      <c r="AJ445" s="3198"/>
      <c r="AK445" s="3198"/>
      <c r="AL445" s="3198"/>
      <c r="AM445" s="3198"/>
      <c r="AN445" s="3198"/>
      <c r="AO445" s="3198"/>
      <c r="AP445" s="3198"/>
      <c r="AQ445" s="3198"/>
      <c r="AR445" s="3198"/>
      <c r="AS445" s="3198"/>
      <c r="AT445" s="3218"/>
      <c r="AU445" s="3219"/>
      <c r="AV445" s="488">
        <f t="shared" si="269"/>
        <v>0</v>
      </c>
      <c r="AW445" s="488">
        <f t="shared" si="270"/>
        <v>0</v>
      </c>
      <c r="AX445" s="488">
        <f t="shared" si="271"/>
        <v>0</v>
      </c>
      <c r="AY445" s="3235">
        <f t="shared" si="272"/>
        <v>0</v>
      </c>
      <c r="AZ445" s="3166">
        <f t="shared" si="273"/>
        <v>0</v>
      </c>
      <c r="BA445" s="3166">
        <f t="shared" si="274"/>
        <v>0</v>
      </c>
      <c r="BB445" s="3166">
        <f t="shared" si="275"/>
        <v>0</v>
      </c>
      <c r="BC445" s="3166">
        <f t="shared" si="276"/>
        <v>0</v>
      </c>
      <c r="BD445" s="3166">
        <f t="shared" si="277"/>
        <v>0</v>
      </c>
      <c r="BE445" s="3166">
        <f t="shared" si="278"/>
        <v>0</v>
      </c>
      <c r="BF445" s="3166">
        <f t="shared" si="279"/>
        <v>0</v>
      </c>
      <c r="BG445" s="3166">
        <f t="shared" si="280"/>
        <v>0</v>
      </c>
      <c r="BH445" s="3166">
        <f t="shared" si="281"/>
        <v>0</v>
      </c>
      <c r="BI445" s="3166">
        <f t="shared" si="282"/>
        <v>0</v>
      </c>
      <c r="BJ445" s="3166">
        <f t="shared" si="283"/>
        <v>0</v>
      </c>
      <c r="BK445" s="3166">
        <f t="shared" si="284"/>
        <v>0</v>
      </c>
      <c r="BL445" s="3166">
        <f t="shared" si="285"/>
        <v>0</v>
      </c>
      <c r="BM445" s="3166">
        <f t="shared" si="286"/>
        <v>0</v>
      </c>
      <c r="BN445" s="3166">
        <f t="shared" si="287"/>
        <v>0</v>
      </c>
      <c r="BO445" s="3166">
        <f t="shared" si="288"/>
        <v>0</v>
      </c>
      <c r="BP445" s="3166">
        <f t="shared" si="289"/>
        <v>0</v>
      </c>
      <c r="BQ445" s="3166">
        <f t="shared" si="290"/>
        <v>0</v>
      </c>
      <c r="BR445" s="3166">
        <f t="shared" si="291"/>
        <v>0</v>
      </c>
      <c r="BS445" s="3166">
        <f t="shared" si="292"/>
        <v>0</v>
      </c>
      <c r="BT445" s="3240">
        <f t="shared" si="293"/>
        <v>0</v>
      </c>
    </row>
    <row r="446" spans="1:72">
      <c r="A446" s="3163"/>
      <c r="B446" s="3164"/>
      <c r="C446" s="3164"/>
      <c r="D446" s="3176"/>
      <c r="E446" s="3166">
        <f t="shared" si="265"/>
        <v>0</v>
      </c>
      <c r="F446" s="3167"/>
      <c r="G446" s="3168">
        <f t="shared" si="266"/>
        <v>0</v>
      </c>
      <c r="H446" s="3169">
        <f t="shared" si="267"/>
        <v>0</v>
      </c>
      <c r="I446" s="3187"/>
      <c r="J446" s="3187"/>
      <c r="K446" s="3187"/>
      <c r="L446" s="3187"/>
      <c r="M446" s="3187"/>
      <c r="N446" s="3187"/>
      <c r="O446" s="3187"/>
      <c r="P446" s="3187"/>
      <c r="Q446" s="3187"/>
      <c r="R446" s="3187"/>
      <c r="S446" s="3187"/>
      <c r="T446" s="3187"/>
      <c r="U446" s="3187"/>
      <c r="V446" s="3187"/>
      <c r="W446" s="3187"/>
      <c r="X446" s="3187"/>
      <c r="Y446" s="3187"/>
      <c r="Z446" s="3187"/>
      <c r="AA446" s="3187"/>
      <c r="AB446" s="3187"/>
      <c r="AC446" s="3166">
        <f t="shared" si="268"/>
        <v>0</v>
      </c>
      <c r="AD446" s="3198"/>
      <c r="AE446" s="3198"/>
      <c r="AF446" s="3198"/>
      <c r="AG446" s="3198"/>
      <c r="AH446" s="3198"/>
      <c r="AI446" s="3198"/>
      <c r="AJ446" s="3198"/>
      <c r="AK446" s="3198"/>
      <c r="AL446" s="3198"/>
      <c r="AM446" s="3198"/>
      <c r="AN446" s="3198"/>
      <c r="AO446" s="3198"/>
      <c r="AP446" s="3198"/>
      <c r="AQ446" s="3198"/>
      <c r="AR446" s="3198"/>
      <c r="AS446" s="3198"/>
      <c r="AT446" s="3218"/>
      <c r="AU446" s="3219"/>
      <c r="AV446" s="488">
        <f t="shared" si="269"/>
        <v>0</v>
      </c>
      <c r="AW446" s="488">
        <f t="shared" si="270"/>
        <v>0</v>
      </c>
      <c r="AX446" s="488">
        <f t="shared" si="271"/>
        <v>0</v>
      </c>
      <c r="AY446" s="3235">
        <f t="shared" si="272"/>
        <v>0</v>
      </c>
      <c r="AZ446" s="3166">
        <f t="shared" si="273"/>
        <v>0</v>
      </c>
      <c r="BA446" s="3166">
        <f t="shared" si="274"/>
        <v>0</v>
      </c>
      <c r="BB446" s="3166">
        <f t="shared" si="275"/>
        <v>0</v>
      </c>
      <c r="BC446" s="3166">
        <f t="shared" si="276"/>
        <v>0</v>
      </c>
      <c r="BD446" s="3166">
        <f t="shared" si="277"/>
        <v>0</v>
      </c>
      <c r="BE446" s="3166">
        <f t="shared" si="278"/>
        <v>0</v>
      </c>
      <c r="BF446" s="3166">
        <f t="shared" si="279"/>
        <v>0</v>
      </c>
      <c r="BG446" s="3166">
        <f t="shared" si="280"/>
        <v>0</v>
      </c>
      <c r="BH446" s="3166">
        <f t="shared" si="281"/>
        <v>0</v>
      </c>
      <c r="BI446" s="3166">
        <f t="shared" si="282"/>
        <v>0</v>
      </c>
      <c r="BJ446" s="3166">
        <f t="shared" si="283"/>
        <v>0</v>
      </c>
      <c r="BK446" s="3166">
        <f t="shared" si="284"/>
        <v>0</v>
      </c>
      <c r="BL446" s="3166">
        <f t="shared" si="285"/>
        <v>0</v>
      </c>
      <c r="BM446" s="3166">
        <f t="shared" si="286"/>
        <v>0</v>
      </c>
      <c r="BN446" s="3166">
        <f t="shared" si="287"/>
        <v>0</v>
      </c>
      <c r="BO446" s="3166">
        <f t="shared" si="288"/>
        <v>0</v>
      </c>
      <c r="BP446" s="3166">
        <f t="shared" si="289"/>
        <v>0</v>
      </c>
      <c r="BQ446" s="3166">
        <f t="shared" si="290"/>
        <v>0</v>
      </c>
      <c r="BR446" s="3166">
        <f t="shared" si="291"/>
        <v>0</v>
      </c>
      <c r="BS446" s="3166">
        <f t="shared" si="292"/>
        <v>0</v>
      </c>
      <c r="BT446" s="3240">
        <f t="shared" si="293"/>
        <v>0</v>
      </c>
    </row>
    <row r="447" spans="1:72">
      <c r="A447" s="3163"/>
      <c r="B447" s="3164"/>
      <c r="C447" s="3164"/>
      <c r="D447" s="3176"/>
      <c r="E447" s="3166">
        <f t="shared" si="265"/>
        <v>0</v>
      </c>
      <c r="F447" s="3167"/>
      <c r="G447" s="3168">
        <f t="shared" si="266"/>
        <v>0</v>
      </c>
      <c r="H447" s="3169">
        <f t="shared" si="267"/>
        <v>0</v>
      </c>
      <c r="I447" s="3187"/>
      <c r="J447" s="3187"/>
      <c r="K447" s="3187"/>
      <c r="L447" s="3187"/>
      <c r="M447" s="3187"/>
      <c r="N447" s="3187"/>
      <c r="O447" s="3187"/>
      <c r="P447" s="3187"/>
      <c r="Q447" s="3187"/>
      <c r="R447" s="3187"/>
      <c r="S447" s="3187"/>
      <c r="T447" s="3187"/>
      <c r="U447" s="3187"/>
      <c r="V447" s="3187"/>
      <c r="W447" s="3187"/>
      <c r="X447" s="3187"/>
      <c r="Y447" s="3187"/>
      <c r="Z447" s="3187"/>
      <c r="AA447" s="3187"/>
      <c r="AB447" s="3187"/>
      <c r="AC447" s="3166">
        <f t="shared" si="268"/>
        <v>0</v>
      </c>
      <c r="AD447" s="3198"/>
      <c r="AE447" s="3198"/>
      <c r="AF447" s="3198"/>
      <c r="AG447" s="3198"/>
      <c r="AH447" s="3198"/>
      <c r="AI447" s="3198"/>
      <c r="AJ447" s="3198"/>
      <c r="AK447" s="3198"/>
      <c r="AL447" s="3198"/>
      <c r="AM447" s="3198"/>
      <c r="AN447" s="3198"/>
      <c r="AO447" s="3198"/>
      <c r="AP447" s="3198"/>
      <c r="AQ447" s="3198"/>
      <c r="AR447" s="3198"/>
      <c r="AS447" s="3198"/>
      <c r="AT447" s="3218"/>
      <c r="AU447" s="3219"/>
      <c r="AV447" s="488">
        <f t="shared" si="269"/>
        <v>0</v>
      </c>
      <c r="AW447" s="488">
        <f t="shared" si="270"/>
        <v>0</v>
      </c>
      <c r="AX447" s="488">
        <f t="shared" si="271"/>
        <v>0</v>
      </c>
      <c r="AY447" s="3235">
        <f t="shared" si="272"/>
        <v>0</v>
      </c>
      <c r="AZ447" s="3166">
        <f t="shared" si="273"/>
        <v>0</v>
      </c>
      <c r="BA447" s="3166">
        <f t="shared" si="274"/>
        <v>0</v>
      </c>
      <c r="BB447" s="3166">
        <f t="shared" si="275"/>
        <v>0</v>
      </c>
      <c r="BC447" s="3166">
        <f t="shared" si="276"/>
        <v>0</v>
      </c>
      <c r="BD447" s="3166">
        <f t="shared" si="277"/>
        <v>0</v>
      </c>
      <c r="BE447" s="3166">
        <f t="shared" si="278"/>
        <v>0</v>
      </c>
      <c r="BF447" s="3166">
        <f t="shared" si="279"/>
        <v>0</v>
      </c>
      <c r="BG447" s="3166">
        <f t="shared" si="280"/>
        <v>0</v>
      </c>
      <c r="BH447" s="3166">
        <f t="shared" si="281"/>
        <v>0</v>
      </c>
      <c r="BI447" s="3166">
        <f t="shared" si="282"/>
        <v>0</v>
      </c>
      <c r="BJ447" s="3166">
        <f t="shared" si="283"/>
        <v>0</v>
      </c>
      <c r="BK447" s="3166">
        <f t="shared" si="284"/>
        <v>0</v>
      </c>
      <c r="BL447" s="3166">
        <f t="shared" si="285"/>
        <v>0</v>
      </c>
      <c r="BM447" s="3166">
        <f t="shared" si="286"/>
        <v>0</v>
      </c>
      <c r="BN447" s="3166">
        <f t="shared" si="287"/>
        <v>0</v>
      </c>
      <c r="BO447" s="3166">
        <f t="shared" si="288"/>
        <v>0</v>
      </c>
      <c r="BP447" s="3166">
        <f t="shared" si="289"/>
        <v>0</v>
      </c>
      <c r="BQ447" s="3166">
        <f t="shared" si="290"/>
        <v>0</v>
      </c>
      <c r="BR447" s="3166">
        <f t="shared" si="291"/>
        <v>0</v>
      </c>
      <c r="BS447" s="3166">
        <f t="shared" si="292"/>
        <v>0</v>
      </c>
      <c r="BT447" s="3240">
        <f t="shared" si="293"/>
        <v>0</v>
      </c>
    </row>
    <row r="448" spans="1:72">
      <c r="A448" s="3163"/>
      <c r="B448" s="3164"/>
      <c r="C448" s="3164"/>
      <c r="D448" s="3176"/>
      <c r="E448" s="3166">
        <f t="shared" si="265"/>
        <v>0</v>
      </c>
      <c r="F448" s="3167"/>
      <c r="G448" s="3168">
        <f t="shared" si="266"/>
        <v>0</v>
      </c>
      <c r="H448" s="3169">
        <f t="shared" si="267"/>
        <v>0</v>
      </c>
      <c r="I448" s="3187"/>
      <c r="J448" s="3187"/>
      <c r="K448" s="3187"/>
      <c r="L448" s="3187"/>
      <c r="M448" s="3187"/>
      <c r="N448" s="3187"/>
      <c r="O448" s="3187"/>
      <c r="P448" s="3187"/>
      <c r="Q448" s="3187"/>
      <c r="R448" s="3187"/>
      <c r="S448" s="3187"/>
      <c r="T448" s="3187"/>
      <c r="U448" s="3187"/>
      <c r="V448" s="3187"/>
      <c r="W448" s="3187"/>
      <c r="X448" s="3187"/>
      <c r="Y448" s="3187"/>
      <c r="Z448" s="3187"/>
      <c r="AA448" s="3187"/>
      <c r="AB448" s="3187"/>
      <c r="AC448" s="3166">
        <f t="shared" si="268"/>
        <v>0</v>
      </c>
      <c r="AD448" s="3198"/>
      <c r="AE448" s="3198"/>
      <c r="AF448" s="3198"/>
      <c r="AG448" s="3198"/>
      <c r="AH448" s="3198"/>
      <c r="AI448" s="3198"/>
      <c r="AJ448" s="3198"/>
      <c r="AK448" s="3198"/>
      <c r="AL448" s="3198"/>
      <c r="AM448" s="3198"/>
      <c r="AN448" s="3198"/>
      <c r="AO448" s="3198"/>
      <c r="AP448" s="3198"/>
      <c r="AQ448" s="3198"/>
      <c r="AR448" s="3198"/>
      <c r="AS448" s="3198"/>
      <c r="AT448" s="3218"/>
      <c r="AU448" s="3219"/>
      <c r="AV448" s="488">
        <f t="shared" si="269"/>
        <v>0</v>
      </c>
      <c r="AW448" s="488">
        <f t="shared" si="270"/>
        <v>0</v>
      </c>
      <c r="AX448" s="488">
        <f t="shared" si="271"/>
        <v>0</v>
      </c>
      <c r="AY448" s="3235">
        <f t="shared" si="272"/>
        <v>0</v>
      </c>
      <c r="AZ448" s="3166">
        <f t="shared" si="273"/>
        <v>0</v>
      </c>
      <c r="BA448" s="3166">
        <f t="shared" si="274"/>
        <v>0</v>
      </c>
      <c r="BB448" s="3166">
        <f t="shared" si="275"/>
        <v>0</v>
      </c>
      <c r="BC448" s="3166">
        <f t="shared" si="276"/>
        <v>0</v>
      </c>
      <c r="BD448" s="3166">
        <f t="shared" si="277"/>
        <v>0</v>
      </c>
      <c r="BE448" s="3166">
        <f t="shared" si="278"/>
        <v>0</v>
      </c>
      <c r="BF448" s="3166">
        <f t="shared" si="279"/>
        <v>0</v>
      </c>
      <c r="BG448" s="3166">
        <f t="shared" si="280"/>
        <v>0</v>
      </c>
      <c r="BH448" s="3166">
        <f t="shared" si="281"/>
        <v>0</v>
      </c>
      <c r="BI448" s="3166">
        <f t="shared" si="282"/>
        <v>0</v>
      </c>
      <c r="BJ448" s="3166">
        <f t="shared" si="283"/>
        <v>0</v>
      </c>
      <c r="BK448" s="3166">
        <f t="shared" si="284"/>
        <v>0</v>
      </c>
      <c r="BL448" s="3166">
        <f t="shared" si="285"/>
        <v>0</v>
      </c>
      <c r="BM448" s="3166">
        <f t="shared" si="286"/>
        <v>0</v>
      </c>
      <c r="BN448" s="3166">
        <f t="shared" si="287"/>
        <v>0</v>
      </c>
      <c r="BO448" s="3166">
        <f t="shared" si="288"/>
        <v>0</v>
      </c>
      <c r="BP448" s="3166">
        <f t="shared" si="289"/>
        <v>0</v>
      </c>
      <c r="BQ448" s="3166">
        <f t="shared" si="290"/>
        <v>0</v>
      </c>
      <c r="BR448" s="3166">
        <f t="shared" si="291"/>
        <v>0</v>
      </c>
      <c r="BS448" s="3166">
        <f t="shared" si="292"/>
        <v>0</v>
      </c>
      <c r="BT448" s="3240">
        <f t="shared" si="293"/>
        <v>0</v>
      </c>
    </row>
    <row r="449" spans="1:72">
      <c r="A449" s="3163"/>
      <c r="B449" s="3164"/>
      <c r="C449" s="3164"/>
      <c r="D449" s="3176"/>
      <c r="E449" s="3166">
        <f t="shared" si="265"/>
        <v>0</v>
      </c>
      <c r="F449" s="3167"/>
      <c r="G449" s="3168">
        <f t="shared" si="266"/>
        <v>0</v>
      </c>
      <c r="H449" s="3169">
        <f t="shared" si="267"/>
        <v>0</v>
      </c>
      <c r="I449" s="3187"/>
      <c r="J449" s="3187"/>
      <c r="K449" s="3187"/>
      <c r="L449" s="3187"/>
      <c r="M449" s="3187"/>
      <c r="N449" s="3187"/>
      <c r="O449" s="3187"/>
      <c r="P449" s="3187"/>
      <c r="Q449" s="3187"/>
      <c r="R449" s="3187"/>
      <c r="S449" s="3187"/>
      <c r="T449" s="3187"/>
      <c r="U449" s="3187"/>
      <c r="V449" s="3187"/>
      <c r="W449" s="3187"/>
      <c r="X449" s="3187"/>
      <c r="Y449" s="3187"/>
      <c r="Z449" s="3187"/>
      <c r="AA449" s="3187"/>
      <c r="AB449" s="3187"/>
      <c r="AC449" s="3166">
        <f t="shared" si="268"/>
        <v>0</v>
      </c>
      <c r="AD449" s="3198"/>
      <c r="AE449" s="3198"/>
      <c r="AF449" s="3198"/>
      <c r="AG449" s="3198"/>
      <c r="AH449" s="3198"/>
      <c r="AI449" s="3198"/>
      <c r="AJ449" s="3198"/>
      <c r="AK449" s="3198"/>
      <c r="AL449" s="3198"/>
      <c r="AM449" s="3198"/>
      <c r="AN449" s="3198"/>
      <c r="AO449" s="3198"/>
      <c r="AP449" s="3198"/>
      <c r="AQ449" s="3198"/>
      <c r="AR449" s="3198"/>
      <c r="AS449" s="3198"/>
      <c r="AT449" s="3218"/>
      <c r="AU449" s="3219"/>
      <c r="AV449" s="488">
        <f t="shared" si="269"/>
        <v>0</v>
      </c>
      <c r="AW449" s="488">
        <f t="shared" si="270"/>
        <v>0</v>
      </c>
      <c r="AX449" s="488">
        <f t="shared" si="271"/>
        <v>0</v>
      </c>
      <c r="AY449" s="3235">
        <f t="shared" si="272"/>
        <v>0</v>
      </c>
      <c r="AZ449" s="3166">
        <f t="shared" si="273"/>
        <v>0</v>
      </c>
      <c r="BA449" s="3166">
        <f t="shared" si="274"/>
        <v>0</v>
      </c>
      <c r="BB449" s="3166">
        <f t="shared" si="275"/>
        <v>0</v>
      </c>
      <c r="BC449" s="3166">
        <f t="shared" si="276"/>
        <v>0</v>
      </c>
      <c r="BD449" s="3166">
        <f t="shared" si="277"/>
        <v>0</v>
      </c>
      <c r="BE449" s="3166">
        <f t="shared" si="278"/>
        <v>0</v>
      </c>
      <c r="BF449" s="3166">
        <f t="shared" si="279"/>
        <v>0</v>
      </c>
      <c r="BG449" s="3166">
        <f t="shared" si="280"/>
        <v>0</v>
      </c>
      <c r="BH449" s="3166">
        <f t="shared" si="281"/>
        <v>0</v>
      </c>
      <c r="BI449" s="3166">
        <f t="shared" si="282"/>
        <v>0</v>
      </c>
      <c r="BJ449" s="3166">
        <f t="shared" si="283"/>
        <v>0</v>
      </c>
      <c r="BK449" s="3166">
        <f t="shared" si="284"/>
        <v>0</v>
      </c>
      <c r="BL449" s="3166">
        <f t="shared" si="285"/>
        <v>0</v>
      </c>
      <c r="BM449" s="3166">
        <f t="shared" si="286"/>
        <v>0</v>
      </c>
      <c r="BN449" s="3166">
        <f t="shared" si="287"/>
        <v>0</v>
      </c>
      <c r="BO449" s="3166">
        <f t="shared" si="288"/>
        <v>0</v>
      </c>
      <c r="BP449" s="3166">
        <f t="shared" si="289"/>
        <v>0</v>
      </c>
      <c r="BQ449" s="3166">
        <f t="shared" si="290"/>
        <v>0</v>
      </c>
      <c r="BR449" s="3166">
        <f t="shared" si="291"/>
        <v>0</v>
      </c>
      <c r="BS449" s="3166">
        <f t="shared" si="292"/>
        <v>0</v>
      </c>
      <c r="BT449" s="3240">
        <f t="shared" si="293"/>
        <v>0</v>
      </c>
    </row>
    <row r="450" spans="1:72">
      <c r="A450" s="3163"/>
      <c r="B450" s="3164"/>
      <c r="C450" s="3164"/>
      <c r="D450" s="3176"/>
      <c r="E450" s="3166">
        <f t="shared" si="265"/>
        <v>0</v>
      </c>
      <c r="F450" s="3167"/>
      <c r="G450" s="3168">
        <f t="shared" si="266"/>
        <v>0</v>
      </c>
      <c r="H450" s="3169">
        <f t="shared" si="267"/>
        <v>0</v>
      </c>
      <c r="I450" s="3187"/>
      <c r="J450" s="3187"/>
      <c r="K450" s="3187"/>
      <c r="L450" s="3187"/>
      <c r="M450" s="3187"/>
      <c r="N450" s="3187"/>
      <c r="O450" s="3187"/>
      <c r="P450" s="3187"/>
      <c r="Q450" s="3187"/>
      <c r="R450" s="3187"/>
      <c r="S450" s="3187"/>
      <c r="T450" s="3187"/>
      <c r="U450" s="3187"/>
      <c r="V450" s="3187"/>
      <c r="W450" s="3187"/>
      <c r="X450" s="3187"/>
      <c r="Y450" s="3187"/>
      <c r="Z450" s="3187"/>
      <c r="AA450" s="3187"/>
      <c r="AB450" s="3187"/>
      <c r="AC450" s="3166">
        <f t="shared" si="268"/>
        <v>0</v>
      </c>
      <c r="AD450" s="3198"/>
      <c r="AE450" s="3198"/>
      <c r="AF450" s="3198"/>
      <c r="AG450" s="3198"/>
      <c r="AH450" s="3198"/>
      <c r="AI450" s="3198"/>
      <c r="AJ450" s="3198"/>
      <c r="AK450" s="3198"/>
      <c r="AL450" s="3198"/>
      <c r="AM450" s="3198"/>
      <c r="AN450" s="3198"/>
      <c r="AO450" s="3198"/>
      <c r="AP450" s="3198"/>
      <c r="AQ450" s="3198"/>
      <c r="AR450" s="3198"/>
      <c r="AS450" s="3198"/>
      <c r="AT450" s="3218"/>
      <c r="AU450" s="3219"/>
      <c r="AV450" s="488">
        <f t="shared" si="269"/>
        <v>0</v>
      </c>
      <c r="AW450" s="488">
        <f t="shared" si="270"/>
        <v>0</v>
      </c>
      <c r="AX450" s="488">
        <f t="shared" si="271"/>
        <v>0</v>
      </c>
      <c r="AY450" s="3235">
        <f t="shared" si="272"/>
        <v>0</v>
      </c>
      <c r="AZ450" s="3166">
        <f t="shared" si="273"/>
        <v>0</v>
      </c>
      <c r="BA450" s="3166">
        <f t="shared" si="274"/>
        <v>0</v>
      </c>
      <c r="BB450" s="3166">
        <f t="shared" si="275"/>
        <v>0</v>
      </c>
      <c r="BC450" s="3166">
        <f t="shared" si="276"/>
        <v>0</v>
      </c>
      <c r="BD450" s="3166">
        <f t="shared" si="277"/>
        <v>0</v>
      </c>
      <c r="BE450" s="3166">
        <f t="shared" si="278"/>
        <v>0</v>
      </c>
      <c r="BF450" s="3166">
        <f t="shared" si="279"/>
        <v>0</v>
      </c>
      <c r="BG450" s="3166">
        <f t="shared" si="280"/>
        <v>0</v>
      </c>
      <c r="BH450" s="3166">
        <f t="shared" si="281"/>
        <v>0</v>
      </c>
      <c r="BI450" s="3166">
        <f t="shared" si="282"/>
        <v>0</v>
      </c>
      <c r="BJ450" s="3166">
        <f t="shared" si="283"/>
        <v>0</v>
      </c>
      <c r="BK450" s="3166">
        <f t="shared" si="284"/>
        <v>0</v>
      </c>
      <c r="BL450" s="3166">
        <f t="shared" si="285"/>
        <v>0</v>
      </c>
      <c r="BM450" s="3166">
        <f t="shared" si="286"/>
        <v>0</v>
      </c>
      <c r="BN450" s="3166">
        <f t="shared" si="287"/>
        <v>0</v>
      </c>
      <c r="BO450" s="3166">
        <f t="shared" si="288"/>
        <v>0</v>
      </c>
      <c r="BP450" s="3166">
        <f t="shared" si="289"/>
        <v>0</v>
      </c>
      <c r="BQ450" s="3166">
        <f t="shared" si="290"/>
        <v>0</v>
      </c>
      <c r="BR450" s="3166">
        <f t="shared" si="291"/>
        <v>0</v>
      </c>
      <c r="BS450" s="3166">
        <f t="shared" si="292"/>
        <v>0</v>
      </c>
      <c r="BT450" s="3240">
        <f t="shared" si="293"/>
        <v>0</v>
      </c>
    </row>
    <row r="451" spans="1:72">
      <c r="A451" s="3163"/>
      <c r="B451" s="3164"/>
      <c r="C451" s="3164"/>
      <c r="D451" s="3176"/>
      <c r="E451" s="3166">
        <f t="shared" si="265"/>
        <v>0</v>
      </c>
      <c r="F451" s="3167"/>
      <c r="G451" s="3168">
        <f t="shared" si="266"/>
        <v>0</v>
      </c>
      <c r="H451" s="3169">
        <f t="shared" si="267"/>
        <v>0</v>
      </c>
      <c r="I451" s="3187"/>
      <c r="J451" s="3187"/>
      <c r="K451" s="3187"/>
      <c r="L451" s="3187"/>
      <c r="M451" s="3187"/>
      <c r="N451" s="3187"/>
      <c r="O451" s="3187"/>
      <c r="P451" s="3187"/>
      <c r="Q451" s="3187"/>
      <c r="R451" s="3187"/>
      <c r="S451" s="3187"/>
      <c r="T451" s="3187"/>
      <c r="U451" s="3187"/>
      <c r="V451" s="3187"/>
      <c r="W451" s="3187"/>
      <c r="X451" s="3187"/>
      <c r="Y451" s="3187"/>
      <c r="Z451" s="3187"/>
      <c r="AA451" s="3187"/>
      <c r="AB451" s="3187"/>
      <c r="AC451" s="3166">
        <f t="shared" si="268"/>
        <v>0</v>
      </c>
      <c r="AD451" s="3198"/>
      <c r="AE451" s="3198"/>
      <c r="AF451" s="3198"/>
      <c r="AG451" s="3198"/>
      <c r="AH451" s="3198"/>
      <c r="AI451" s="3198"/>
      <c r="AJ451" s="3198"/>
      <c r="AK451" s="3198"/>
      <c r="AL451" s="3198"/>
      <c r="AM451" s="3198"/>
      <c r="AN451" s="3198"/>
      <c r="AO451" s="3198"/>
      <c r="AP451" s="3198"/>
      <c r="AQ451" s="3198"/>
      <c r="AR451" s="3198"/>
      <c r="AS451" s="3198"/>
      <c r="AT451" s="3218"/>
      <c r="AU451" s="3219"/>
      <c r="AV451" s="488">
        <f t="shared" si="269"/>
        <v>0</v>
      </c>
      <c r="AW451" s="488">
        <f t="shared" si="270"/>
        <v>0</v>
      </c>
      <c r="AX451" s="488">
        <f t="shared" si="271"/>
        <v>0</v>
      </c>
      <c r="AY451" s="3235">
        <f t="shared" si="272"/>
        <v>0</v>
      </c>
      <c r="AZ451" s="3166">
        <f t="shared" si="273"/>
        <v>0</v>
      </c>
      <c r="BA451" s="3166">
        <f t="shared" si="274"/>
        <v>0</v>
      </c>
      <c r="BB451" s="3166">
        <f t="shared" si="275"/>
        <v>0</v>
      </c>
      <c r="BC451" s="3166">
        <f t="shared" si="276"/>
        <v>0</v>
      </c>
      <c r="BD451" s="3166">
        <f t="shared" si="277"/>
        <v>0</v>
      </c>
      <c r="BE451" s="3166">
        <f t="shared" si="278"/>
        <v>0</v>
      </c>
      <c r="BF451" s="3166">
        <f t="shared" si="279"/>
        <v>0</v>
      </c>
      <c r="BG451" s="3166">
        <f t="shared" si="280"/>
        <v>0</v>
      </c>
      <c r="BH451" s="3166">
        <f t="shared" si="281"/>
        <v>0</v>
      </c>
      <c r="BI451" s="3166">
        <f t="shared" si="282"/>
        <v>0</v>
      </c>
      <c r="BJ451" s="3166">
        <f t="shared" si="283"/>
        <v>0</v>
      </c>
      <c r="BK451" s="3166">
        <f t="shared" si="284"/>
        <v>0</v>
      </c>
      <c r="BL451" s="3166">
        <f t="shared" si="285"/>
        <v>0</v>
      </c>
      <c r="BM451" s="3166">
        <f t="shared" si="286"/>
        <v>0</v>
      </c>
      <c r="BN451" s="3166">
        <f t="shared" si="287"/>
        <v>0</v>
      </c>
      <c r="BO451" s="3166">
        <f t="shared" si="288"/>
        <v>0</v>
      </c>
      <c r="BP451" s="3166">
        <f t="shared" si="289"/>
        <v>0</v>
      </c>
      <c r="BQ451" s="3166">
        <f t="shared" si="290"/>
        <v>0</v>
      </c>
      <c r="BR451" s="3166">
        <f t="shared" si="291"/>
        <v>0</v>
      </c>
      <c r="BS451" s="3166">
        <f t="shared" si="292"/>
        <v>0</v>
      </c>
      <c r="BT451" s="3240">
        <f t="shared" si="293"/>
        <v>0</v>
      </c>
    </row>
    <row r="452" spans="1:72">
      <c r="A452" s="3163"/>
      <c r="B452" s="3164"/>
      <c r="C452" s="3164"/>
      <c r="D452" s="3176"/>
      <c r="E452" s="3166">
        <f t="shared" si="265"/>
        <v>0</v>
      </c>
      <c r="F452" s="3167"/>
      <c r="G452" s="3168">
        <f t="shared" si="266"/>
        <v>0</v>
      </c>
      <c r="H452" s="3169">
        <f t="shared" si="267"/>
        <v>0</v>
      </c>
      <c r="I452" s="3187"/>
      <c r="J452" s="3187"/>
      <c r="K452" s="3187"/>
      <c r="L452" s="3187"/>
      <c r="M452" s="3187"/>
      <c r="N452" s="3187"/>
      <c r="O452" s="3187"/>
      <c r="P452" s="3187"/>
      <c r="Q452" s="3187"/>
      <c r="R452" s="3187"/>
      <c r="S452" s="3187"/>
      <c r="T452" s="3187"/>
      <c r="U452" s="3187"/>
      <c r="V452" s="3187"/>
      <c r="W452" s="3187"/>
      <c r="X452" s="3187"/>
      <c r="Y452" s="3187"/>
      <c r="Z452" s="3187"/>
      <c r="AA452" s="3187"/>
      <c r="AB452" s="3187"/>
      <c r="AC452" s="3166">
        <f t="shared" si="268"/>
        <v>0</v>
      </c>
      <c r="AD452" s="3198"/>
      <c r="AE452" s="3198"/>
      <c r="AF452" s="3198"/>
      <c r="AG452" s="3198"/>
      <c r="AH452" s="3198"/>
      <c r="AI452" s="3198"/>
      <c r="AJ452" s="3198"/>
      <c r="AK452" s="3198"/>
      <c r="AL452" s="3198"/>
      <c r="AM452" s="3198"/>
      <c r="AN452" s="3198"/>
      <c r="AO452" s="3198"/>
      <c r="AP452" s="3198"/>
      <c r="AQ452" s="3198"/>
      <c r="AR452" s="3198"/>
      <c r="AS452" s="3198"/>
      <c r="AT452" s="3218"/>
      <c r="AU452" s="3219"/>
      <c r="AV452" s="488">
        <f t="shared" si="269"/>
        <v>0</v>
      </c>
      <c r="AW452" s="488">
        <f t="shared" si="270"/>
        <v>0</v>
      </c>
      <c r="AX452" s="488">
        <f t="shared" si="271"/>
        <v>0</v>
      </c>
      <c r="AY452" s="3235">
        <f t="shared" si="272"/>
        <v>0</v>
      </c>
      <c r="AZ452" s="3166">
        <f t="shared" si="273"/>
        <v>0</v>
      </c>
      <c r="BA452" s="3166">
        <f t="shared" si="274"/>
        <v>0</v>
      </c>
      <c r="BB452" s="3166">
        <f t="shared" si="275"/>
        <v>0</v>
      </c>
      <c r="BC452" s="3166">
        <f t="shared" si="276"/>
        <v>0</v>
      </c>
      <c r="BD452" s="3166">
        <f t="shared" si="277"/>
        <v>0</v>
      </c>
      <c r="BE452" s="3166">
        <f t="shared" si="278"/>
        <v>0</v>
      </c>
      <c r="BF452" s="3166">
        <f t="shared" si="279"/>
        <v>0</v>
      </c>
      <c r="BG452" s="3166">
        <f t="shared" si="280"/>
        <v>0</v>
      </c>
      <c r="BH452" s="3166">
        <f t="shared" si="281"/>
        <v>0</v>
      </c>
      <c r="BI452" s="3166">
        <f t="shared" si="282"/>
        <v>0</v>
      </c>
      <c r="BJ452" s="3166">
        <f t="shared" si="283"/>
        <v>0</v>
      </c>
      <c r="BK452" s="3166">
        <f t="shared" si="284"/>
        <v>0</v>
      </c>
      <c r="BL452" s="3166">
        <f t="shared" si="285"/>
        <v>0</v>
      </c>
      <c r="BM452" s="3166">
        <f t="shared" si="286"/>
        <v>0</v>
      </c>
      <c r="BN452" s="3166">
        <f t="shared" si="287"/>
        <v>0</v>
      </c>
      <c r="BO452" s="3166">
        <f t="shared" si="288"/>
        <v>0</v>
      </c>
      <c r="BP452" s="3166">
        <f t="shared" si="289"/>
        <v>0</v>
      </c>
      <c r="BQ452" s="3166">
        <f t="shared" si="290"/>
        <v>0</v>
      </c>
      <c r="BR452" s="3166">
        <f t="shared" si="291"/>
        <v>0</v>
      </c>
      <c r="BS452" s="3166">
        <f t="shared" si="292"/>
        <v>0</v>
      </c>
      <c r="BT452" s="3240">
        <f t="shared" si="293"/>
        <v>0</v>
      </c>
    </row>
    <row r="453" spans="1:72">
      <c r="A453" s="3163"/>
      <c r="B453" s="3164"/>
      <c r="C453" s="3164"/>
      <c r="D453" s="3176"/>
      <c r="E453" s="3166">
        <f t="shared" si="265"/>
        <v>0</v>
      </c>
      <c r="F453" s="3167"/>
      <c r="G453" s="3168">
        <f t="shared" si="266"/>
        <v>0</v>
      </c>
      <c r="H453" s="3169">
        <f t="shared" si="267"/>
        <v>0</v>
      </c>
      <c r="I453" s="3187"/>
      <c r="J453" s="3187"/>
      <c r="K453" s="3187"/>
      <c r="L453" s="3187"/>
      <c r="M453" s="3187"/>
      <c r="N453" s="3187"/>
      <c r="O453" s="3187"/>
      <c r="P453" s="3187"/>
      <c r="Q453" s="3187"/>
      <c r="R453" s="3187"/>
      <c r="S453" s="3187"/>
      <c r="T453" s="3187"/>
      <c r="U453" s="3187"/>
      <c r="V453" s="3187"/>
      <c r="W453" s="3187"/>
      <c r="X453" s="3187"/>
      <c r="Y453" s="3187"/>
      <c r="Z453" s="3187"/>
      <c r="AA453" s="3187"/>
      <c r="AB453" s="3187"/>
      <c r="AC453" s="3166">
        <f t="shared" si="268"/>
        <v>0</v>
      </c>
      <c r="AD453" s="3198"/>
      <c r="AE453" s="3198"/>
      <c r="AF453" s="3198"/>
      <c r="AG453" s="3198"/>
      <c r="AH453" s="3198"/>
      <c r="AI453" s="3198"/>
      <c r="AJ453" s="3198"/>
      <c r="AK453" s="3198"/>
      <c r="AL453" s="3198"/>
      <c r="AM453" s="3198"/>
      <c r="AN453" s="3198"/>
      <c r="AO453" s="3198"/>
      <c r="AP453" s="3198"/>
      <c r="AQ453" s="3198"/>
      <c r="AR453" s="3198"/>
      <c r="AS453" s="3198"/>
      <c r="AT453" s="3218"/>
      <c r="AU453" s="3219"/>
      <c r="AV453" s="488">
        <f t="shared" si="269"/>
        <v>0</v>
      </c>
      <c r="AW453" s="488">
        <f t="shared" si="270"/>
        <v>0</v>
      </c>
      <c r="AX453" s="488">
        <f t="shared" si="271"/>
        <v>0</v>
      </c>
      <c r="AY453" s="3235">
        <f t="shared" si="272"/>
        <v>0</v>
      </c>
      <c r="AZ453" s="3166">
        <f t="shared" si="273"/>
        <v>0</v>
      </c>
      <c r="BA453" s="3166">
        <f t="shared" si="274"/>
        <v>0</v>
      </c>
      <c r="BB453" s="3166">
        <f t="shared" si="275"/>
        <v>0</v>
      </c>
      <c r="BC453" s="3166">
        <f t="shared" si="276"/>
        <v>0</v>
      </c>
      <c r="BD453" s="3166">
        <f t="shared" si="277"/>
        <v>0</v>
      </c>
      <c r="BE453" s="3166">
        <f t="shared" si="278"/>
        <v>0</v>
      </c>
      <c r="BF453" s="3166">
        <f t="shared" si="279"/>
        <v>0</v>
      </c>
      <c r="BG453" s="3166">
        <f t="shared" si="280"/>
        <v>0</v>
      </c>
      <c r="BH453" s="3166">
        <f t="shared" si="281"/>
        <v>0</v>
      </c>
      <c r="BI453" s="3166">
        <f t="shared" si="282"/>
        <v>0</v>
      </c>
      <c r="BJ453" s="3166">
        <f t="shared" si="283"/>
        <v>0</v>
      </c>
      <c r="BK453" s="3166">
        <f t="shared" si="284"/>
        <v>0</v>
      </c>
      <c r="BL453" s="3166">
        <f t="shared" si="285"/>
        <v>0</v>
      </c>
      <c r="BM453" s="3166">
        <f t="shared" si="286"/>
        <v>0</v>
      </c>
      <c r="BN453" s="3166">
        <f t="shared" si="287"/>
        <v>0</v>
      </c>
      <c r="BO453" s="3166">
        <f t="shared" si="288"/>
        <v>0</v>
      </c>
      <c r="BP453" s="3166">
        <f t="shared" si="289"/>
        <v>0</v>
      </c>
      <c r="BQ453" s="3166">
        <f t="shared" si="290"/>
        <v>0</v>
      </c>
      <c r="BR453" s="3166">
        <f t="shared" si="291"/>
        <v>0</v>
      </c>
      <c r="BS453" s="3166">
        <f t="shared" si="292"/>
        <v>0</v>
      </c>
      <c r="BT453" s="3240">
        <f t="shared" si="293"/>
        <v>0</v>
      </c>
    </row>
    <row r="454" spans="1:72">
      <c r="A454" s="3163"/>
      <c r="B454" s="3164"/>
      <c r="C454" s="3164"/>
      <c r="D454" s="3176"/>
      <c r="E454" s="3166">
        <f t="shared" si="265"/>
        <v>0</v>
      </c>
      <c r="F454" s="3167"/>
      <c r="G454" s="3168">
        <f t="shared" si="266"/>
        <v>0</v>
      </c>
      <c r="H454" s="3169">
        <f t="shared" si="267"/>
        <v>0</v>
      </c>
      <c r="I454" s="3187"/>
      <c r="J454" s="3187"/>
      <c r="K454" s="3187"/>
      <c r="L454" s="3187"/>
      <c r="M454" s="3187"/>
      <c r="N454" s="3187"/>
      <c r="O454" s="3187"/>
      <c r="P454" s="3187"/>
      <c r="Q454" s="3187"/>
      <c r="R454" s="3187"/>
      <c r="S454" s="3187"/>
      <c r="T454" s="3187"/>
      <c r="U454" s="3187"/>
      <c r="V454" s="3187"/>
      <c r="W454" s="3187"/>
      <c r="X454" s="3187"/>
      <c r="Y454" s="3187"/>
      <c r="Z454" s="3187"/>
      <c r="AA454" s="3187"/>
      <c r="AB454" s="3187"/>
      <c r="AC454" s="3166">
        <f t="shared" si="268"/>
        <v>0</v>
      </c>
      <c r="AD454" s="3198"/>
      <c r="AE454" s="3198"/>
      <c r="AF454" s="3198"/>
      <c r="AG454" s="3198"/>
      <c r="AH454" s="3198"/>
      <c r="AI454" s="3198"/>
      <c r="AJ454" s="3198"/>
      <c r="AK454" s="3198"/>
      <c r="AL454" s="3198"/>
      <c r="AM454" s="3198"/>
      <c r="AN454" s="3198"/>
      <c r="AO454" s="3198"/>
      <c r="AP454" s="3198"/>
      <c r="AQ454" s="3198"/>
      <c r="AR454" s="3198"/>
      <c r="AS454" s="3198"/>
      <c r="AT454" s="3218"/>
      <c r="AU454" s="3219"/>
      <c r="AV454" s="488">
        <f t="shared" si="269"/>
        <v>0</v>
      </c>
      <c r="AW454" s="488">
        <f t="shared" si="270"/>
        <v>0</v>
      </c>
      <c r="AX454" s="488">
        <f t="shared" si="271"/>
        <v>0</v>
      </c>
      <c r="AY454" s="3235">
        <f t="shared" si="272"/>
        <v>0</v>
      </c>
      <c r="AZ454" s="3166">
        <f t="shared" si="273"/>
        <v>0</v>
      </c>
      <c r="BA454" s="3166">
        <f t="shared" si="274"/>
        <v>0</v>
      </c>
      <c r="BB454" s="3166">
        <f t="shared" si="275"/>
        <v>0</v>
      </c>
      <c r="BC454" s="3166">
        <f t="shared" si="276"/>
        <v>0</v>
      </c>
      <c r="BD454" s="3166">
        <f t="shared" si="277"/>
        <v>0</v>
      </c>
      <c r="BE454" s="3166">
        <f t="shared" si="278"/>
        <v>0</v>
      </c>
      <c r="BF454" s="3166">
        <f t="shared" si="279"/>
        <v>0</v>
      </c>
      <c r="BG454" s="3166">
        <f t="shared" si="280"/>
        <v>0</v>
      </c>
      <c r="BH454" s="3166">
        <f t="shared" si="281"/>
        <v>0</v>
      </c>
      <c r="BI454" s="3166">
        <f t="shared" si="282"/>
        <v>0</v>
      </c>
      <c r="BJ454" s="3166">
        <f t="shared" si="283"/>
        <v>0</v>
      </c>
      <c r="BK454" s="3166">
        <f t="shared" si="284"/>
        <v>0</v>
      </c>
      <c r="BL454" s="3166">
        <f t="shared" si="285"/>
        <v>0</v>
      </c>
      <c r="BM454" s="3166">
        <f t="shared" si="286"/>
        <v>0</v>
      </c>
      <c r="BN454" s="3166">
        <f t="shared" si="287"/>
        <v>0</v>
      </c>
      <c r="BO454" s="3166">
        <f t="shared" si="288"/>
        <v>0</v>
      </c>
      <c r="BP454" s="3166">
        <f t="shared" si="289"/>
        <v>0</v>
      </c>
      <c r="BQ454" s="3166">
        <f t="shared" si="290"/>
        <v>0</v>
      </c>
      <c r="BR454" s="3166">
        <f t="shared" si="291"/>
        <v>0</v>
      </c>
      <c r="BS454" s="3166">
        <f t="shared" si="292"/>
        <v>0</v>
      </c>
      <c r="BT454" s="3240">
        <f t="shared" si="293"/>
        <v>0</v>
      </c>
    </row>
    <row r="455" spans="1:72">
      <c r="A455" s="3163"/>
      <c r="B455" s="3164"/>
      <c r="C455" s="3164"/>
      <c r="D455" s="3176"/>
      <c r="E455" s="3166">
        <f t="shared" si="265"/>
        <v>0</v>
      </c>
      <c r="F455" s="3167"/>
      <c r="G455" s="3168">
        <f t="shared" si="266"/>
        <v>0</v>
      </c>
      <c r="H455" s="3169">
        <f t="shared" si="267"/>
        <v>0</v>
      </c>
      <c r="I455" s="3187"/>
      <c r="J455" s="3187"/>
      <c r="K455" s="3187"/>
      <c r="L455" s="3187"/>
      <c r="M455" s="3187"/>
      <c r="N455" s="3187"/>
      <c r="O455" s="3187"/>
      <c r="P455" s="3187"/>
      <c r="Q455" s="3187"/>
      <c r="R455" s="3187"/>
      <c r="S455" s="3187"/>
      <c r="T455" s="3187"/>
      <c r="U455" s="3187"/>
      <c r="V455" s="3187"/>
      <c r="W455" s="3187"/>
      <c r="X455" s="3187"/>
      <c r="Y455" s="3187"/>
      <c r="Z455" s="3187"/>
      <c r="AA455" s="3187"/>
      <c r="AB455" s="3187"/>
      <c r="AC455" s="3166">
        <f t="shared" si="268"/>
        <v>0</v>
      </c>
      <c r="AD455" s="3198"/>
      <c r="AE455" s="3198"/>
      <c r="AF455" s="3198"/>
      <c r="AG455" s="3198"/>
      <c r="AH455" s="3198"/>
      <c r="AI455" s="3198"/>
      <c r="AJ455" s="3198"/>
      <c r="AK455" s="3198"/>
      <c r="AL455" s="3198"/>
      <c r="AM455" s="3198"/>
      <c r="AN455" s="3198"/>
      <c r="AO455" s="3198"/>
      <c r="AP455" s="3198"/>
      <c r="AQ455" s="3198"/>
      <c r="AR455" s="3198"/>
      <c r="AS455" s="3198"/>
      <c r="AT455" s="3218"/>
      <c r="AU455" s="3219"/>
      <c r="AV455" s="488">
        <f t="shared" si="269"/>
        <v>0</v>
      </c>
      <c r="AW455" s="488">
        <f t="shared" si="270"/>
        <v>0</v>
      </c>
      <c r="AX455" s="488">
        <f t="shared" si="271"/>
        <v>0</v>
      </c>
      <c r="AY455" s="3235">
        <f t="shared" si="272"/>
        <v>0</v>
      </c>
      <c r="AZ455" s="3166">
        <f t="shared" si="273"/>
        <v>0</v>
      </c>
      <c r="BA455" s="3166">
        <f t="shared" si="274"/>
        <v>0</v>
      </c>
      <c r="BB455" s="3166">
        <f t="shared" si="275"/>
        <v>0</v>
      </c>
      <c r="BC455" s="3166">
        <f t="shared" si="276"/>
        <v>0</v>
      </c>
      <c r="BD455" s="3166">
        <f t="shared" si="277"/>
        <v>0</v>
      </c>
      <c r="BE455" s="3166">
        <f t="shared" si="278"/>
        <v>0</v>
      </c>
      <c r="BF455" s="3166">
        <f t="shared" si="279"/>
        <v>0</v>
      </c>
      <c r="BG455" s="3166">
        <f t="shared" si="280"/>
        <v>0</v>
      </c>
      <c r="BH455" s="3166">
        <f t="shared" si="281"/>
        <v>0</v>
      </c>
      <c r="BI455" s="3166">
        <f t="shared" si="282"/>
        <v>0</v>
      </c>
      <c r="BJ455" s="3166">
        <f t="shared" si="283"/>
        <v>0</v>
      </c>
      <c r="BK455" s="3166">
        <f t="shared" si="284"/>
        <v>0</v>
      </c>
      <c r="BL455" s="3166">
        <f t="shared" si="285"/>
        <v>0</v>
      </c>
      <c r="BM455" s="3166">
        <f t="shared" si="286"/>
        <v>0</v>
      </c>
      <c r="BN455" s="3166">
        <f t="shared" si="287"/>
        <v>0</v>
      </c>
      <c r="BO455" s="3166">
        <f t="shared" si="288"/>
        <v>0</v>
      </c>
      <c r="BP455" s="3166">
        <f t="shared" si="289"/>
        <v>0</v>
      </c>
      <c r="BQ455" s="3166">
        <f t="shared" si="290"/>
        <v>0</v>
      </c>
      <c r="BR455" s="3166">
        <f t="shared" si="291"/>
        <v>0</v>
      </c>
      <c r="BS455" s="3166">
        <f t="shared" si="292"/>
        <v>0</v>
      </c>
      <c r="BT455" s="3240">
        <f t="shared" si="293"/>
        <v>0</v>
      </c>
    </row>
    <row r="456" spans="1:72">
      <c r="A456" s="3163"/>
      <c r="B456" s="3164"/>
      <c r="C456" s="3164"/>
      <c r="D456" s="3176"/>
      <c r="E456" s="3166">
        <f t="shared" si="265"/>
        <v>0</v>
      </c>
      <c r="F456" s="3167"/>
      <c r="G456" s="3168">
        <f t="shared" si="266"/>
        <v>0</v>
      </c>
      <c r="H456" s="3169">
        <f t="shared" si="267"/>
        <v>0</v>
      </c>
      <c r="I456" s="3187"/>
      <c r="J456" s="3187"/>
      <c r="K456" s="3187"/>
      <c r="L456" s="3187"/>
      <c r="M456" s="3187"/>
      <c r="N456" s="3187"/>
      <c r="O456" s="3187"/>
      <c r="P456" s="3187"/>
      <c r="Q456" s="3187"/>
      <c r="R456" s="3187"/>
      <c r="S456" s="3187"/>
      <c r="T456" s="3187"/>
      <c r="U456" s="3187"/>
      <c r="V456" s="3187"/>
      <c r="W456" s="3187"/>
      <c r="X456" s="3187"/>
      <c r="Y456" s="3187"/>
      <c r="Z456" s="3187"/>
      <c r="AA456" s="3187"/>
      <c r="AB456" s="3187"/>
      <c r="AC456" s="3166">
        <f t="shared" si="268"/>
        <v>0</v>
      </c>
      <c r="AD456" s="3198"/>
      <c r="AE456" s="3198"/>
      <c r="AF456" s="3198"/>
      <c r="AG456" s="3198"/>
      <c r="AH456" s="3198"/>
      <c r="AI456" s="3198"/>
      <c r="AJ456" s="3198"/>
      <c r="AK456" s="3198"/>
      <c r="AL456" s="3198"/>
      <c r="AM456" s="3198"/>
      <c r="AN456" s="3198"/>
      <c r="AO456" s="3198"/>
      <c r="AP456" s="3198"/>
      <c r="AQ456" s="3198"/>
      <c r="AR456" s="3198"/>
      <c r="AS456" s="3198"/>
      <c r="AT456" s="3218"/>
      <c r="AU456" s="3219"/>
      <c r="AV456" s="488">
        <f t="shared" si="269"/>
        <v>0</v>
      </c>
      <c r="AW456" s="488">
        <f t="shared" si="270"/>
        <v>0</v>
      </c>
      <c r="AX456" s="488">
        <f t="shared" si="271"/>
        <v>0</v>
      </c>
      <c r="AY456" s="3235">
        <f t="shared" si="272"/>
        <v>0</v>
      </c>
      <c r="AZ456" s="3166">
        <f t="shared" si="273"/>
        <v>0</v>
      </c>
      <c r="BA456" s="3166">
        <f t="shared" si="274"/>
        <v>0</v>
      </c>
      <c r="BB456" s="3166">
        <f t="shared" si="275"/>
        <v>0</v>
      </c>
      <c r="BC456" s="3166">
        <f t="shared" si="276"/>
        <v>0</v>
      </c>
      <c r="BD456" s="3166">
        <f t="shared" si="277"/>
        <v>0</v>
      </c>
      <c r="BE456" s="3166">
        <f t="shared" si="278"/>
        <v>0</v>
      </c>
      <c r="BF456" s="3166">
        <f t="shared" si="279"/>
        <v>0</v>
      </c>
      <c r="BG456" s="3166">
        <f t="shared" si="280"/>
        <v>0</v>
      </c>
      <c r="BH456" s="3166">
        <f t="shared" si="281"/>
        <v>0</v>
      </c>
      <c r="BI456" s="3166">
        <f t="shared" si="282"/>
        <v>0</v>
      </c>
      <c r="BJ456" s="3166">
        <f t="shared" si="283"/>
        <v>0</v>
      </c>
      <c r="BK456" s="3166">
        <f t="shared" si="284"/>
        <v>0</v>
      </c>
      <c r="BL456" s="3166">
        <f t="shared" si="285"/>
        <v>0</v>
      </c>
      <c r="BM456" s="3166">
        <f t="shared" si="286"/>
        <v>0</v>
      </c>
      <c r="BN456" s="3166">
        <f t="shared" si="287"/>
        <v>0</v>
      </c>
      <c r="BO456" s="3166">
        <f t="shared" si="288"/>
        <v>0</v>
      </c>
      <c r="BP456" s="3166">
        <f t="shared" si="289"/>
        <v>0</v>
      </c>
      <c r="BQ456" s="3166">
        <f t="shared" si="290"/>
        <v>0</v>
      </c>
      <c r="BR456" s="3166">
        <f t="shared" si="291"/>
        <v>0</v>
      </c>
      <c r="BS456" s="3166">
        <f t="shared" si="292"/>
        <v>0</v>
      </c>
      <c r="BT456" s="3240">
        <f t="shared" si="293"/>
        <v>0</v>
      </c>
    </row>
    <row r="457" spans="1:72">
      <c r="A457" s="3163"/>
      <c r="B457" s="3164"/>
      <c r="C457" s="3164"/>
      <c r="D457" s="3176"/>
      <c r="E457" s="3166">
        <f t="shared" si="265"/>
        <v>0</v>
      </c>
      <c r="F457" s="3167"/>
      <c r="G457" s="3168">
        <f t="shared" si="266"/>
        <v>0</v>
      </c>
      <c r="H457" s="3169">
        <f t="shared" si="267"/>
        <v>0</v>
      </c>
      <c r="I457" s="3187"/>
      <c r="J457" s="3187"/>
      <c r="K457" s="3187"/>
      <c r="L457" s="3187"/>
      <c r="M457" s="3187"/>
      <c r="N457" s="3187"/>
      <c r="O457" s="3187"/>
      <c r="P457" s="3187"/>
      <c r="Q457" s="3187"/>
      <c r="R457" s="3187"/>
      <c r="S457" s="3187"/>
      <c r="T457" s="3187"/>
      <c r="U457" s="3187"/>
      <c r="V457" s="3187"/>
      <c r="W457" s="3187"/>
      <c r="X457" s="3187"/>
      <c r="Y457" s="3187"/>
      <c r="Z457" s="3187"/>
      <c r="AA457" s="3187"/>
      <c r="AB457" s="3187"/>
      <c r="AC457" s="3166">
        <f t="shared" si="268"/>
        <v>0</v>
      </c>
      <c r="AD457" s="3198"/>
      <c r="AE457" s="3198"/>
      <c r="AF457" s="3198"/>
      <c r="AG457" s="3198"/>
      <c r="AH457" s="3198"/>
      <c r="AI457" s="3198"/>
      <c r="AJ457" s="3198"/>
      <c r="AK457" s="3198"/>
      <c r="AL457" s="3198"/>
      <c r="AM457" s="3198"/>
      <c r="AN457" s="3198"/>
      <c r="AO457" s="3198"/>
      <c r="AP457" s="3198"/>
      <c r="AQ457" s="3198"/>
      <c r="AR457" s="3198"/>
      <c r="AS457" s="3198"/>
      <c r="AT457" s="3218"/>
      <c r="AU457" s="3219"/>
      <c r="AV457" s="488">
        <f t="shared" si="269"/>
        <v>0</v>
      </c>
      <c r="AW457" s="488">
        <f t="shared" si="270"/>
        <v>0</v>
      </c>
      <c r="AX457" s="488">
        <f t="shared" si="271"/>
        <v>0</v>
      </c>
      <c r="AY457" s="3235">
        <f t="shared" si="272"/>
        <v>0</v>
      </c>
      <c r="AZ457" s="3166">
        <f t="shared" si="273"/>
        <v>0</v>
      </c>
      <c r="BA457" s="3166">
        <f t="shared" si="274"/>
        <v>0</v>
      </c>
      <c r="BB457" s="3166">
        <f t="shared" si="275"/>
        <v>0</v>
      </c>
      <c r="BC457" s="3166">
        <f t="shared" si="276"/>
        <v>0</v>
      </c>
      <c r="BD457" s="3166">
        <f t="shared" si="277"/>
        <v>0</v>
      </c>
      <c r="BE457" s="3166">
        <f t="shared" si="278"/>
        <v>0</v>
      </c>
      <c r="BF457" s="3166">
        <f t="shared" si="279"/>
        <v>0</v>
      </c>
      <c r="BG457" s="3166">
        <f t="shared" si="280"/>
        <v>0</v>
      </c>
      <c r="BH457" s="3166">
        <f t="shared" si="281"/>
        <v>0</v>
      </c>
      <c r="BI457" s="3166">
        <f t="shared" si="282"/>
        <v>0</v>
      </c>
      <c r="BJ457" s="3166">
        <f t="shared" si="283"/>
        <v>0</v>
      </c>
      <c r="BK457" s="3166">
        <f t="shared" si="284"/>
        <v>0</v>
      </c>
      <c r="BL457" s="3166">
        <f t="shared" si="285"/>
        <v>0</v>
      </c>
      <c r="BM457" s="3166">
        <f t="shared" si="286"/>
        <v>0</v>
      </c>
      <c r="BN457" s="3166">
        <f t="shared" si="287"/>
        <v>0</v>
      </c>
      <c r="BO457" s="3166">
        <f t="shared" si="288"/>
        <v>0</v>
      </c>
      <c r="BP457" s="3166">
        <f t="shared" si="289"/>
        <v>0</v>
      </c>
      <c r="BQ457" s="3166">
        <f t="shared" si="290"/>
        <v>0</v>
      </c>
      <c r="BR457" s="3166">
        <f t="shared" si="291"/>
        <v>0</v>
      </c>
      <c r="BS457" s="3166">
        <f t="shared" si="292"/>
        <v>0</v>
      </c>
      <c r="BT457" s="3240">
        <f t="shared" si="293"/>
        <v>0</v>
      </c>
    </row>
    <row r="458" spans="1:72">
      <c r="A458" s="3163"/>
      <c r="B458" s="3164"/>
      <c r="C458" s="3164"/>
      <c r="D458" s="3176"/>
      <c r="E458" s="3166">
        <f t="shared" si="265"/>
        <v>0</v>
      </c>
      <c r="F458" s="3167"/>
      <c r="G458" s="3168">
        <f t="shared" si="266"/>
        <v>0</v>
      </c>
      <c r="H458" s="3169">
        <f t="shared" si="267"/>
        <v>0</v>
      </c>
      <c r="I458" s="3187"/>
      <c r="J458" s="3187"/>
      <c r="K458" s="3187"/>
      <c r="L458" s="3187"/>
      <c r="M458" s="3187"/>
      <c r="N458" s="3187"/>
      <c r="O458" s="3187"/>
      <c r="P458" s="3187"/>
      <c r="Q458" s="3187"/>
      <c r="R458" s="3187"/>
      <c r="S458" s="3187"/>
      <c r="T458" s="3187"/>
      <c r="U458" s="3187"/>
      <c r="V458" s="3187"/>
      <c r="W458" s="3187"/>
      <c r="X458" s="3187"/>
      <c r="Y458" s="3187"/>
      <c r="Z458" s="3187"/>
      <c r="AA458" s="3187"/>
      <c r="AB458" s="3187"/>
      <c r="AC458" s="3166">
        <f t="shared" si="268"/>
        <v>0</v>
      </c>
      <c r="AD458" s="3198"/>
      <c r="AE458" s="3198"/>
      <c r="AF458" s="3198"/>
      <c r="AG458" s="3198"/>
      <c r="AH458" s="3198"/>
      <c r="AI458" s="3198"/>
      <c r="AJ458" s="3198"/>
      <c r="AK458" s="3198"/>
      <c r="AL458" s="3198"/>
      <c r="AM458" s="3198"/>
      <c r="AN458" s="3198"/>
      <c r="AO458" s="3198"/>
      <c r="AP458" s="3198"/>
      <c r="AQ458" s="3198"/>
      <c r="AR458" s="3198"/>
      <c r="AS458" s="3198"/>
      <c r="AT458" s="3218"/>
      <c r="AU458" s="3219"/>
      <c r="AV458" s="488">
        <f t="shared" si="269"/>
        <v>0</v>
      </c>
      <c r="AW458" s="488">
        <f t="shared" si="270"/>
        <v>0</v>
      </c>
      <c r="AX458" s="488">
        <f t="shared" si="271"/>
        <v>0</v>
      </c>
      <c r="AY458" s="3235">
        <f t="shared" si="272"/>
        <v>0</v>
      </c>
      <c r="AZ458" s="3166">
        <f t="shared" si="273"/>
        <v>0</v>
      </c>
      <c r="BA458" s="3166">
        <f t="shared" si="274"/>
        <v>0</v>
      </c>
      <c r="BB458" s="3166">
        <f t="shared" si="275"/>
        <v>0</v>
      </c>
      <c r="BC458" s="3166">
        <f t="shared" si="276"/>
        <v>0</v>
      </c>
      <c r="BD458" s="3166">
        <f t="shared" si="277"/>
        <v>0</v>
      </c>
      <c r="BE458" s="3166">
        <f t="shared" si="278"/>
        <v>0</v>
      </c>
      <c r="BF458" s="3166">
        <f t="shared" si="279"/>
        <v>0</v>
      </c>
      <c r="BG458" s="3166">
        <f t="shared" si="280"/>
        <v>0</v>
      </c>
      <c r="BH458" s="3166">
        <f t="shared" si="281"/>
        <v>0</v>
      </c>
      <c r="BI458" s="3166">
        <f t="shared" si="282"/>
        <v>0</v>
      </c>
      <c r="BJ458" s="3166">
        <f t="shared" si="283"/>
        <v>0</v>
      </c>
      <c r="BK458" s="3166">
        <f t="shared" si="284"/>
        <v>0</v>
      </c>
      <c r="BL458" s="3166">
        <f t="shared" si="285"/>
        <v>0</v>
      </c>
      <c r="BM458" s="3166">
        <f t="shared" si="286"/>
        <v>0</v>
      </c>
      <c r="BN458" s="3166">
        <f t="shared" si="287"/>
        <v>0</v>
      </c>
      <c r="BO458" s="3166">
        <f t="shared" si="288"/>
        <v>0</v>
      </c>
      <c r="BP458" s="3166">
        <f t="shared" si="289"/>
        <v>0</v>
      </c>
      <c r="BQ458" s="3166">
        <f t="shared" si="290"/>
        <v>0</v>
      </c>
      <c r="BR458" s="3166">
        <f t="shared" si="291"/>
        <v>0</v>
      </c>
      <c r="BS458" s="3166">
        <f t="shared" si="292"/>
        <v>0</v>
      </c>
      <c r="BT458" s="3240">
        <f t="shared" si="293"/>
        <v>0</v>
      </c>
    </row>
    <row r="459" spans="1:72">
      <c r="A459" s="3163"/>
      <c r="B459" s="3164"/>
      <c r="C459" s="3164"/>
      <c r="D459" s="3176"/>
      <c r="E459" s="3166">
        <f t="shared" si="265"/>
        <v>0</v>
      </c>
      <c r="F459" s="3167"/>
      <c r="G459" s="3168">
        <f t="shared" si="266"/>
        <v>0</v>
      </c>
      <c r="H459" s="3169">
        <f t="shared" si="267"/>
        <v>0</v>
      </c>
      <c r="I459" s="3187"/>
      <c r="J459" s="3187"/>
      <c r="K459" s="3187"/>
      <c r="L459" s="3187"/>
      <c r="M459" s="3187"/>
      <c r="N459" s="3187"/>
      <c r="O459" s="3187"/>
      <c r="P459" s="3187"/>
      <c r="Q459" s="3187"/>
      <c r="R459" s="3187"/>
      <c r="S459" s="3187"/>
      <c r="T459" s="3187"/>
      <c r="U459" s="3187"/>
      <c r="V459" s="3187"/>
      <c r="W459" s="3187"/>
      <c r="X459" s="3187"/>
      <c r="Y459" s="3187"/>
      <c r="Z459" s="3187"/>
      <c r="AA459" s="3187"/>
      <c r="AB459" s="3187"/>
      <c r="AC459" s="3166">
        <f t="shared" si="268"/>
        <v>0</v>
      </c>
      <c r="AD459" s="3198"/>
      <c r="AE459" s="3198"/>
      <c r="AF459" s="3198"/>
      <c r="AG459" s="3198"/>
      <c r="AH459" s="3198"/>
      <c r="AI459" s="3198"/>
      <c r="AJ459" s="3198"/>
      <c r="AK459" s="3198"/>
      <c r="AL459" s="3198"/>
      <c r="AM459" s="3198"/>
      <c r="AN459" s="3198"/>
      <c r="AO459" s="3198"/>
      <c r="AP459" s="3198"/>
      <c r="AQ459" s="3198"/>
      <c r="AR459" s="3198"/>
      <c r="AS459" s="3198"/>
      <c r="AT459" s="3218"/>
      <c r="AU459" s="3219"/>
      <c r="AV459" s="488">
        <f t="shared" si="269"/>
        <v>0</v>
      </c>
      <c r="AW459" s="488">
        <f t="shared" si="270"/>
        <v>0</v>
      </c>
      <c r="AX459" s="488">
        <f t="shared" si="271"/>
        <v>0</v>
      </c>
      <c r="AY459" s="3235">
        <f t="shared" si="272"/>
        <v>0</v>
      </c>
      <c r="AZ459" s="3166">
        <f t="shared" si="273"/>
        <v>0</v>
      </c>
      <c r="BA459" s="3166">
        <f t="shared" si="274"/>
        <v>0</v>
      </c>
      <c r="BB459" s="3166">
        <f t="shared" si="275"/>
        <v>0</v>
      </c>
      <c r="BC459" s="3166">
        <f t="shared" si="276"/>
        <v>0</v>
      </c>
      <c r="BD459" s="3166">
        <f t="shared" si="277"/>
        <v>0</v>
      </c>
      <c r="BE459" s="3166">
        <f t="shared" si="278"/>
        <v>0</v>
      </c>
      <c r="BF459" s="3166">
        <f t="shared" si="279"/>
        <v>0</v>
      </c>
      <c r="BG459" s="3166">
        <f t="shared" si="280"/>
        <v>0</v>
      </c>
      <c r="BH459" s="3166">
        <f t="shared" si="281"/>
        <v>0</v>
      </c>
      <c r="BI459" s="3166">
        <f t="shared" si="282"/>
        <v>0</v>
      </c>
      <c r="BJ459" s="3166">
        <f t="shared" si="283"/>
        <v>0</v>
      </c>
      <c r="BK459" s="3166">
        <f t="shared" si="284"/>
        <v>0</v>
      </c>
      <c r="BL459" s="3166">
        <f t="shared" si="285"/>
        <v>0</v>
      </c>
      <c r="BM459" s="3166">
        <f t="shared" si="286"/>
        <v>0</v>
      </c>
      <c r="BN459" s="3166">
        <f t="shared" si="287"/>
        <v>0</v>
      </c>
      <c r="BO459" s="3166">
        <f t="shared" si="288"/>
        <v>0</v>
      </c>
      <c r="BP459" s="3166">
        <f t="shared" si="289"/>
        <v>0</v>
      </c>
      <c r="BQ459" s="3166">
        <f t="shared" si="290"/>
        <v>0</v>
      </c>
      <c r="BR459" s="3166">
        <f t="shared" si="291"/>
        <v>0</v>
      </c>
      <c r="BS459" s="3166">
        <f t="shared" si="292"/>
        <v>0</v>
      </c>
      <c r="BT459" s="3240">
        <f t="shared" si="293"/>
        <v>0</v>
      </c>
    </row>
    <row r="460" spans="1:72">
      <c r="A460" s="3163"/>
      <c r="B460" s="3164"/>
      <c r="C460" s="3164"/>
      <c r="D460" s="3176"/>
      <c r="E460" s="3166">
        <f t="shared" si="265"/>
        <v>0</v>
      </c>
      <c r="F460" s="3167"/>
      <c r="G460" s="3168">
        <f t="shared" si="266"/>
        <v>0</v>
      </c>
      <c r="H460" s="3169">
        <f t="shared" si="267"/>
        <v>0</v>
      </c>
      <c r="I460" s="3187"/>
      <c r="J460" s="3187"/>
      <c r="K460" s="3187"/>
      <c r="L460" s="3187"/>
      <c r="M460" s="3187"/>
      <c r="N460" s="3187"/>
      <c r="O460" s="3187"/>
      <c r="P460" s="3187"/>
      <c r="Q460" s="3187"/>
      <c r="R460" s="3187"/>
      <c r="S460" s="3187"/>
      <c r="T460" s="3187"/>
      <c r="U460" s="3187"/>
      <c r="V460" s="3187"/>
      <c r="W460" s="3187"/>
      <c r="X460" s="3187"/>
      <c r="Y460" s="3187"/>
      <c r="Z460" s="3187"/>
      <c r="AA460" s="3187"/>
      <c r="AB460" s="3187"/>
      <c r="AC460" s="3166">
        <f t="shared" si="268"/>
        <v>0</v>
      </c>
      <c r="AD460" s="3198"/>
      <c r="AE460" s="3198"/>
      <c r="AF460" s="3198"/>
      <c r="AG460" s="3198"/>
      <c r="AH460" s="3198"/>
      <c r="AI460" s="3198"/>
      <c r="AJ460" s="3198"/>
      <c r="AK460" s="3198"/>
      <c r="AL460" s="3198"/>
      <c r="AM460" s="3198"/>
      <c r="AN460" s="3198"/>
      <c r="AO460" s="3198"/>
      <c r="AP460" s="3198"/>
      <c r="AQ460" s="3198"/>
      <c r="AR460" s="3198"/>
      <c r="AS460" s="3198"/>
      <c r="AT460" s="3218"/>
      <c r="AU460" s="3219"/>
      <c r="AV460" s="488">
        <f t="shared" si="269"/>
        <v>0</v>
      </c>
      <c r="AW460" s="488">
        <f t="shared" si="270"/>
        <v>0</v>
      </c>
      <c r="AX460" s="488">
        <f t="shared" si="271"/>
        <v>0</v>
      </c>
      <c r="AY460" s="3235">
        <f t="shared" si="272"/>
        <v>0</v>
      </c>
      <c r="AZ460" s="3166">
        <f t="shared" si="273"/>
        <v>0</v>
      </c>
      <c r="BA460" s="3166">
        <f t="shared" si="274"/>
        <v>0</v>
      </c>
      <c r="BB460" s="3166">
        <f t="shared" si="275"/>
        <v>0</v>
      </c>
      <c r="BC460" s="3166">
        <f t="shared" si="276"/>
        <v>0</v>
      </c>
      <c r="BD460" s="3166">
        <f t="shared" si="277"/>
        <v>0</v>
      </c>
      <c r="BE460" s="3166">
        <f t="shared" si="278"/>
        <v>0</v>
      </c>
      <c r="BF460" s="3166">
        <f t="shared" si="279"/>
        <v>0</v>
      </c>
      <c r="BG460" s="3166">
        <f t="shared" si="280"/>
        <v>0</v>
      </c>
      <c r="BH460" s="3166">
        <f t="shared" si="281"/>
        <v>0</v>
      </c>
      <c r="BI460" s="3166">
        <f t="shared" si="282"/>
        <v>0</v>
      </c>
      <c r="BJ460" s="3166">
        <f t="shared" si="283"/>
        <v>0</v>
      </c>
      <c r="BK460" s="3166">
        <f t="shared" si="284"/>
        <v>0</v>
      </c>
      <c r="BL460" s="3166">
        <f t="shared" si="285"/>
        <v>0</v>
      </c>
      <c r="BM460" s="3166">
        <f t="shared" si="286"/>
        <v>0</v>
      </c>
      <c r="BN460" s="3166">
        <f t="shared" si="287"/>
        <v>0</v>
      </c>
      <c r="BO460" s="3166">
        <f t="shared" si="288"/>
        <v>0</v>
      </c>
      <c r="BP460" s="3166">
        <f t="shared" si="289"/>
        <v>0</v>
      </c>
      <c r="BQ460" s="3166">
        <f t="shared" si="290"/>
        <v>0</v>
      </c>
      <c r="BR460" s="3166">
        <f t="shared" si="291"/>
        <v>0</v>
      </c>
      <c r="BS460" s="3166">
        <f t="shared" si="292"/>
        <v>0</v>
      </c>
      <c r="BT460" s="3240">
        <f t="shared" si="293"/>
        <v>0</v>
      </c>
    </row>
    <row r="461" spans="1:72">
      <c r="A461" s="3163"/>
      <c r="B461" s="3164"/>
      <c r="C461" s="3164"/>
      <c r="D461" s="3176"/>
      <c r="E461" s="3166">
        <f t="shared" si="265"/>
        <v>0</v>
      </c>
      <c r="F461" s="3167"/>
      <c r="G461" s="3168">
        <f t="shared" si="266"/>
        <v>0</v>
      </c>
      <c r="H461" s="3169">
        <f t="shared" si="267"/>
        <v>0</v>
      </c>
      <c r="I461" s="3187"/>
      <c r="J461" s="3187"/>
      <c r="K461" s="3187"/>
      <c r="L461" s="3187"/>
      <c r="M461" s="3187"/>
      <c r="N461" s="3187"/>
      <c r="O461" s="3187"/>
      <c r="P461" s="3187"/>
      <c r="Q461" s="3187"/>
      <c r="R461" s="3187"/>
      <c r="S461" s="3187"/>
      <c r="T461" s="3187"/>
      <c r="U461" s="3187"/>
      <c r="V461" s="3187"/>
      <c r="W461" s="3187"/>
      <c r="X461" s="3187"/>
      <c r="Y461" s="3187"/>
      <c r="Z461" s="3187"/>
      <c r="AA461" s="3187"/>
      <c r="AB461" s="3187"/>
      <c r="AC461" s="3166">
        <f t="shared" si="268"/>
        <v>0</v>
      </c>
      <c r="AD461" s="3198"/>
      <c r="AE461" s="3198"/>
      <c r="AF461" s="3198"/>
      <c r="AG461" s="3198"/>
      <c r="AH461" s="3198"/>
      <c r="AI461" s="3198"/>
      <c r="AJ461" s="3198"/>
      <c r="AK461" s="3198"/>
      <c r="AL461" s="3198"/>
      <c r="AM461" s="3198"/>
      <c r="AN461" s="3198"/>
      <c r="AO461" s="3198"/>
      <c r="AP461" s="3198"/>
      <c r="AQ461" s="3198"/>
      <c r="AR461" s="3198"/>
      <c r="AS461" s="3198"/>
      <c r="AT461" s="3218"/>
      <c r="AU461" s="3219"/>
      <c r="AV461" s="488">
        <f t="shared" si="269"/>
        <v>0</v>
      </c>
      <c r="AW461" s="488">
        <f t="shared" si="270"/>
        <v>0</v>
      </c>
      <c r="AX461" s="488">
        <f t="shared" si="271"/>
        <v>0</v>
      </c>
      <c r="AY461" s="3235">
        <f t="shared" si="272"/>
        <v>0</v>
      </c>
      <c r="AZ461" s="3166">
        <f t="shared" si="273"/>
        <v>0</v>
      </c>
      <c r="BA461" s="3166">
        <f t="shared" si="274"/>
        <v>0</v>
      </c>
      <c r="BB461" s="3166">
        <f t="shared" si="275"/>
        <v>0</v>
      </c>
      <c r="BC461" s="3166">
        <f t="shared" si="276"/>
        <v>0</v>
      </c>
      <c r="BD461" s="3166">
        <f t="shared" si="277"/>
        <v>0</v>
      </c>
      <c r="BE461" s="3166">
        <f t="shared" si="278"/>
        <v>0</v>
      </c>
      <c r="BF461" s="3166">
        <f t="shared" si="279"/>
        <v>0</v>
      </c>
      <c r="BG461" s="3166">
        <f t="shared" si="280"/>
        <v>0</v>
      </c>
      <c r="BH461" s="3166">
        <f t="shared" si="281"/>
        <v>0</v>
      </c>
      <c r="BI461" s="3166">
        <f t="shared" si="282"/>
        <v>0</v>
      </c>
      <c r="BJ461" s="3166">
        <f t="shared" si="283"/>
        <v>0</v>
      </c>
      <c r="BK461" s="3166">
        <f t="shared" si="284"/>
        <v>0</v>
      </c>
      <c r="BL461" s="3166">
        <f t="shared" si="285"/>
        <v>0</v>
      </c>
      <c r="BM461" s="3166">
        <f t="shared" si="286"/>
        <v>0</v>
      </c>
      <c r="BN461" s="3166">
        <f t="shared" si="287"/>
        <v>0</v>
      </c>
      <c r="BO461" s="3166">
        <f t="shared" si="288"/>
        <v>0</v>
      </c>
      <c r="BP461" s="3166">
        <f t="shared" si="289"/>
        <v>0</v>
      </c>
      <c r="BQ461" s="3166">
        <f t="shared" si="290"/>
        <v>0</v>
      </c>
      <c r="BR461" s="3166">
        <f t="shared" si="291"/>
        <v>0</v>
      </c>
      <c r="BS461" s="3166">
        <f t="shared" si="292"/>
        <v>0</v>
      </c>
      <c r="BT461" s="3240">
        <f t="shared" si="293"/>
        <v>0</v>
      </c>
    </row>
    <row r="462" spans="1:72">
      <c r="A462" s="3163"/>
      <c r="B462" s="3164"/>
      <c r="C462" s="3164"/>
      <c r="D462" s="3176"/>
      <c r="E462" s="3166">
        <f t="shared" si="265"/>
        <v>0</v>
      </c>
      <c r="F462" s="3167"/>
      <c r="G462" s="3168">
        <f t="shared" si="266"/>
        <v>0</v>
      </c>
      <c r="H462" s="3169">
        <f t="shared" si="267"/>
        <v>0</v>
      </c>
      <c r="I462" s="3187"/>
      <c r="J462" s="3187"/>
      <c r="K462" s="3187"/>
      <c r="L462" s="3187"/>
      <c r="M462" s="3187"/>
      <c r="N462" s="3187"/>
      <c r="O462" s="3187"/>
      <c r="P462" s="3187"/>
      <c r="Q462" s="3187"/>
      <c r="R462" s="3187"/>
      <c r="S462" s="3187"/>
      <c r="T462" s="3187"/>
      <c r="U462" s="3187"/>
      <c r="V462" s="3187"/>
      <c r="W462" s="3187"/>
      <c r="X462" s="3187"/>
      <c r="Y462" s="3187"/>
      <c r="Z462" s="3187"/>
      <c r="AA462" s="3187"/>
      <c r="AB462" s="3187"/>
      <c r="AC462" s="3166">
        <f t="shared" si="268"/>
        <v>0</v>
      </c>
      <c r="AD462" s="3198"/>
      <c r="AE462" s="3198"/>
      <c r="AF462" s="3198"/>
      <c r="AG462" s="3198"/>
      <c r="AH462" s="3198"/>
      <c r="AI462" s="3198"/>
      <c r="AJ462" s="3198"/>
      <c r="AK462" s="3198"/>
      <c r="AL462" s="3198"/>
      <c r="AM462" s="3198"/>
      <c r="AN462" s="3198"/>
      <c r="AO462" s="3198"/>
      <c r="AP462" s="3198"/>
      <c r="AQ462" s="3198"/>
      <c r="AR462" s="3198"/>
      <c r="AS462" s="3198"/>
      <c r="AT462" s="3218"/>
      <c r="AU462" s="3219"/>
      <c r="AV462" s="488">
        <f t="shared" si="269"/>
        <v>0</v>
      </c>
      <c r="AW462" s="488">
        <f t="shared" si="270"/>
        <v>0</v>
      </c>
      <c r="AX462" s="488">
        <f t="shared" si="271"/>
        <v>0</v>
      </c>
      <c r="AY462" s="3235">
        <f t="shared" si="272"/>
        <v>0</v>
      </c>
      <c r="AZ462" s="3166">
        <f t="shared" si="273"/>
        <v>0</v>
      </c>
      <c r="BA462" s="3166">
        <f t="shared" si="274"/>
        <v>0</v>
      </c>
      <c r="BB462" s="3166">
        <f t="shared" si="275"/>
        <v>0</v>
      </c>
      <c r="BC462" s="3166">
        <f t="shared" si="276"/>
        <v>0</v>
      </c>
      <c r="BD462" s="3166">
        <f t="shared" si="277"/>
        <v>0</v>
      </c>
      <c r="BE462" s="3166">
        <f t="shared" si="278"/>
        <v>0</v>
      </c>
      <c r="BF462" s="3166">
        <f t="shared" si="279"/>
        <v>0</v>
      </c>
      <c r="BG462" s="3166">
        <f t="shared" si="280"/>
        <v>0</v>
      </c>
      <c r="BH462" s="3166">
        <f t="shared" si="281"/>
        <v>0</v>
      </c>
      <c r="BI462" s="3166">
        <f t="shared" si="282"/>
        <v>0</v>
      </c>
      <c r="BJ462" s="3166">
        <f t="shared" si="283"/>
        <v>0</v>
      </c>
      <c r="BK462" s="3166">
        <f t="shared" si="284"/>
        <v>0</v>
      </c>
      <c r="BL462" s="3166">
        <f t="shared" si="285"/>
        <v>0</v>
      </c>
      <c r="BM462" s="3166">
        <f t="shared" si="286"/>
        <v>0</v>
      </c>
      <c r="BN462" s="3166">
        <f t="shared" si="287"/>
        <v>0</v>
      </c>
      <c r="BO462" s="3166">
        <f t="shared" si="288"/>
        <v>0</v>
      </c>
      <c r="BP462" s="3166">
        <f t="shared" si="289"/>
        <v>0</v>
      </c>
      <c r="BQ462" s="3166">
        <f t="shared" si="290"/>
        <v>0</v>
      </c>
      <c r="BR462" s="3166">
        <f t="shared" si="291"/>
        <v>0</v>
      </c>
      <c r="BS462" s="3166">
        <f t="shared" si="292"/>
        <v>0</v>
      </c>
      <c r="BT462" s="3240">
        <f t="shared" si="293"/>
        <v>0</v>
      </c>
    </row>
    <row r="463" spans="1:72">
      <c r="A463" s="3163"/>
      <c r="B463" s="3164"/>
      <c r="C463" s="3164"/>
      <c r="D463" s="3176"/>
      <c r="E463" s="3166">
        <f t="shared" si="265"/>
        <v>0</v>
      </c>
      <c r="F463" s="3167"/>
      <c r="G463" s="3168">
        <f t="shared" si="266"/>
        <v>0</v>
      </c>
      <c r="H463" s="3169">
        <f t="shared" si="267"/>
        <v>0</v>
      </c>
      <c r="I463" s="3187"/>
      <c r="J463" s="3187"/>
      <c r="K463" s="3187"/>
      <c r="L463" s="3187"/>
      <c r="M463" s="3187"/>
      <c r="N463" s="3187"/>
      <c r="O463" s="3187"/>
      <c r="P463" s="3187"/>
      <c r="Q463" s="3187"/>
      <c r="R463" s="3187"/>
      <c r="S463" s="3187"/>
      <c r="T463" s="3187"/>
      <c r="U463" s="3187"/>
      <c r="V463" s="3187"/>
      <c r="W463" s="3187"/>
      <c r="X463" s="3187"/>
      <c r="Y463" s="3187"/>
      <c r="Z463" s="3187"/>
      <c r="AA463" s="3187"/>
      <c r="AB463" s="3187"/>
      <c r="AC463" s="3166">
        <f t="shared" si="268"/>
        <v>0</v>
      </c>
      <c r="AD463" s="3198"/>
      <c r="AE463" s="3198"/>
      <c r="AF463" s="3198"/>
      <c r="AG463" s="3198"/>
      <c r="AH463" s="3198"/>
      <c r="AI463" s="3198"/>
      <c r="AJ463" s="3198"/>
      <c r="AK463" s="3198"/>
      <c r="AL463" s="3198"/>
      <c r="AM463" s="3198"/>
      <c r="AN463" s="3198"/>
      <c r="AO463" s="3198"/>
      <c r="AP463" s="3198"/>
      <c r="AQ463" s="3198"/>
      <c r="AR463" s="3198"/>
      <c r="AS463" s="3198"/>
      <c r="AT463" s="3218"/>
      <c r="AU463" s="3219"/>
      <c r="AV463" s="488">
        <f t="shared" si="269"/>
        <v>0</v>
      </c>
      <c r="AW463" s="488">
        <f t="shared" si="270"/>
        <v>0</v>
      </c>
      <c r="AX463" s="488">
        <f t="shared" si="271"/>
        <v>0</v>
      </c>
      <c r="AY463" s="3235">
        <f t="shared" si="272"/>
        <v>0</v>
      </c>
      <c r="AZ463" s="3166">
        <f t="shared" si="273"/>
        <v>0</v>
      </c>
      <c r="BA463" s="3166">
        <f t="shared" si="274"/>
        <v>0</v>
      </c>
      <c r="BB463" s="3166">
        <f t="shared" si="275"/>
        <v>0</v>
      </c>
      <c r="BC463" s="3166">
        <f t="shared" si="276"/>
        <v>0</v>
      </c>
      <c r="BD463" s="3166">
        <f t="shared" si="277"/>
        <v>0</v>
      </c>
      <c r="BE463" s="3166">
        <f t="shared" si="278"/>
        <v>0</v>
      </c>
      <c r="BF463" s="3166">
        <f t="shared" si="279"/>
        <v>0</v>
      </c>
      <c r="BG463" s="3166">
        <f t="shared" si="280"/>
        <v>0</v>
      </c>
      <c r="BH463" s="3166">
        <f t="shared" si="281"/>
        <v>0</v>
      </c>
      <c r="BI463" s="3166">
        <f t="shared" si="282"/>
        <v>0</v>
      </c>
      <c r="BJ463" s="3166">
        <f t="shared" si="283"/>
        <v>0</v>
      </c>
      <c r="BK463" s="3166">
        <f t="shared" si="284"/>
        <v>0</v>
      </c>
      <c r="BL463" s="3166">
        <f t="shared" si="285"/>
        <v>0</v>
      </c>
      <c r="BM463" s="3166">
        <f t="shared" si="286"/>
        <v>0</v>
      </c>
      <c r="BN463" s="3166">
        <f t="shared" si="287"/>
        <v>0</v>
      </c>
      <c r="BO463" s="3166">
        <f t="shared" si="288"/>
        <v>0</v>
      </c>
      <c r="BP463" s="3166">
        <f t="shared" si="289"/>
        <v>0</v>
      </c>
      <c r="BQ463" s="3166">
        <f t="shared" si="290"/>
        <v>0</v>
      </c>
      <c r="BR463" s="3166">
        <f t="shared" si="291"/>
        <v>0</v>
      </c>
      <c r="BS463" s="3166">
        <f t="shared" si="292"/>
        <v>0</v>
      </c>
      <c r="BT463" s="3240">
        <f t="shared" si="293"/>
        <v>0</v>
      </c>
    </row>
    <row r="464" spans="1:72">
      <c r="A464" s="3163"/>
      <c r="B464" s="3164"/>
      <c r="C464" s="3164"/>
      <c r="D464" s="3176"/>
      <c r="E464" s="3166">
        <f t="shared" si="265"/>
        <v>0</v>
      </c>
      <c r="F464" s="3167"/>
      <c r="G464" s="3168">
        <f t="shared" si="266"/>
        <v>0</v>
      </c>
      <c r="H464" s="3169">
        <f t="shared" si="267"/>
        <v>0</v>
      </c>
      <c r="I464" s="3187"/>
      <c r="J464" s="3187"/>
      <c r="K464" s="3187"/>
      <c r="L464" s="3187"/>
      <c r="M464" s="3187"/>
      <c r="N464" s="3187"/>
      <c r="O464" s="3187"/>
      <c r="P464" s="3187"/>
      <c r="Q464" s="3187"/>
      <c r="R464" s="3187"/>
      <c r="S464" s="3187"/>
      <c r="T464" s="3187"/>
      <c r="U464" s="3187"/>
      <c r="V464" s="3187"/>
      <c r="W464" s="3187"/>
      <c r="X464" s="3187"/>
      <c r="Y464" s="3187"/>
      <c r="Z464" s="3187"/>
      <c r="AA464" s="3187"/>
      <c r="AB464" s="3187"/>
      <c r="AC464" s="3166">
        <f t="shared" si="268"/>
        <v>0</v>
      </c>
      <c r="AD464" s="3198"/>
      <c r="AE464" s="3198"/>
      <c r="AF464" s="3198"/>
      <c r="AG464" s="3198"/>
      <c r="AH464" s="3198"/>
      <c r="AI464" s="3198"/>
      <c r="AJ464" s="3198"/>
      <c r="AK464" s="3198"/>
      <c r="AL464" s="3198"/>
      <c r="AM464" s="3198"/>
      <c r="AN464" s="3198"/>
      <c r="AO464" s="3198"/>
      <c r="AP464" s="3198"/>
      <c r="AQ464" s="3198"/>
      <c r="AR464" s="3198"/>
      <c r="AS464" s="3198"/>
      <c r="AT464" s="3218"/>
      <c r="AU464" s="3219"/>
      <c r="AV464" s="488">
        <f t="shared" si="269"/>
        <v>0</v>
      </c>
      <c r="AW464" s="488">
        <f t="shared" si="270"/>
        <v>0</v>
      </c>
      <c r="AX464" s="488">
        <f t="shared" si="271"/>
        <v>0</v>
      </c>
      <c r="AY464" s="3235">
        <f t="shared" si="272"/>
        <v>0</v>
      </c>
      <c r="AZ464" s="3166">
        <f t="shared" si="273"/>
        <v>0</v>
      </c>
      <c r="BA464" s="3166">
        <f t="shared" si="274"/>
        <v>0</v>
      </c>
      <c r="BB464" s="3166">
        <f t="shared" si="275"/>
        <v>0</v>
      </c>
      <c r="BC464" s="3166">
        <f t="shared" si="276"/>
        <v>0</v>
      </c>
      <c r="BD464" s="3166">
        <f t="shared" si="277"/>
        <v>0</v>
      </c>
      <c r="BE464" s="3166">
        <f t="shared" si="278"/>
        <v>0</v>
      </c>
      <c r="BF464" s="3166">
        <f t="shared" si="279"/>
        <v>0</v>
      </c>
      <c r="BG464" s="3166">
        <f t="shared" si="280"/>
        <v>0</v>
      </c>
      <c r="BH464" s="3166">
        <f t="shared" si="281"/>
        <v>0</v>
      </c>
      <c r="BI464" s="3166">
        <f t="shared" si="282"/>
        <v>0</v>
      </c>
      <c r="BJ464" s="3166">
        <f t="shared" si="283"/>
        <v>0</v>
      </c>
      <c r="BK464" s="3166">
        <f t="shared" si="284"/>
        <v>0</v>
      </c>
      <c r="BL464" s="3166">
        <f t="shared" si="285"/>
        <v>0</v>
      </c>
      <c r="BM464" s="3166">
        <f t="shared" si="286"/>
        <v>0</v>
      </c>
      <c r="BN464" s="3166">
        <f t="shared" si="287"/>
        <v>0</v>
      </c>
      <c r="BO464" s="3166">
        <f t="shared" si="288"/>
        <v>0</v>
      </c>
      <c r="BP464" s="3166">
        <f t="shared" si="289"/>
        <v>0</v>
      </c>
      <c r="BQ464" s="3166">
        <f t="shared" si="290"/>
        <v>0</v>
      </c>
      <c r="BR464" s="3166">
        <f t="shared" si="291"/>
        <v>0</v>
      </c>
      <c r="BS464" s="3166">
        <f t="shared" si="292"/>
        <v>0</v>
      </c>
      <c r="BT464" s="3240">
        <f t="shared" si="293"/>
        <v>0</v>
      </c>
    </row>
    <row r="465" spans="1:72">
      <c r="A465" s="3163"/>
      <c r="B465" s="3164"/>
      <c r="C465" s="3164"/>
      <c r="D465" s="3176"/>
      <c r="E465" s="3166">
        <f t="shared" si="265"/>
        <v>0</v>
      </c>
      <c r="F465" s="3167"/>
      <c r="G465" s="3168">
        <f t="shared" si="266"/>
        <v>0</v>
      </c>
      <c r="H465" s="3169">
        <f t="shared" si="267"/>
        <v>0</v>
      </c>
      <c r="I465" s="3187"/>
      <c r="J465" s="3187"/>
      <c r="K465" s="3187"/>
      <c r="L465" s="3187"/>
      <c r="M465" s="3187"/>
      <c r="N465" s="3187"/>
      <c r="O465" s="3187"/>
      <c r="P465" s="3187"/>
      <c r="Q465" s="3187"/>
      <c r="R465" s="3187"/>
      <c r="S465" s="3187"/>
      <c r="T465" s="3187"/>
      <c r="U465" s="3187"/>
      <c r="V465" s="3187"/>
      <c r="W465" s="3187"/>
      <c r="X465" s="3187"/>
      <c r="Y465" s="3187"/>
      <c r="Z465" s="3187"/>
      <c r="AA465" s="3187"/>
      <c r="AB465" s="3187"/>
      <c r="AC465" s="3166">
        <f t="shared" si="268"/>
        <v>0</v>
      </c>
      <c r="AD465" s="3198"/>
      <c r="AE465" s="3198"/>
      <c r="AF465" s="3198"/>
      <c r="AG465" s="3198"/>
      <c r="AH465" s="3198"/>
      <c r="AI465" s="3198"/>
      <c r="AJ465" s="3198"/>
      <c r="AK465" s="3198"/>
      <c r="AL465" s="3198"/>
      <c r="AM465" s="3198"/>
      <c r="AN465" s="3198"/>
      <c r="AO465" s="3198"/>
      <c r="AP465" s="3198"/>
      <c r="AQ465" s="3198"/>
      <c r="AR465" s="3198"/>
      <c r="AS465" s="3198"/>
      <c r="AT465" s="3218"/>
      <c r="AU465" s="3219"/>
      <c r="AV465" s="488">
        <f t="shared" si="269"/>
        <v>0</v>
      </c>
      <c r="AW465" s="488">
        <f t="shared" si="270"/>
        <v>0</v>
      </c>
      <c r="AX465" s="488">
        <f t="shared" si="271"/>
        <v>0</v>
      </c>
      <c r="AY465" s="3235">
        <f t="shared" si="272"/>
        <v>0</v>
      </c>
      <c r="AZ465" s="3166">
        <f t="shared" si="273"/>
        <v>0</v>
      </c>
      <c r="BA465" s="3166">
        <f t="shared" si="274"/>
        <v>0</v>
      </c>
      <c r="BB465" s="3166">
        <f t="shared" si="275"/>
        <v>0</v>
      </c>
      <c r="BC465" s="3166">
        <f t="shared" si="276"/>
        <v>0</v>
      </c>
      <c r="BD465" s="3166">
        <f t="shared" si="277"/>
        <v>0</v>
      </c>
      <c r="BE465" s="3166">
        <f t="shared" si="278"/>
        <v>0</v>
      </c>
      <c r="BF465" s="3166">
        <f t="shared" si="279"/>
        <v>0</v>
      </c>
      <c r="BG465" s="3166">
        <f t="shared" si="280"/>
        <v>0</v>
      </c>
      <c r="BH465" s="3166">
        <f t="shared" si="281"/>
        <v>0</v>
      </c>
      <c r="BI465" s="3166">
        <f t="shared" si="282"/>
        <v>0</v>
      </c>
      <c r="BJ465" s="3166">
        <f t="shared" si="283"/>
        <v>0</v>
      </c>
      <c r="BK465" s="3166">
        <f t="shared" si="284"/>
        <v>0</v>
      </c>
      <c r="BL465" s="3166">
        <f t="shared" si="285"/>
        <v>0</v>
      </c>
      <c r="BM465" s="3166">
        <f t="shared" si="286"/>
        <v>0</v>
      </c>
      <c r="BN465" s="3166">
        <f t="shared" si="287"/>
        <v>0</v>
      </c>
      <c r="BO465" s="3166">
        <f t="shared" si="288"/>
        <v>0</v>
      </c>
      <c r="BP465" s="3166">
        <f t="shared" si="289"/>
        <v>0</v>
      </c>
      <c r="BQ465" s="3166">
        <f t="shared" si="290"/>
        <v>0</v>
      </c>
      <c r="BR465" s="3166">
        <f t="shared" si="291"/>
        <v>0</v>
      </c>
      <c r="BS465" s="3166">
        <f t="shared" si="292"/>
        <v>0</v>
      </c>
      <c r="BT465" s="3240">
        <f t="shared" si="293"/>
        <v>0</v>
      </c>
    </row>
    <row r="466" spans="1:72">
      <c r="A466" s="3163"/>
      <c r="B466" s="3164"/>
      <c r="C466" s="3164"/>
      <c r="D466" s="3176"/>
      <c r="E466" s="3166">
        <f t="shared" si="265"/>
        <v>0</v>
      </c>
      <c r="F466" s="3167"/>
      <c r="G466" s="3168">
        <f t="shared" si="266"/>
        <v>0</v>
      </c>
      <c r="H466" s="3169">
        <f t="shared" si="267"/>
        <v>0</v>
      </c>
      <c r="I466" s="3187"/>
      <c r="J466" s="3187"/>
      <c r="K466" s="3187"/>
      <c r="L466" s="3187"/>
      <c r="M466" s="3187"/>
      <c r="N466" s="3187"/>
      <c r="O466" s="3187"/>
      <c r="P466" s="3187"/>
      <c r="Q466" s="3187"/>
      <c r="R466" s="3187"/>
      <c r="S466" s="3187"/>
      <c r="T466" s="3187"/>
      <c r="U466" s="3187"/>
      <c r="V466" s="3187"/>
      <c r="W466" s="3187"/>
      <c r="X466" s="3187"/>
      <c r="Y466" s="3187"/>
      <c r="Z466" s="3187"/>
      <c r="AA466" s="3187"/>
      <c r="AB466" s="3187"/>
      <c r="AC466" s="3166">
        <f t="shared" si="268"/>
        <v>0</v>
      </c>
      <c r="AD466" s="3198"/>
      <c r="AE466" s="3198"/>
      <c r="AF466" s="3198"/>
      <c r="AG466" s="3198"/>
      <c r="AH466" s="3198"/>
      <c r="AI466" s="3198"/>
      <c r="AJ466" s="3198"/>
      <c r="AK466" s="3198"/>
      <c r="AL466" s="3198"/>
      <c r="AM466" s="3198"/>
      <c r="AN466" s="3198"/>
      <c r="AO466" s="3198"/>
      <c r="AP466" s="3198"/>
      <c r="AQ466" s="3198"/>
      <c r="AR466" s="3198"/>
      <c r="AS466" s="3198"/>
      <c r="AT466" s="3218"/>
      <c r="AU466" s="3219"/>
      <c r="AV466" s="488">
        <f t="shared" si="269"/>
        <v>0</v>
      </c>
      <c r="AW466" s="488">
        <f t="shared" si="270"/>
        <v>0</v>
      </c>
      <c r="AX466" s="488">
        <f t="shared" si="271"/>
        <v>0</v>
      </c>
      <c r="AY466" s="3235">
        <f t="shared" si="272"/>
        <v>0</v>
      </c>
      <c r="AZ466" s="3166">
        <f t="shared" si="273"/>
        <v>0</v>
      </c>
      <c r="BA466" s="3166">
        <f t="shared" si="274"/>
        <v>0</v>
      </c>
      <c r="BB466" s="3166">
        <f t="shared" si="275"/>
        <v>0</v>
      </c>
      <c r="BC466" s="3166">
        <f t="shared" si="276"/>
        <v>0</v>
      </c>
      <c r="BD466" s="3166">
        <f t="shared" si="277"/>
        <v>0</v>
      </c>
      <c r="BE466" s="3166">
        <f t="shared" si="278"/>
        <v>0</v>
      </c>
      <c r="BF466" s="3166">
        <f t="shared" si="279"/>
        <v>0</v>
      </c>
      <c r="BG466" s="3166">
        <f t="shared" si="280"/>
        <v>0</v>
      </c>
      <c r="BH466" s="3166">
        <f t="shared" si="281"/>
        <v>0</v>
      </c>
      <c r="BI466" s="3166">
        <f t="shared" si="282"/>
        <v>0</v>
      </c>
      <c r="BJ466" s="3166">
        <f t="shared" si="283"/>
        <v>0</v>
      </c>
      <c r="BK466" s="3166">
        <f t="shared" si="284"/>
        <v>0</v>
      </c>
      <c r="BL466" s="3166">
        <f t="shared" si="285"/>
        <v>0</v>
      </c>
      <c r="BM466" s="3166">
        <f t="shared" si="286"/>
        <v>0</v>
      </c>
      <c r="BN466" s="3166">
        <f t="shared" si="287"/>
        <v>0</v>
      </c>
      <c r="BO466" s="3166">
        <f t="shared" si="288"/>
        <v>0</v>
      </c>
      <c r="BP466" s="3166">
        <f t="shared" si="289"/>
        <v>0</v>
      </c>
      <c r="BQ466" s="3166">
        <f t="shared" si="290"/>
        <v>0</v>
      </c>
      <c r="BR466" s="3166">
        <f t="shared" si="291"/>
        <v>0</v>
      </c>
      <c r="BS466" s="3166">
        <f t="shared" si="292"/>
        <v>0</v>
      </c>
      <c r="BT466" s="3240">
        <f t="shared" si="293"/>
        <v>0</v>
      </c>
    </row>
    <row r="467" spans="1:72">
      <c r="A467" s="3163"/>
      <c r="B467" s="3164"/>
      <c r="C467" s="3164"/>
      <c r="D467" s="3176"/>
      <c r="E467" s="3166">
        <f t="shared" si="265"/>
        <v>0</v>
      </c>
      <c r="F467" s="3167"/>
      <c r="G467" s="3168">
        <f t="shared" si="266"/>
        <v>0</v>
      </c>
      <c r="H467" s="3169">
        <f t="shared" si="267"/>
        <v>0</v>
      </c>
      <c r="I467" s="3187"/>
      <c r="J467" s="3187"/>
      <c r="K467" s="3187"/>
      <c r="L467" s="3187"/>
      <c r="M467" s="3187"/>
      <c r="N467" s="3187"/>
      <c r="O467" s="3187"/>
      <c r="P467" s="3187"/>
      <c r="Q467" s="3187"/>
      <c r="R467" s="3187"/>
      <c r="S467" s="3187"/>
      <c r="T467" s="3187"/>
      <c r="U467" s="3187"/>
      <c r="V467" s="3187"/>
      <c r="W467" s="3187"/>
      <c r="X467" s="3187"/>
      <c r="Y467" s="3187"/>
      <c r="Z467" s="3187"/>
      <c r="AA467" s="3187"/>
      <c r="AB467" s="3187"/>
      <c r="AC467" s="3166">
        <f t="shared" si="268"/>
        <v>0</v>
      </c>
      <c r="AD467" s="3198"/>
      <c r="AE467" s="3198"/>
      <c r="AF467" s="3198"/>
      <c r="AG467" s="3198"/>
      <c r="AH467" s="3198"/>
      <c r="AI467" s="3198"/>
      <c r="AJ467" s="3198"/>
      <c r="AK467" s="3198"/>
      <c r="AL467" s="3198"/>
      <c r="AM467" s="3198"/>
      <c r="AN467" s="3198"/>
      <c r="AO467" s="3198"/>
      <c r="AP467" s="3198"/>
      <c r="AQ467" s="3198"/>
      <c r="AR467" s="3198"/>
      <c r="AS467" s="3198"/>
      <c r="AT467" s="3218"/>
      <c r="AU467" s="3219"/>
      <c r="AV467" s="488">
        <f t="shared" si="269"/>
        <v>0</v>
      </c>
      <c r="AW467" s="488">
        <f t="shared" si="270"/>
        <v>0</v>
      </c>
      <c r="AX467" s="488">
        <f t="shared" si="271"/>
        <v>0</v>
      </c>
      <c r="AY467" s="3235">
        <f t="shared" si="272"/>
        <v>0</v>
      </c>
      <c r="AZ467" s="3166">
        <f t="shared" si="273"/>
        <v>0</v>
      </c>
      <c r="BA467" s="3166">
        <f t="shared" si="274"/>
        <v>0</v>
      </c>
      <c r="BB467" s="3166">
        <f t="shared" si="275"/>
        <v>0</v>
      </c>
      <c r="BC467" s="3166">
        <f t="shared" si="276"/>
        <v>0</v>
      </c>
      <c r="BD467" s="3166">
        <f t="shared" si="277"/>
        <v>0</v>
      </c>
      <c r="BE467" s="3166">
        <f t="shared" si="278"/>
        <v>0</v>
      </c>
      <c r="BF467" s="3166">
        <f t="shared" si="279"/>
        <v>0</v>
      </c>
      <c r="BG467" s="3166">
        <f t="shared" si="280"/>
        <v>0</v>
      </c>
      <c r="BH467" s="3166">
        <f t="shared" si="281"/>
        <v>0</v>
      </c>
      <c r="BI467" s="3166">
        <f t="shared" si="282"/>
        <v>0</v>
      </c>
      <c r="BJ467" s="3166">
        <f t="shared" si="283"/>
        <v>0</v>
      </c>
      <c r="BK467" s="3166">
        <f t="shared" si="284"/>
        <v>0</v>
      </c>
      <c r="BL467" s="3166">
        <f t="shared" si="285"/>
        <v>0</v>
      </c>
      <c r="BM467" s="3166">
        <f t="shared" si="286"/>
        <v>0</v>
      </c>
      <c r="BN467" s="3166">
        <f t="shared" si="287"/>
        <v>0</v>
      </c>
      <c r="BO467" s="3166">
        <f t="shared" si="288"/>
        <v>0</v>
      </c>
      <c r="BP467" s="3166">
        <f t="shared" si="289"/>
        <v>0</v>
      </c>
      <c r="BQ467" s="3166">
        <f t="shared" si="290"/>
        <v>0</v>
      </c>
      <c r="BR467" s="3166">
        <f t="shared" si="291"/>
        <v>0</v>
      </c>
      <c r="BS467" s="3166">
        <f t="shared" si="292"/>
        <v>0</v>
      </c>
      <c r="BT467" s="3240">
        <f t="shared" si="293"/>
        <v>0</v>
      </c>
    </row>
    <row r="468" spans="1:72">
      <c r="A468" s="3163"/>
      <c r="B468" s="3164"/>
      <c r="C468" s="3164"/>
      <c r="D468" s="3176"/>
      <c r="E468" s="3166">
        <f t="shared" si="265"/>
        <v>0</v>
      </c>
      <c r="F468" s="3167"/>
      <c r="G468" s="3168">
        <f t="shared" si="266"/>
        <v>0</v>
      </c>
      <c r="H468" s="3169">
        <f t="shared" si="267"/>
        <v>0</v>
      </c>
      <c r="I468" s="3187"/>
      <c r="J468" s="3187"/>
      <c r="K468" s="3187"/>
      <c r="L468" s="3187"/>
      <c r="M468" s="3187"/>
      <c r="N468" s="3187"/>
      <c r="O468" s="3187"/>
      <c r="P468" s="3187"/>
      <c r="Q468" s="3187"/>
      <c r="R468" s="3187"/>
      <c r="S468" s="3187"/>
      <c r="T468" s="3187"/>
      <c r="U468" s="3187"/>
      <c r="V468" s="3187"/>
      <c r="W468" s="3187"/>
      <c r="X468" s="3187"/>
      <c r="Y468" s="3187"/>
      <c r="Z468" s="3187"/>
      <c r="AA468" s="3187"/>
      <c r="AB468" s="3187"/>
      <c r="AC468" s="3166">
        <f t="shared" si="268"/>
        <v>0</v>
      </c>
      <c r="AD468" s="3198"/>
      <c r="AE468" s="3198"/>
      <c r="AF468" s="3198"/>
      <c r="AG468" s="3198"/>
      <c r="AH468" s="3198"/>
      <c r="AI468" s="3198"/>
      <c r="AJ468" s="3198"/>
      <c r="AK468" s="3198"/>
      <c r="AL468" s="3198"/>
      <c r="AM468" s="3198"/>
      <c r="AN468" s="3198"/>
      <c r="AO468" s="3198"/>
      <c r="AP468" s="3198"/>
      <c r="AQ468" s="3198"/>
      <c r="AR468" s="3198"/>
      <c r="AS468" s="3198"/>
      <c r="AT468" s="3218"/>
      <c r="AU468" s="3219"/>
      <c r="AV468" s="488">
        <f t="shared" si="269"/>
        <v>0</v>
      </c>
      <c r="AW468" s="488">
        <f t="shared" si="270"/>
        <v>0</v>
      </c>
      <c r="AX468" s="488">
        <f t="shared" si="271"/>
        <v>0</v>
      </c>
      <c r="AY468" s="3235">
        <f t="shared" si="272"/>
        <v>0</v>
      </c>
      <c r="AZ468" s="3166">
        <f t="shared" si="273"/>
        <v>0</v>
      </c>
      <c r="BA468" s="3166">
        <f t="shared" si="274"/>
        <v>0</v>
      </c>
      <c r="BB468" s="3166">
        <f t="shared" si="275"/>
        <v>0</v>
      </c>
      <c r="BC468" s="3166">
        <f t="shared" si="276"/>
        <v>0</v>
      </c>
      <c r="BD468" s="3166">
        <f t="shared" si="277"/>
        <v>0</v>
      </c>
      <c r="BE468" s="3166">
        <f t="shared" si="278"/>
        <v>0</v>
      </c>
      <c r="BF468" s="3166">
        <f t="shared" si="279"/>
        <v>0</v>
      </c>
      <c r="BG468" s="3166">
        <f t="shared" si="280"/>
        <v>0</v>
      </c>
      <c r="BH468" s="3166">
        <f t="shared" si="281"/>
        <v>0</v>
      </c>
      <c r="BI468" s="3166">
        <f t="shared" si="282"/>
        <v>0</v>
      </c>
      <c r="BJ468" s="3166">
        <f t="shared" si="283"/>
        <v>0</v>
      </c>
      <c r="BK468" s="3166">
        <f t="shared" si="284"/>
        <v>0</v>
      </c>
      <c r="BL468" s="3166">
        <f t="shared" si="285"/>
        <v>0</v>
      </c>
      <c r="BM468" s="3166">
        <f t="shared" si="286"/>
        <v>0</v>
      </c>
      <c r="BN468" s="3166">
        <f t="shared" si="287"/>
        <v>0</v>
      </c>
      <c r="BO468" s="3166">
        <f t="shared" si="288"/>
        <v>0</v>
      </c>
      <c r="BP468" s="3166">
        <f t="shared" si="289"/>
        <v>0</v>
      </c>
      <c r="BQ468" s="3166">
        <f t="shared" si="290"/>
        <v>0</v>
      </c>
      <c r="BR468" s="3166">
        <f t="shared" si="291"/>
        <v>0</v>
      </c>
      <c r="BS468" s="3166">
        <f t="shared" si="292"/>
        <v>0</v>
      </c>
      <c r="BT468" s="3240">
        <f t="shared" si="293"/>
        <v>0</v>
      </c>
    </row>
    <row r="469" spans="1:72">
      <c r="A469" s="3163"/>
      <c r="B469" s="3164"/>
      <c r="C469" s="3164"/>
      <c r="D469" s="3176"/>
      <c r="E469" s="3166">
        <f t="shared" si="265"/>
        <v>0</v>
      </c>
      <c r="F469" s="3167"/>
      <c r="G469" s="3168">
        <f t="shared" si="266"/>
        <v>0</v>
      </c>
      <c r="H469" s="3169">
        <f t="shared" si="267"/>
        <v>0</v>
      </c>
      <c r="I469" s="3187"/>
      <c r="J469" s="3187"/>
      <c r="K469" s="3187"/>
      <c r="L469" s="3187"/>
      <c r="M469" s="3187"/>
      <c r="N469" s="3187"/>
      <c r="O469" s="3187"/>
      <c r="P469" s="3187"/>
      <c r="Q469" s="3187"/>
      <c r="R469" s="3187"/>
      <c r="S469" s="3187"/>
      <c r="T469" s="3187"/>
      <c r="U469" s="3187"/>
      <c r="V469" s="3187"/>
      <c r="W469" s="3187"/>
      <c r="X469" s="3187"/>
      <c r="Y469" s="3187"/>
      <c r="Z469" s="3187"/>
      <c r="AA469" s="3187"/>
      <c r="AB469" s="3187"/>
      <c r="AC469" s="3166">
        <f t="shared" si="268"/>
        <v>0</v>
      </c>
      <c r="AD469" s="3198"/>
      <c r="AE469" s="3198"/>
      <c r="AF469" s="3198"/>
      <c r="AG469" s="3198"/>
      <c r="AH469" s="3198"/>
      <c r="AI469" s="3198"/>
      <c r="AJ469" s="3198"/>
      <c r="AK469" s="3198"/>
      <c r="AL469" s="3198"/>
      <c r="AM469" s="3198"/>
      <c r="AN469" s="3198"/>
      <c r="AO469" s="3198"/>
      <c r="AP469" s="3198"/>
      <c r="AQ469" s="3198"/>
      <c r="AR469" s="3198"/>
      <c r="AS469" s="3198"/>
      <c r="AT469" s="3218"/>
      <c r="AU469" s="3219"/>
      <c r="AV469" s="488">
        <f t="shared" si="269"/>
        <v>0</v>
      </c>
      <c r="AW469" s="488">
        <f t="shared" si="270"/>
        <v>0</v>
      </c>
      <c r="AX469" s="488">
        <f t="shared" si="271"/>
        <v>0</v>
      </c>
      <c r="AY469" s="3235">
        <f t="shared" si="272"/>
        <v>0</v>
      </c>
      <c r="AZ469" s="3166">
        <f t="shared" si="273"/>
        <v>0</v>
      </c>
      <c r="BA469" s="3166">
        <f t="shared" si="274"/>
        <v>0</v>
      </c>
      <c r="BB469" s="3166">
        <f t="shared" si="275"/>
        <v>0</v>
      </c>
      <c r="BC469" s="3166">
        <f t="shared" si="276"/>
        <v>0</v>
      </c>
      <c r="BD469" s="3166">
        <f t="shared" si="277"/>
        <v>0</v>
      </c>
      <c r="BE469" s="3166">
        <f t="shared" si="278"/>
        <v>0</v>
      </c>
      <c r="BF469" s="3166">
        <f t="shared" si="279"/>
        <v>0</v>
      </c>
      <c r="BG469" s="3166">
        <f t="shared" si="280"/>
        <v>0</v>
      </c>
      <c r="BH469" s="3166">
        <f t="shared" si="281"/>
        <v>0</v>
      </c>
      <c r="BI469" s="3166">
        <f t="shared" si="282"/>
        <v>0</v>
      </c>
      <c r="BJ469" s="3166">
        <f t="shared" si="283"/>
        <v>0</v>
      </c>
      <c r="BK469" s="3166">
        <f t="shared" si="284"/>
        <v>0</v>
      </c>
      <c r="BL469" s="3166">
        <f t="shared" si="285"/>
        <v>0</v>
      </c>
      <c r="BM469" s="3166">
        <f t="shared" si="286"/>
        <v>0</v>
      </c>
      <c r="BN469" s="3166">
        <f t="shared" si="287"/>
        <v>0</v>
      </c>
      <c r="BO469" s="3166">
        <f t="shared" si="288"/>
        <v>0</v>
      </c>
      <c r="BP469" s="3166">
        <f t="shared" si="289"/>
        <v>0</v>
      </c>
      <c r="BQ469" s="3166">
        <f t="shared" si="290"/>
        <v>0</v>
      </c>
      <c r="BR469" s="3166">
        <f t="shared" si="291"/>
        <v>0</v>
      </c>
      <c r="BS469" s="3166">
        <f t="shared" si="292"/>
        <v>0</v>
      </c>
      <c r="BT469" s="3240">
        <f t="shared" si="293"/>
        <v>0</v>
      </c>
    </row>
    <row r="470" spans="1:72">
      <c r="A470" s="3163"/>
      <c r="B470" s="3164"/>
      <c r="C470" s="3164"/>
      <c r="D470" s="3176"/>
      <c r="E470" s="3166">
        <f t="shared" si="265"/>
        <v>0</v>
      </c>
      <c r="F470" s="3167"/>
      <c r="G470" s="3168">
        <f t="shared" si="266"/>
        <v>0</v>
      </c>
      <c r="H470" s="3169">
        <f t="shared" si="267"/>
        <v>0</v>
      </c>
      <c r="I470" s="3187"/>
      <c r="J470" s="3187"/>
      <c r="K470" s="3187"/>
      <c r="L470" s="3187"/>
      <c r="M470" s="3187"/>
      <c r="N470" s="3187"/>
      <c r="O470" s="3187"/>
      <c r="P470" s="3187"/>
      <c r="Q470" s="3187"/>
      <c r="R470" s="3187"/>
      <c r="S470" s="3187"/>
      <c r="T470" s="3187"/>
      <c r="U470" s="3187"/>
      <c r="V470" s="3187"/>
      <c r="W470" s="3187"/>
      <c r="X470" s="3187"/>
      <c r="Y470" s="3187"/>
      <c r="Z470" s="3187"/>
      <c r="AA470" s="3187"/>
      <c r="AB470" s="3187"/>
      <c r="AC470" s="3166">
        <f t="shared" si="268"/>
        <v>0</v>
      </c>
      <c r="AD470" s="3198"/>
      <c r="AE470" s="3198"/>
      <c r="AF470" s="3198"/>
      <c r="AG470" s="3198"/>
      <c r="AH470" s="3198"/>
      <c r="AI470" s="3198"/>
      <c r="AJ470" s="3198"/>
      <c r="AK470" s="3198"/>
      <c r="AL470" s="3198"/>
      <c r="AM470" s="3198"/>
      <c r="AN470" s="3198"/>
      <c r="AO470" s="3198"/>
      <c r="AP470" s="3198"/>
      <c r="AQ470" s="3198"/>
      <c r="AR470" s="3198"/>
      <c r="AS470" s="3198"/>
      <c r="AT470" s="3218"/>
      <c r="AU470" s="3219"/>
      <c r="AV470" s="488">
        <f t="shared" si="269"/>
        <v>0</v>
      </c>
      <c r="AW470" s="488">
        <f t="shared" si="270"/>
        <v>0</v>
      </c>
      <c r="AX470" s="488">
        <f t="shared" si="271"/>
        <v>0</v>
      </c>
      <c r="AY470" s="3235">
        <f t="shared" si="272"/>
        <v>0</v>
      </c>
      <c r="AZ470" s="3166">
        <f t="shared" si="273"/>
        <v>0</v>
      </c>
      <c r="BA470" s="3166">
        <f t="shared" si="274"/>
        <v>0</v>
      </c>
      <c r="BB470" s="3166">
        <f t="shared" si="275"/>
        <v>0</v>
      </c>
      <c r="BC470" s="3166">
        <f t="shared" si="276"/>
        <v>0</v>
      </c>
      <c r="BD470" s="3166">
        <f t="shared" si="277"/>
        <v>0</v>
      </c>
      <c r="BE470" s="3166">
        <f t="shared" si="278"/>
        <v>0</v>
      </c>
      <c r="BF470" s="3166">
        <f t="shared" si="279"/>
        <v>0</v>
      </c>
      <c r="BG470" s="3166">
        <f t="shared" si="280"/>
        <v>0</v>
      </c>
      <c r="BH470" s="3166">
        <f t="shared" si="281"/>
        <v>0</v>
      </c>
      <c r="BI470" s="3166">
        <f t="shared" si="282"/>
        <v>0</v>
      </c>
      <c r="BJ470" s="3166">
        <f t="shared" si="283"/>
        <v>0</v>
      </c>
      <c r="BK470" s="3166">
        <f t="shared" si="284"/>
        <v>0</v>
      </c>
      <c r="BL470" s="3166">
        <f t="shared" si="285"/>
        <v>0</v>
      </c>
      <c r="BM470" s="3166">
        <f t="shared" si="286"/>
        <v>0</v>
      </c>
      <c r="BN470" s="3166">
        <f t="shared" si="287"/>
        <v>0</v>
      </c>
      <c r="BO470" s="3166">
        <f t="shared" si="288"/>
        <v>0</v>
      </c>
      <c r="BP470" s="3166">
        <f t="shared" si="289"/>
        <v>0</v>
      </c>
      <c r="BQ470" s="3166">
        <f t="shared" si="290"/>
        <v>0</v>
      </c>
      <c r="BR470" s="3166">
        <f t="shared" si="291"/>
        <v>0</v>
      </c>
      <c r="BS470" s="3166">
        <f t="shared" si="292"/>
        <v>0</v>
      </c>
      <c r="BT470" s="3240">
        <f t="shared" si="293"/>
        <v>0</v>
      </c>
    </row>
    <row r="471" spans="1:72">
      <c r="A471" s="3163"/>
      <c r="B471" s="3164"/>
      <c r="C471" s="3164"/>
      <c r="D471" s="3176"/>
      <c r="E471" s="3166">
        <f t="shared" si="265"/>
        <v>0</v>
      </c>
      <c r="F471" s="3167"/>
      <c r="G471" s="3168">
        <f t="shared" si="266"/>
        <v>0</v>
      </c>
      <c r="H471" s="3169">
        <f t="shared" si="267"/>
        <v>0</v>
      </c>
      <c r="I471" s="3187"/>
      <c r="J471" s="3187"/>
      <c r="K471" s="3187"/>
      <c r="L471" s="3187"/>
      <c r="M471" s="3187"/>
      <c r="N471" s="3187"/>
      <c r="O471" s="3187"/>
      <c r="P471" s="3187"/>
      <c r="Q471" s="3187"/>
      <c r="R471" s="3187"/>
      <c r="S471" s="3187"/>
      <c r="T471" s="3187"/>
      <c r="U471" s="3187"/>
      <c r="V471" s="3187"/>
      <c r="W471" s="3187"/>
      <c r="X471" s="3187"/>
      <c r="Y471" s="3187"/>
      <c r="Z471" s="3187"/>
      <c r="AA471" s="3187"/>
      <c r="AB471" s="3187"/>
      <c r="AC471" s="3166">
        <f t="shared" si="268"/>
        <v>0</v>
      </c>
      <c r="AD471" s="3198"/>
      <c r="AE471" s="3198"/>
      <c r="AF471" s="3198"/>
      <c r="AG471" s="3198"/>
      <c r="AH471" s="3198"/>
      <c r="AI471" s="3198"/>
      <c r="AJ471" s="3198"/>
      <c r="AK471" s="3198"/>
      <c r="AL471" s="3198"/>
      <c r="AM471" s="3198"/>
      <c r="AN471" s="3198"/>
      <c r="AO471" s="3198"/>
      <c r="AP471" s="3198"/>
      <c r="AQ471" s="3198"/>
      <c r="AR471" s="3198"/>
      <c r="AS471" s="3198"/>
      <c r="AT471" s="3218"/>
      <c r="AU471" s="3219"/>
      <c r="AV471" s="488">
        <f t="shared" si="269"/>
        <v>0</v>
      </c>
      <c r="AW471" s="488">
        <f t="shared" si="270"/>
        <v>0</v>
      </c>
      <c r="AX471" s="488">
        <f t="shared" si="271"/>
        <v>0</v>
      </c>
      <c r="AY471" s="3235">
        <f t="shared" si="272"/>
        <v>0</v>
      </c>
      <c r="AZ471" s="3166">
        <f t="shared" si="273"/>
        <v>0</v>
      </c>
      <c r="BA471" s="3166">
        <f t="shared" si="274"/>
        <v>0</v>
      </c>
      <c r="BB471" s="3166">
        <f t="shared" si="275"/>
        <v>0</v>
      </c>
      <c r="BC471" s="3166">
        <f t="shared" si="276"/>
        <v>0</v>
      </c>
      <c r="BD471" s="3166">
        <f t="shared" si="277"/>
        <v>0</v>
      </c>
      <c r="BE471" s="3166">
        <f t="shared" si="278"/>
        <v>0</v>
      </c>
      <c r="BF471" s="3166">
        <f t="shared" si="279"/>
        <v>0</v>
      </c>
      <c r="BG471" s="3166">
        <f t="shared" si="280"/>
        <v>0</v>
      </c>
      <c r="BH471" s="3166">
        <f t="shared" si="281"/>
        <v>0</v>
      </c>
      <c r="BI471" s="3166">
        <f t="shared" si="282"/>
        <v>0</v>
      </c>
      <c r="BJ471" s="3166">
        <f t="shared" si="283"/>
        <v>0</v>
      </c>
      <c r="BK471" s="3166">
        <f t="shared" si="284"/>
        <v>0</v>
      </c>
      <c r="BL471" s="3166">
        <f t="shared" si="285"/>
        <v>0</v>
      </c>
      <c r="BM471" s="3166">
        <f t="shared" si="286"/>
        <v>0</v>
      </c>
      <c r="BN471" s="3166">
        <f t="shared" si="287"/>
        <v>0</v>
      </c>
      <c r="BO471" s="3166">
        <f t="shared" si="288"/>
        <v>0</v>
      </c>
      <c r="BP471" s="3166">
        <f t="shared" si="289"/>
        <v>0</v>
      </c>
      <c r="BQ471" s="3166">
        <f t="shared" si="290"/>
        <v>0</v>
      </c>
      <c r="BR471" s="3166">
        <f t="shared" si="291"/>
        <v>0</v>
      </c>
      <c r="BS471" s="3166">
        <f t="shared" si="292"/>
        <v>0</v>
      </c>
      <c r="BT471" s="3240">
        <f t="shared" si="293"/>
        <v>0</v>
      </c>
    </row>
    <row r="472" spans="1:72">
      <c r="A472" s="3163"/>
      <c r="B472" s="3164"/>
      <c r="C472" s="3164"/>
      <c r="D472" s="3176"/>
      <c r="E472" s="3166">
        <f t="shared" si="265"/>
        <v>0</v>
      </c>
      <c r="F472" s="3167"/>
      <c r="G472" s="3168">
        <f t="shared" si="266"/>
        <v>0</v>
      </c>
      <c r="H472" s="3169">
        <f t="shared" si="267"/>
        <v>0</v>
      </c>
      <c r="I472" s="3187"/>
      <c r="J472" s="3187"/>
      <c r="K472" s="3187"/>
      <c r="L472" s="3187"/>
      <c r="M472" s="3187"/>
      <c r="N472" s="3187"/>
      <c r="O472" s="3187"/>
      <c r="P472" s="3187"/>
      <c r="Q472" s="3187"/>
      <c r="R472" s="3187"/>
      <c r="S472" s="3187"/>
      <c r="T472" s="3187"/>
      <c r="U472" s="3187"/>
      <c r="V472" s="3187"/>
      <c r="W472" s="3187"/>
      <c r="X472" s="3187"/>
      <c r="Y472" s="3187"/>
      <c r="Z472" s="3187"/>
      <c r="AA472" s="3187"/>
      <c r="AB472" s="3187"/>
      <c r="AC472" s="3166">
        <f t="shared" si="268"/>
        <v>0</v>
      </c>
      <c r="AD472" s="3198"/>
      <c r="AE472" s="3198"/>
      <c r="AF472" s="3198"/>
      <c r="AG472" s="3198"/>
      <c r="AH472" s="3198"/>
      <c r="AI472" s="3198"/>
      <c r="AJ472" s="3198"/>
      <c r="AK472" s="3198"/>
      <c r="AL472" s="3198"/>
      <c r="AM472" s="3198"/>
      <c r="AN472" s="3198"/>
      <c r="AO472" s="3198"/>
      <c r="AP472" s="3198"/>
      <c r="AQ472" s="3198"/>
      <c r="AR472" s="3198"/>
      <c r="AS472" s="3198"/>
      <c r="AT472" s="3218"/>
      <c r="AU472" s="3219"/>
      <c r="AV472" s="488">
        <f t="shared" si="269"/>
        <v>0</v>
      </c>
      <c r="AW472" s="488">
        <f t="shared" si="270"/>
        <v>0</v>
      </c>
      <c r="AX472" s="488">
        <f t="shared" si="271"/>
        <v>0</v>
      </c>
      <c r="AY472" s="3235">
        <f t="shared" si="272"/>
        <v>0</v>
      </c>
      <c r="AZ472" s="3166">
        <f t="shared" si="273"/>
        <v>0</v>
      </c>
      <c r="BA472" s="3166">
        <f t="shared" si="274"/>
        <v>0</v>
      </c>
      <c r="BB472" s="3166">
        <f t="shared" si="275"/>
        <v>0</v>
      </c>
      <c r="BC472" s="3166">
        <f t="shared" si="276"/>
        <v>0</v>
      </c>
      <c r="BD472" s="3166">
        <f t="shared" si="277"/>
        <v>0</v>
      </c>
      <c r="BE472" s="3166">
        <f t="shared" si="278"/>
        <v>0</v>
      </c>
      <c r="BF472" s="3166">
        <f t="shared" si="279"/>
        <v>0</v>
      </c>
      <c r="BG472" s="3166">
        <f t="shared" si="280"/>
        <v>0</v>
      </c>
      <c r="BH472" s="3166">
        <f t="shared" si="281"/>
        <v>0</v>
      </c>
      <c r="BI472" s="3166">
        <f t="shared" si="282"/>
        <v>0</v>
      </c>
      <c r="BJ472" s="3166">
        <f t="shared" si="283"/>
        <v>0</v>
      </c>
      <c r="BK472" s="3166">
        <f t="shared" si="284"/>
        <v>0</v>
      </c>
      <c r="BL472" s="3166">
        <f t="shared" si="285"/>
        <v>0</v>
      </c>
      <c r="BM472" s="3166">
        <f t="shared" si="286"/>
        <v>0</v>
      </c>
      <c r="BN472" s="3166">
        <f t="shared" si="287"/>
        <v>0</v>
      </c>
      <c r="BO472" s="3166">
        <f t="shared" si="288"/>
        <v>0</v>
      </c>
      <c r="BP472" s="3166">
        <f t="shared" si="289"/>
        <v>0</v>
      </c>
      <c r="BQ472" s="3166">
        <f t="shared" si="290"/>
        <v>0</v>
      </c>
      <c r="BR472" s="3166">
        <f t="shared" si="291"/>
        <v>0</v>
      </c>
      <c r="BS472" s="3166">
        <f t="shared" si="292"/>
        <v>0</v>
      </c>
      <c r="BT472" s="3240">
        <f t="shared" si="293"/>
        <v>0</v>
      </c>
    </row>
    <row r="473" spans="1:72">
      <c r="A473" s="3163"/>
      <c r="B473" s="3164"/>
      <c r="C473" s="3164"/>
      <c r="D473" s="3176"/>
      <c r="E473" s="3166">
        <f t="shared" si="265"/>
        <v>0</v>
      </c>
      <c r="F473" s="3167"/>
      <c r="G473" s="3168">
        <f t="shared" si="266"/>
        <v>0</v>
      </c>
      <c r="H473" s="3169">
        <f t="shared" si="267"/>
        <v>0</v>
      </c>
      <c r="I473" s="3187"/>
      <c r="J473" s="3187"/>
      <c r="K473" s="3187"/>
      <c r="L473" s="3187"/>
      <c r="M473" s="3187"/>
      <c r="N473" s="3187"/>
      <c r="O473" s="3187"/>
      <c r="P473" s="3187"/>
      <c r="Q473" s="3187"/>
      <c r="R473" s="3187"/>
      <c r="S473" s="3187"/>
      <c r="T473" s="3187"/>
      <c r="U473" s="3187"/>
      <c r="V473" s="3187"/>
      <c r="W473" s="3187"/>
      <c r="X473" s="3187"/>
      <c r="Y473" s="3187"/>
      <c r="Z473" s="3187"/>
      <c r="AA473" s="3187"/>
      <c r="AB473" s="3187"/>
      <c r="AC473" s="3166">
        <f t="shared" si="268"/>
        <v>0</v>
      </c>
      <c r="AD473" s="3198"/>
      <c r="AE473" s="3198"/>
      <c r="AF473" s="3198"/>
      <c r="AG473" s="3198"/>
      <c r="AH473" s="3198"/>
      <c r="AI473" s="3198"/>
      <c r="AJ473" s="3198"/>
      <c r="AK473" s="3198"/>
      <c r="AL473" s="3198"/>
      <c r="AM473" s="3198"/>
      <c r="AN473" s="3198"/>
      <c r="AO473" s="3198"/>
      <c r="AP473" s="3198"/>
      <c r="AQ473" s="3198"/>
      <c r="AR473" s="3198"/>
      <c r="AS473" s="3198"/>
      <c r="AT473" s="3218"/>
      <c r="AU473" s="3219"/>
      <c r="AV473" s="488">
        <f t="shared" si="269"/>
        <v>0</v>
      </c>
      <c r="AW473" s="488">
        <f t="shared" si="270"/>
        <v>0</v>
      </c>
      <c r="AX473" s="488">
        <f t="shared" si="271"/>
        <v>0</v>
      </c>
      <c r="AY473" s="3235">
        <f t="shared" si="272"/>
        <v>0</v>
      </c>
      <c r="AZ473" s="3166">
        <f t="shared" si="273"/>
        <v>0</v>
      </c>
      <c r="BA473" s="3166">
        <f t="shared" si="274"/>
        <v>0</v>
      </c>
      <c r="BB473" s="3166">
        <f t="shared" si="275"/>
        <v>0</v>
      </c>
      <c r="BC473" s="3166">
        <f t="shared" si="276"/>
        <v>0</v>
      </c>
      <c r="BD473" s="3166">
        <f t="shared" si="277"/>
        <v>0</v>
      </c>
      <c r="BE473" s="3166">
        <f t="shared" si="278"/>
        <v>0</v>
      </c>
      <c r="BF473" s="3166">
        <f t="shared" si="279"/>
        <v>0</v>
      </c>
      <c r="BG473" s="3166">
        <f t="shared" si="280"/>
        <v>0</v>
      </c>
      <c r="BH473" s="3166">
        <f t="shared" si="281"/>
        <v>0</v>
      </c>
      <c r="BI473" s="3166">
        <f t="shared" si="282"/>
        <v>0</v>
      </c>
      <c r="BJ473" s="3166">
        <f t="shared" si="283"/>
        <v>0</v>
      </c>
      <c r="BK473" s="3166">
        <f t="shared" si="284"/>
        <v>0</v>
      </c>
      <c r="BL473" s="3166">
        <f t="shared" si="285"/>
        <v>0</v>
      </c>
      <c r="BM473" s="3166">
        <f t="shared" si="286"/>
        <v>0</v>
      </c>
      <c r="BN473" s="3166">
        <f t="shared" si="287"/>
        <v>0</v>
      </c>
      <c r="BO473" s="3166">
        <f t="shared" si="288"/>
        <v>0</v>
      </c>
      <c r="BP473" s="3166">
        <f t="shared" si="289"/>
        <v>0</v>
      </c>
      <c r="BQ473" s="3166">
        <f t="shared" si="290"/>
        <v>0</v>
      </c>
      <c r="BR473" s="3166">
        <f t="shared" si="291"/>
        <v>0</v>
      </c>
      <c r="BS473" s="3166">
        <f t="shared" si="292"/>
        <v>0</v>
      </c>
      <c r="BT473" s="3240">
        <f t="shared" si="293"/>
        <v>0</v>
      </c>
    </row>
    <row r="474" spans="1:72">
      <c r="A474" s="3163"/>
      <c r="B474" s="3164"/>
      <c r="C474" s="3164"/>
      <c r="D474" s="3176"/>
      <c r="E474" s="3166">
        <f t="shared" si="265"/>
        <v>0</v>
      </c>
      <c r="F474" s="3167"/>
      <c r="G474" s="3168">
        <f t="shared" si="266"/>
        <v>0</v>
      </c>
      <c r="H474" s="3169">
        <f t="shared" si="267"/>
        <v>0</v>
      </c>
      <c r="I474" s="3187"/>
      <c r="J474" s="3187"/>
      <c r="K474" s="3187"/>
      <c r="L474" s="3187"/>
      <c r="M474" s="3187"/>
      <c r="N474" s="3187"/>
      <c r="O474" s="3187"/>
      <c r="P474" s="3187"/>
      <c r="Q474" s="3187"/>
      <c r="R474" s="3187"/>
      <c r="S474" s="3187"/>
      <c r="T474" s="3187"/>
      <c r="U474" s="3187"/>
      <c r="V474" s="3187"/>
      <c r="W474" s="3187"/>
      <c r="X474" s="3187"/>
      <c r="Y474" s="3187"/>
      <c r="Z474" s="3187"/>
      <c r="AA474" s="3187"/>
      <c r="AB474" s="3187"/>
      <c r="AC474" s="3166">
        <f t="shared" si="268"/>
        <v>0</v>
      </c>
      <c r="AD474" s="3198"/>
      <c r="AE474" s="3198"/>
      <c r="AF474" s="3198"/>
      <c r="AG474" s="3198"/>
      <c r="AH474" s="3198"/>
      <c r="AI474" s="3198"/>
      <c r="AJ474" s="3198"/>
      <c r="AK474" s="3198"/>
      <c r="AL474" s="3198"/>
      <c r="AM474" s="3198"/>
      <c r="AN474" s="3198"/>
      <c r="AO474" s="3198"/>
      <c r="AP474" s="3198"/>
      <c r="AQ474" s="3198"/>
      <c r="AR474" s="3198"/>
      <c r="AS474" s="3198"/>
      <c r="AT474" s="3218"/>
      <c r="AU474" s="3219"/>
      <c r="AV474" s="488">
        <f t="shared" si="269"/>
        <v>0</v>
      </c>
      <c r="AW474" s="488">
        <f t="shared" si="270"/>
        <v>0</v>
      </c>
      <c r="AX474" s="488">
        <f t="shared" si="271"/>
        <v>0</v>
      </c>
      <c r="AY474" s="3235">
        <f t="shared" si="272"/>
        <v>0</v>
      </c>
      <c r="AZ474" s="3166">
        <f t="shared" si="273"/>
        <v>0</v>
      </c>
      <c r="BA474" s="3166">
        <f t="shared" si="274"/>
        <v>0</v>
      </c>
      <c r="BB474" s="3166">
        <f t="shared" si="275"/>
        <v>0</v>
      </c>
      <c r="BC474" s="3166">
        <f t="shared" si="276"/>
        <v>0</v>
      </c>
      <c r="BD474" s="3166">
        <f t="shared" si="277"/>
        <v>0</v>
      </c>
      <c r="BE474" s="3166">
        <f t="shared" si="278"/>
        <v>0</v>
      </c>
      <c r="BF474" s="3166">
        <f t="shared" si="279"/>
        <v>0</v>
      </c>
      <c r="BG474" s="3166">
        <f t="shared" si="280"/>
        <v>0</v>
      </c>
      <c r="BH474" s="3166">
        <f t="shared" si="281"/>
        <v>0</v>
      </c>
      <c r="BI474" s="3166">
        <f t="shared" si="282"/>
        <v>0</v>
      </c>
      <c r="BJ474" s="3166">
        <f t="shared" si="283"/>
        <v>0</v>
      </c>
      <c r="BK474" s="3166">
        <f t="shared" si="284"/>
        <v>0</v>
      </c>
      <c r="BL474" s="3166">
        <f t="shared" si="285"/>
        <v>0</v>
      </c>
      <c r="BM474" s="3166">
        <f t="shared" si="286"/>
        <v>0</v>
      </c>
      <c r="BN474" s="3166">
        <f t="shared" si="287"/>
        <v>0</v>
      </c>
      <c r="BO474" s="3166">
        <f t="shared" si="288"/>
        <v>0</v>
      </c>
      <c r="BP474" s="3166">
        <f t="shared" si="289"/>
        <v>0</v>
      </c>
      <c r="BQ474" s="3166">
        <f t="shared" si="290"/>
        <v>0</v>
      </c>
      <c r="BR474" s="3166">
        <f t="shared" si="291"/>
        <v>0</v>
      </c>
      <c r="BS474" s="3166">
        <f t="shared" si="292"/>
        <v>0</v>
      </c>
      <c r="BT474" s="3240">
        <f t="shared" si="293"/>
        <v>0</v>
      </c>
    </row>
    <row r="475" spans="1:72">
      <c r="A475" s="3163"/>
      <c r="B475" s="3164"/>
      <c r="C475" s="3164"/>
      <c r="D475" s="3176"/>
      <c r="E475" s="3166">
        <f t="shared" si="265"/>
        <v>0</v>
      </c>
      <c r="F475" s="3167"/>
      <c r="G475" s="3168">
        <f t="shared" si="266"/>
        <v>0</v>
      </c>
      <c r="H475" s="3169">
        <f t="shared" si="267"/>
        <v>0</v>
      </c>
      <c r="I475" s="3187"/>
      <c r="J475" s="3187"/>
      <c r="K475" s="3187"/>
      <c r="L475" s="3187"/>
      <c r="M475" s="3187"/>
      <c r="N475" s="3187"/>
      <c r="O475" s="3187"/>
      <c r="P475" s="3187"/>
      <c r="Q475" s="3187"/>
      <c r="R475" s="3187"/>
      <c r="S475" s="3187"/>
      <c r="T475" s="3187"/>
      <c r="U475" s="3187"/>
      <c r="V475" s="3187"/>
      <c r="W475" s="3187"/>
      <c r="X475" s="3187"/>
      <c r="Y475" s="3187"/>
      <c r="Z475" s="3187"/>
      <c r="AA475" s="3187"/>
      <c r="AB475" s="3187"/>
      <c r="AC475" s="3166">
        <f t="shared" si="268"/>
        <v>0</v>
      </c>
      <c r="AD475" s="3198"/>
      <c r="AE475" s="3198"/>
      <c r="AF475" s="3198"/>
      <c r="AG475" s="3198"/>
      <c r="AH475" s="3198"/>
      <c r="AI475" s="3198"/>
      <c r="AJ475" s="3198"/>
      <c r="AK475" s="3198"/>
      <c r="AL475" s="3198"/>
      <c r="AM475" s="3198"/>
      <c r="AN475" s="3198"/>
      <c r="AO475" s="3198"/>
      <c r="AP475" s="3198"/>
      <c r="AQ475" s="3198"/>
      <c r="AR475" s="3198"/>
      <c r="AS475" s="3198"/>
      <c r="AT475" s="3218"/>
      <c r="AU475" s="3219"/>
      <c r="AV475" s="488">
        <f t="shared" si="269"/>
        <v>0</v>
      </c>
      <c r="AW475" s="488">
        <f t="shared" si="270"/>
        <v>0</v>
      </c>
      <c r="AX475" s="488">
        <f t="shared" si="271"/>
        <v>0</v>
      </c>
      <c r="AY475" s="3235">
        <f t="shared" si="272"/>
        <v>0</v>
      </c>
      <c r="AZ475" s="3166">
        <f t="shared" si="273"/>
        <v>0</v>
      </c>
      <c r="BA475" s="3166">
        <f t="shared" si="274"/>
        <v>0</v>
      </c>
      <c r="BB475" s="3166">
        <f t="shared" si="275"/>
        <v>0</v>
      </c>
      <c r="BC475" s="3166">
        <f t="shared" si="276"/>
        <v>0</v>
      </c>
      <c r="BD475" s="3166">
        <f t="shared" si="277"/>
        <v>0</v>
      </c>
      <c r="BE475" s="3166">
        <f t="shared" si="278"/>
        <v>0</v>
      </c>
      <c r="BF475" s="3166">
        <f t="shared" si="279"/>
        <v>0</v>
      </c>
      <c r="BG475" s="3166">
        <f t="shared" si="280"/>
        <v>0</v>
      </c>
      <c r="BH475" s="3166">
        <f t="shared" si="281"/>
        <v>0</v>
      </c>
      <c r="BI475" s="3166">
        <f t="shared" si="282"/>
        <v>0</v>
      </c>
      <c r="BJ475" s="3166">
        <f t="shared" si="283"/>
        <v>0</v>
      </c>
      <c r="BK475" s="3166">
        <f t="shared" si="284"/>
        <v>0</v>
      </c>
      <c r="BL475" s="3166">
        <f t="shared" si="285"/>
        <v>0</v>
      </c>
      <c r="BM475" s="3166">
        <f t="shared" si="286"/>
        <v>0</v>
      </c>
      <c r="BN475" s="3166">
        <f t="shared" si="287"/>
        <v>0</v>
      </c>
      <c r="BO475" s="3166">
        <f t="shared" si="288"/>
        <v>0</v>
      </c>
      <c r="BP475" s="3166">
        <f t="shared" si="289"/>
        <v>0</v>
      </c>
      <c r="BQ475" s="3166">
        <f t="shared" si="290"/>
        <v>0</v>
      </c>
      <c r="BR475" s="3166">
        <f t="shared" si="291"/>
        <v>0</v>
      </c>
      <c r="BS475" s="3166">
        <f t="shared" si="292"/>
        <v>0</v>
      </c>
      <c r="BT475" s="3240">
        <f t="shared" si="293"/>
        <v>0</v>
      </c>
    </row>
    <row r="476" spans="1:72">
      <c r="A476" s="3163"/>
      <c r="B476" s="3164"/>
      <c r="C476" s="3164"/>
      <c r="D476" s="3176"/>
      <c r="E476" s="3166">
        <f t="shared" si="265"/>
        <v>0</v>
      </c>
      <c r="F476" s="3167"/>
      <c r="G476" s="3168">
        <f t="shared" si="266"/>
        <v>0</v>
      </c>
      <c r="H476" s="3169">
        <f t="shared" si="267"/>
        <v>0</v>
      </c>
      <c r="I476" s="3187"/>
      <c r="J476" s="3187"/>
      <c r="K476" s="3187"/>
      <c r="L476" s="3187"/>
      <c r="M476" s="3187"/>
      <c r="N476" s="3187"/>
      <c r="O476" s="3187"/>
      <c r="P476" s="3187"/>
      <c r="Q476" s="3187"/>
      <c r="R476" s="3187"/>
      <c r="S476" s="3187"/>
      <c r="T476" s="3187"/>
      <c r="U476" s="3187"/>
      <c r="V476" s="3187"/>
      <c r="W476" s="3187"/>
      <c r="X476" s="3187"/>
      <c r="Y476" s="3187"/>
      <c r="Z476" s="3187"/>
      <c r="AA476" s="3187"/>
      <c r="AB476" s="3187"/>
      <c r="AC476" s="3166">
        <f t="shared" si="268"/>
        <v>0</v>
      </c>
      <c r="AD476" s="3198"/>
      <c r="AE476" s="3198"/>
      <c r="AF476" s="3198"/>
      <c r="AG476" s="3198"/>
      <c r="AH476" s="3198"/>
      <c r="AI476" s="3198"/>
      <c r="AJ476" s="3198"/>
      <c r="AK476" s="3198"/>
      <c r="AL476" s="3198"/>
      <c r="AM476" s="3198"/>
      <c r="AN476" s="3198"/>
      <c r="AO476" s="3198"/>
      <c r="AP476" s="3198"/>
      <c r="AQ476" s="3198"/>
      <c r="AR476" s="3198"/>
      <c r="AS476" s="3198"/>
      <c r="AT476" s="3218"/>
      <c r="AU476" s="3219"/>
      <c r="AV476" s="488">
        <f t="shared" si="269"/>
        <v>0</v>
      </c>
      <c r="AW476" s="488">
        <f t="shared" si="270"/>
        <v>0</v>
      </c>
      <c r="AX476" s="488">
        <f t="shared" si="271"/>
        <v>0</v>
      </c>
      <c r="AY476" s="3235">
        <f t="shared" si="272"/>
        <v>0</v>
      </c>
      <c r="AZ476" s="3166">
        <f t="shared" si="273"/>
        <v>0</v>
      </c>
      <c r="BA476" s="3166">
        <f t="shared" si="274"/>
        <v>0</v>
      </c>
      <c r="BB476" s="3166">
        <f t="shared" si="275"/>
        <v>0</v>
      </c>
      <c r="BC476" s="3166">
        <f t="shared" si="276"/>
        <v>0</v>
      </c>
      <c r="BD476" s="3166">
        <f t="shared" si="277"/>
        <v>0</v>
      </c>
      <c r="BE476" s="3166">
        <f t="shared" si="278"/>
        <v>0</v>
      </c>
      <c r="BF476" s="3166">
        <f t="shared" si="279"/>
        <v>0</v>
      </c>
      <c r="BG476" s="3166">
        <f t="shared" si="280"/>
        <v>0</v>
      </c>
      <c r="BH476" s="3166">
        <f t="shared" si="281"/>
        <v>0</v>
      </c>
      <c r="BI476" s="3166">
        <f t="shared" si="282"/>
        <v>0</v>
      </c>
      <c r="BJ476" s="3166">
        <f t="shared" si="283"/>
        <v>0</v>
      </c>
      <c r="BK476" s="3166">
        <f t="shared" si="284"/>
        <v>0</v>
      </c>
      <c r="BL476" s="3166">
        <f t="shared" si="285"/>
        <v>0</v>
      </c>
      <c r="BM476" s="3166">
        <f t="shared" si="286"/>
        <v>0</v>
      </c>
      <c r="BN476" s="3166">
        <f t="shared" si="287"/>
        <v>0</v>
      </c>
      <c r="BO476" s="3166">
        <f t="shared" si="288"/>
        <v>0</v>
      </c>
      <c r="BP476" s="3166">
        <f t="shared" si="289"/>
        <v>0</v>
      </c>
      <c r="BQ476" s="3166">
        <f t="shared" si="290"/>
        <v>0</v>
      </c>
      <c r="BR476" s="3166">
        <f t="shared" si="291"/>
        <v>0</v>
      </c>
      <c r="BS476" s="3166">
        <f t="shared" si="292"/>
        <v>0</v>
      </c>
      <c r="BT476" s="3240">
        <f t="shared" si="293"/>
        <v>0</v>
      </c>
    </row>
    <row r="477" spans="1:72">
      <c r="A477" s="3163"/>
      <c r="B477" s="3164"/>
      <c r="C477" s="3164"/>
      <c r="D477" s="3176"/>
      <c r="E477" s="3166">
        <f t="shared" si="265"/>
        <v>0</v>
      </c>
      <c r="F477" s="3167"/>
      <c r="G477" s="3168">
        <f t="shared" si="266"/>
        <v>0</v>
      </c>
      <c r="H477" s="3169">
        <f t="shared" si="267"/>
        <v>0</v>
      </c>
      <c r="I477" s="3187"/>
      <c r="J477" s="3187"/>
      <c r="K477" s="3187"/>
      <c r="L477" s="3187"/>
      <c r="M477" s="3187"/>
      <c r="N477" s="3187"/>
      <c r="O477" s="3187"/>
      <c r="P477" s="3187"/>
      <c r="Q477" s="3187"/>
      <c r="R477" s="3187"/>
      <c r="S477" s="3187"/>
      <c r="T477" s="3187"/>
      <c r="U477" s="3187"/>
      <c r="V477" s="3187"/>
      <c r="W477" s="3187"/>
      <c r="X477" s="3187"/>
      <c r="Y477" s="3187"/>
      <c r="Z477" s="3187"/>
      <c r="AA477" s="3187"/>
      <c r="AB477" s="3187"/>
      <c r="AC477" s="3166">
        <f t="shared" si="268"/>
        <v>0</v>
      </c>
      <c r="AD477" s="3198"/>
      <c r="AE477" s="3198"/>
      <c r="AF477" s="3198"/>
      <c r="AG477" s="3198"/>
      <c r="AH477" s="3198"/>
      <c r="AI477" s="3198"/>
      <c r="AJ477" s="3198"/>
      <c r="AK477" s="3198"/>
      <c r="AL477" s="3198"/>
      <c r="AM477" s="3198"/>
      <c r="AN477" s="3198"/>
      <c r="AO477" s="3198"/>
      <c r="AP477" s="3198"/>
      <c r="AQ477" s="3198"/>
      <c r="AR477" s="3198"/>
      <c r="AS477" s="3198"/>
      <c r="AT477" s="3218"/>
      <c r="AU477" s="3219"/>
      <c r="AV477" s="488">
        <f t="shared" si="269"/>
        <v>0</v>
      </c>
      <c r="AW477" s="488">
        <f t="shared" si="270"/>
        <v>0</v>
      </c>
      <c r="AX477" s="488">
        <f t="shared" si="271"/>
        <v>0</v>
      </c>
      <c r="AY477" s="3235">
        <f t="shared" si="272"/>
        <v>0</v>
      </c>
      <c r="AZ477" s="3166">
        <f t="shared" si="273"/>
        <v>0</v>
      </c>
      <c r="BA477" s="3166">
        <f t="shared" si="274"/>
        <v>0</v>
      </c>
      <c r="BB477" s="3166">
        <f t="shared" si="275"/>
        <v>0</v>
      </c>
      <c r="BC477" s="3166">
        <f t="shared" si="276"/>
        <v>0</v>
      </c>
      <c r="BD477" s="3166">
        <f t="shared" si="277"/>
        <v>0</v>
      </c>
      <c r="BE477" s="3166">
        <f t="shared" si="278"/>
        <v>0</v>
      </c>
      <c r="BF477" s="3166">
        <f t="shared" si="279"/>
        <v>0</v>
      </c>
      <c r="BG477" s="3166">
        <f t="shared" si="280"/>
        <v>0</v>
      </c>
      <c r="BH477" s="3166">
        <f t="shared" si="281"/>
        <v>0</v>
      </c>
      <c r="BI477" s="3166">
        <f t="shared" si="282"/>
        <v>0</v>
      </c>
      <c r="BJ477" s="3166">
        <f t="shared" si="283"/>
        <v>0</v>
      </c>
      <c r="BK477" s="3166">
        <f t="shared" si="284"/>
        <v>0</v>
      </c>
      <c r="BL477" s="3166">
        <f t="shared" si="285"/>
        <v>0</v>
      </c>
      <c r="BM477" s="3166">
        <f t="shared" si="286"/>
        <v>0</v>
      </c>
      <c r="BN477" s="3166">
        <f t="shared" si="287"/>
        <v>0</v>
      </c>
      <c r="BO477" s="3166">
        <f t="shared" si="288"/>
        <v>0</v>
      </c>
      <c r="BP477" s="3166">
        <f t="shared" si="289"/>
        <v>0</v>
      </c>
      <c r="BQ477" s="3166">
        <f t="shared" si="290"/>
        <v>0</v>
      </c>
      <c r="BR477" s="3166">
        <f t="shared" si="291"/>
        <v>0</v>
      </c>
      <c r="BS477" s="3166">
        <f t="shared" si="292"/>
        <v>0</v>
      </c>
      <c r="BT477" s="3240">
        <f t="shared" si="293"/>
        <v>0</v>
      </c>
    </row>
    <row r="478" spans="1:72">
      <c r="A478" s="3163"/>
      <c r="B478" s="3163"/>
      <c r="C478" s="3163"/>
      <c r="D478" s="3176"/>
      <c r="E478" s="3166">
        <f t="shared" si="265"/>
        <v>0</v>
      </c>
      <c r="F478" s="3241"/>
      <c r="G478" s="3168">
        <f t="shared" ref="G478:G509" si="294">H478+AC478+AT478</f>
        <v>0</v>
      </c>
      <c r="H478" s="3169">
        <f t="shared" ref="H478:H509" si="295">SUMIF(I$12:AB$12,"总值",I478:AB478)</f>
        <v>0</v>
      </c>
      <c r="I478" s="3242"/>
      <c r="J478" s="3242"/>
      <c r="K478" s="3187"/>
      <c r="L478" s="3187"/>
      <c r="M478" s="3187"/>
      <c r="N478" s="3187"/>
      <c r="O478" s="3187"/>
      <c r="P478" s="3187"/>
      <c r="Q478" s="3187"/>
      <c r="R478" s="3187"/>
      <c r="S478" s="3187"/>
      <c r="T478" s="3187"/>
      <c r="U478" s="3187"/>
      <c r="V478" s="3187"/>
      <c r="W478" s="3187"/>
      <c r="X478" s="3187"/>
      <c r="Y478" s="3187"/>
      <c r="Z478" s="3187"/>
      <c r="AA478" s="3187"/>
      <c r="AB478" s="3187"/>
      <c r="AC478" s="3166">
        <f t="shared" ref="AC478:AC509" si="296">SUMIF(AD$12:AS$12,"总值",AD478:AS478)</f>
        <v>0</v>
      </c>
      <c r="AD478" s="3198"/>
      <c r="AE478" s="3198"/>
      <c r="AF478" s="3198"/>
      <c r="AG478" s="3198"/>
      <c r="AH478" s="3198"/>
      <c r="AI478" s="3198"/>
      <c r="AJ478" s="3198"/>
      <c r="AK478" s="3198"/>
      <c r="AL478" s="3198"/>
      <c r="AM478" s="3198"/>
      <c r="AN478" s="3198"/>
      <c r="AO478" s="3198"/>
      <c r="AP478" s="3198"/>
      <c r="AQ478" s="3198"/>
      <c r="AR478" s="3198"/>
      <c r="AS478" s="3198"/>
      <c r="AT478" s="3198"/>
      <c r="AU478" s="3243"/>
      <c r="AV478" s="488">
        <f t="shared" si="269"/>
        <v>0</v>
      </c>
      <c r="AW478" s="488">
        <f t="shared" si="270"/>
        <v>0</v>
      </c>
      <c r="AX478" s="488">
        <f t="shared" si="271"/>
        <v>0</v>
      </c>
      <c r="AY478" s="3235">
        <f t="shared" ref="AY478:AY509" si="297">ROUND($AY$6*AZ478/$AZ$5,2)</f>
        <v>0</v>
      </c>
      <c r="AZ478" s="3166">
        <f t="shared" ref="AZ478:AZ509" si="298">BA478+BL478</f>
        <v>0</v>
      </c>
      <c r="BA478" s="3166">
        <f t="shared" ref="BA478:BA509" si="299">SUM(BB478:BK478)</f>
        <v>0</v>
      </c>
      <c r="BB478" s="3166">
        <f t="shared" ref="BB478:BB509" si="300">IF($D478="是",I478-J478,0)</f>
        <v>0</v>
      </c>
      <c r="BC478" s="3166">
        <f t="shared" ref="BC478:BC509" si="301">IF($D478="是",K478-L478,0)</f>
        <v>0</v>
      </c>
      <c r="BD478" s="3166">
        <f t="shared" ref="BD478:BD509" si="302">IF($D478="是",M478-N478,0)</f>
        <v>0</v>
      </c>
      <c r="BE478" s="3166">
        <f t="shared" ref="BE478:BE509" si="303">IF($D478="是",O478-P478,0)</f>
        <v>0</v>
      </c>
      <c r="BF478" s="3166">
        <f t="shared" ref="BF478:BF509" si="304">IF($D478="是",Q478-R478,0)</f>
        <v>0</v>
      </c>
      <c r="BG478" s="3166">
        <f t="shared" ref="BG478:BG509" si="305">IF($D478="是",S478-T478,0)</f>
        <v>0</v>
      </c>
      <c r="BH478" s="3166">
        <f t="shared" ref="BH478:BH509" si="306">IF($D478="是",U478-V478,0)</f>
        <v>0</v>
      </c>
      <c r="BI478" s="3166">
        <f t="shared" ref="BI478:BI509" si="307">IF($D478="是",W478-X478,0)</f>
        <v>0</v>
      </c>
      <c r="BJ478" s="3166">
        <f t="shared" ref="BJ478:BJ509" si="308">IF($D478="是",Y478-Z478,0)</f>
        <v>0</v>
      </c>
      <c r="BK478" s="3166">
        <f t="shared" ref="BK478:BK509" si="309">IF($D478="是",AA478-AB478,0)</f>
        <v>0</v>
      </c>
      <c r="BL478" s="3166">
        <f t="shared" ref="BL478:BL509" si="310">SUM(BM478:BT478)</f>
        <v>0</v>
      </c>
      <c r="BM478" s="3166">
        <f t="shared" ref="BM478:BM509" si="311">IF($D478="是",AD478-AE478,0)</f>
        <v>0</v>
      </c>
      <c r="BN478" s="3166">
        <f t="shared" ref="BN478:BN509" si="312">IF($D478="是",AF478-AG478,0)</f>
        <v>0</v>
      </c>
      <c r="BO478" s="3166">
        <f t="shared" ref="BO478:BO509" si="313">IF($D478="是",AH478-AI478,0)</f>
        <v>0</v>
      </c>
      <c r="BP478" s="3166">
        <f t="shared" ref="BP478:BP509" si="314">IF($D478="是",AJ478-AK478,0)</f>
        <v>0</v>
      </c>
      <c r="BQ478" s="3166">
        <f t="shared" ref="BQ478:BQ509" si="315">IF($D478="是",AL478-AM478,0)</f>
        <v>0</v>
      </c>
      <c r="BR478" s="3166">
        <f t="shared" ref="BR478:BR509" si="316">IF($D478="是",AN478-AO478,0)</f>
        <v>0</v>
      </c>
      <c r="BS478" s="3166">
        <f t="shared" ref="BS478:BS509" si="317">IF($D478="是",AP478-AQ478,0)</f>
        <v>0</v>
      </c>
      <c r="BT478" s="3240">
        <f t="shared" ref="BT478:BT509" si="318">IF($D478="是",AR478-AS478,0)</f>
        <v>0</v>
      </c>
    </row>
    <row r="479" spans="1:72">
      <c r="A479" s="3163"/>
      <c r="B479" s="3163"/>
      <c r="C479" s="3163"/>
      <c r="D479" s="3176"/>
      <c r="E479" s="3166">
        <f t="shared" si="265"/>
        <v>0</v>
      </c>
      <c r="F479" s="3241"/>
      <c r="G479" s="3168">
        <f t="shared" si="294"/>
        <v>0</v>
      </c>
      <c r="H479" s="3169">
        <f t="shared" si="295"/>
        <v>0</v>
      </c>
      <c r="I479" s="3187"/>
      <c r="J479" s="3187"/>
      <c r="K479" s="3187"/>
      <c r="L479" s="3187"/>
      <c r="M479" s="3187"/>
      <c r="N479" s="3187"/>
      <c r="O479" s="3187"/>
      <c r="P479" s="3187"/>
      <c r="Q479" s="3187"/>
      <c r="R479" s="3187"/>
      <c r="S479" s="3187"/>
      <c r="T479" s="3187"/>
      <c r="U479" s="3187"/>
      <c r="V479" s="3187"/>
      <c r="W479" s="3187"/>
      <c r="X479" s="3187"/>
      <c r="Y479" s="3187"/>
      <c r="Z479" s="3187"/>
      <c r="AA479" s="3187"/>
      <c r="AB479" s="3187"/>
      <c r="AC479" s="3166">
        <f t="shared" si="296"/>
        <v>0</v>
      </c>
      <c r="AD479" s="3198"/>
      <c r="AE479" s="3198"/>
      <c r="AF479" s="3198"/>
      <c r="AG479" s="3198"/>
      <c r="AH479" s="3198"/>
      <c r="AI479" s="3198"/>
      <c r="AJ479" s="3198"/>
      <c r="AK479" s="3198"/>
      <c r="AL479" s="3198"/>
      <c r="AM479" s="3198"/>
      <c r="AN479" s="3198"/>
      <c r="AO479" s="3198"/>
      <c r="AP479" s="3198"/>
      <c r="AQ479" s="3198"/>
      <c r="AR479" s="3198"/>
      <c r="AS479" s="3198"/>
      <c r="AT479" s="3198"/>
      <c r="AU479" s="3243"/>
      <c r="AV479" s="488">
        <f t="shared" si="269"/>
        <v>0</v>
      </c>
      <c r="AW479" s="488">
        <f t="shared" si="270"/>
        <v>0</v>
      </c>
      <c r="AX479" s="488">
        <f t="shared" si="271"/>
        <v>0</v>
      </c>
      <c r="AY479" s="3235">
        <f t="shared" si="297"/>
        <v>0</v>
      </c>
      <c r="AZ479" s="3166">
        <f t="shared" si="298"/>
        <v>0</v>
      </c>
      <c r="BA479" s="3166">
        <f t="shared" si="299"/>
        <v>0</v>
      </c>
      <c r="BB479" s="3166">
        <f t="shared" si="300"/>
        <v>0</v>
      </c>
      <c r="BC479" s="3166">
        <f t="shared" si="301"/>
        <v>0</v>
      </c>
      <c r="BD479" s="3166">
        <f t="shared" si="302"/>
        <v>0</v>
      </c>
      <c r="BE479" s="3166">
        <f t="shared" si="303"/>
        <v>0</v>
      </c>
      <c r="BF479" s="3166">
        <f t="shared" si="304"/>
        <v>0</v>
      </c>
      <c r="BG479" s="3166">
        <f t="shared" si="305"/>
        <v>0</v>
      </c>
      <c r="BH479" s="3166">
        <f t="shared" si="306"/>
        <v>0</v>
      </c>
      <c r="BI479" s="3166">
        <f t="shared" si="307"/>
        <v>0</v>
      </c>
      <c r="BJ479" s="3166">
        <f t="shared" si="308"/>
        <v>0</v>
      </c>
      <c r="BK479" s="3166">
        <f t="shared" si="309"/>
        <v>0</v>
      </c>
      <c r="BL479" s="3166">
        <f t="shared" si="310"/>
        <v>0</v>
      </c>
      <c r="BM479" s="3166">
        <f t="shared" si="311"/>
        <v>0</v>
      </c>
      <c r="BN479" s="3166">
        <f t="shared" si="312"/>
        <v>0</v>
      </c>
      <c r="BO479" s="3166">
        <f t="shared" si="313"/>
        <v>0</v>
      </c>
      <c r="BP479" s="3166">
        <f t="shared" si="314"/>
        <v>0</v>
      </c>
      <c r="BQ479" s="3166">
        <f t="shared" si="315"/>
        <v>0</v>
      </c>
      <c r="BR479" s="3166">
        <f t="shared" si="316"/>
        <v>0</v>
      </c>
      <c r="BS479" s="3166">
        <f t="shared" si="317"/>
        <v>0</v>
      </c>
      <c r="BT479" s="3240">
        <f t="shared" si="318"/>
        <v>0</v>
      </c>
    </row>
    <row r="480" spans="1:72">
      <c r="A480" s="3163"/>
      <c r="B480" s="3163"/>
      <c r="C480" s="3163"/>
      <c r="D480" s="3176"/>
      <c r="E480" s="3166">
        <f t="shared" si="265"/>
        <v>0</v>
      </c>
      <c r="F480" s="3241"/>
      <c r="G480" s="3168">
        <f t="shared" si="294"/>
        <v>0</v>
      </c>
      <c r="H480" s="3169">
        <f t="shared" si="295"/>
        <v>0</v>
      </c>
      <c r="I480" s="3187"/>
      <c r="J480" s="3187"/>
      <c r="K480" s="3187"/>
      <c r="L480" s="3187"/>
      <c r="M480" s="3187"/>
      <c r="N480" s="3187"/>
      <c r="O480" s="3187"/>
      <c r="P480" s="3187"/>
      <c r="Q480" s="3187"/>
      <c r="R480" s="3187"/>
      <c r="S480" s="3187"/>
      <c r="T480" s="3187"/>
      <c r="U480" s="3187"/>
      <c r="V480" s="3187"/>
      <c r="W480" s="3187"/>
      <c r="X480" s="3187"/>
      <c r="Y480" s="3187"/>
      <c r="Z480" s="3187"/>
      <c r="AA480" s="3187"/>
      <c r="AB480" s="3187"/>
      <c r="AC480" s="3166">
        <f t="shared" si="296"/>
        <v>0</v>
      </c>
      <c r="AD480" s="3198"/>
      <c r="AE480" s="3198"/>
      <c r="AF480" s="3198"/>
      <c r="AG480" s="3198"/>
      <c r="AH480" s="3198"/>
      <c r="AI480" s="3198"/>
      <c r="AJ480" s="3198"/>
      <c r="AK480" s="3198"/>
      <c r="AL480" s="3198"/>
      <c r="AM480" s="3198"/>
      <c r="AN480" s="3198"/>
      <c r="AO480" s="3198"/>
      <c r="AP480" s="3198"/>
      <c r="AQ480" s="3198"/>
      <c r="AR480" s="3198"/>
      <c r="AS480" s="3198"/>
      <c r="AT480" s="3198"/>
      <c r="AU480" s="3243"/>
      <c r="AV480" s="488">
        <f t="shared" si="269"/>
        <v>0</v>
      </c>
      <c r="AW480" s="488">
        <f t="shared" si="270"/>
        <v>0</v>
      </c>
      <c r="AX480" s="488">
        <f t="shared" si="271"/>
        <v>0</v>
      </c>
      <c r="AY480" s="3235">
        <f t="shared" si="297"/>
        <v>0</v>
      </c>
      <c r="AZ480" s="3166">
        <f t="shared" si="298"/>
        <v>0</v>
      </c>
      <c r="BA480" s="3166">
        <f t="shared" si="299"/>
        <v>0</v>
      </c>
      <c r="BB480" s="3166">
        <f t="shared" si="300"/>
        <v>0</v>
      </c>
      <c r="BC480" s="3166">
        <f t="shared" si="301"/>
        <v>0</v>
      </c>
      <c r="BD480" s="3166">
        <f t="shared" si="302"/>
        <v>0</v>
      </c>
      <c r="BE480" s="3166">
        <f t="shared" si="303"/>
        <v>0</v>
      </c>
      <c r="BF480" s="3166">
        <f t="shared" si="304"/>
        <v>0</v>
      </c>
      <c r="BG480" s="3166">
        <f t="shared" si="305"/>
        <v>0</v>
      </c>
      <c r="BH480" s="3166">
        <f t="shared" si="306"/>
        <v>0</v>
      </c>
      <c r="BI480" s="3166">
        <f t="shared" si="307"/>
        <v>0</v>
      </c>
      <c r="BJ480" s="3166">
        <f t="shared" si="308"/>
        <v>0</v>
      </c>
      <c r="BK480" s="3166">
        <f t="shared" si="309"/>
        <v>0</v>
      </c>
      <c r="BL480" s="3166">
        <f t="shared" si="310"/>
        <v>0</v>
      </c>
      <c r="BM480" s="3166">
        <f t="shared" si="311"/>
        <v>0</v>
      </c>
      <c r="BN480" s="3166">
        <f t="shared" si="312"/>
        <v>0</v>
      </c>
      <c r="BO480" s="3166">
        <f t="shared" si="313"/>
        <v>0</v>
      </c>
      <c r="BP480" s="3166">
        <f t="shared" si="314"/>
        <v>0</v>
      </c>
      <c r="BQ480" s="3166">
        <f t="shared" si="315"/>
        <v>0</v>
      </c>
      <c r="BR480" s="3166">
        <f t="shared" si="316"/>
        <v>0</v>
      </c>
      <c r="BS480" s="3166">
        <f t="shared" si="317"/>
        <v>0</v>
      </c>
      <c r="BT480" s="3240">
        <f t="shared" si="318"/>
        <v>0</v>
      </c>
    </row>
    <row r="481" spans="1:72">
      <c r="A481" s="3163"/>
      <c r="B481" s="3173"/>
      <c r="C481" s="3171"/>
      <c r="D481" s="3172"/>
      <c r="E481" s="3166">
        <f t="shared" ref="E481:E504" si="319">IF($C$3="是",ROUND($A$3*G481/$B$3,2),ROUND($A$3*(G481-AT481)/$B$3,2))</f>
        <v>0</v>
      </c>
      <c r="F481" s="3167"/>
      <c r="G481" s="3168">
        <f t="shared" si="294"/>
        <v>0</v>
      </c>
      <c r="H481" s="3169">
        <f t="shared" si="295"/>
        <v>0</v>
      </c>
      <c r="I481" s="3175"/>
      <c r="J481" s="3187"/>
      <c r="K481" s="3175"/>
      <c r="L481" s="3187"/>
      <c r="M481" s="3187"/>
      <c r="N481" s="3187"/>
      <c r="O481" s="3187"/>
      <c r="P481" s="3187"/>
      <c r="Q481" s="3187"/>
      <c r="R481" s="3187"/>
      <c r="S481" s="3187"/>
      <c r="T481" s="3187"/>
      <c r="U481" s="3187"/>
      <c r="V481" s="3187"/>
      <c r="W481" s="3187"/>
      <c r="X481" s="3187"/>
      <c r="Y481" s="3187"/>
      <c r="Z481" s="3187"/>
      <c r="AA481" s="3187"/>
      <c r="AB481" s="3187"/>
      <c r="AC481" s="3166">
        <f t="shared" si="296"/>
        <v>0</v>
      </c>
      <c r="AD481" s="3198"/>
      <c r="AE481" s="3198"/>
      <c r="AF481" s="3199"/>
      <c r="AG481" s="3198"/>
      <c r="AH481" s="3198"/>
      <c r="AI481" s="3198"/>
      <c r="AJ481" s="3198"/>
      <c r="AK481" s="3198"/>
      <c r="AL481" s="3198"/>
      <c r="AM481" s="3198"/>
      <c r="AN481" s="3188"/>
      <c r="AO481" s="3198"/>
      <c r="AP481" s="3198"/>
      <c r="AQ481" s="3198"/>
      <c r="AR481" s="3198"/>
      <c r="AS481" s="3198"/>
      <c r="AT481" s="3218"/>
      <c r="AU481" s="3219"/>
      <c r="AV481" s="488">
        <f t="shared" ref="AV481:AV505" si="320">A481</f>
        <v>0</v>
      </c>
      <c r="AW481" s="488">
        <f t="shared" ref="AW481:AW505" si="321">B481</f>
        <v>0</v>
      </c>
      <c r="AX481" s="488">
        <f t="shared" ref="AX481:AX505" si="322">C481</f>
        <v>0</v>
      </c>
      <c r="AY481" s="3235">
        <f t="shared" si="297"/>
        <v>0</v>
      </c>
      <c r="AZ481" s="3166">
        <f t="shared" si="298"/>
        <v>0</v>
      </c>
      <c r="BA481" s="3166">
        <f t="shared" si="299"/>
        <v>0</v>
      </c>
      <c r="BB481" s="3166">
        <f t="shared" si="300"/>
        <v>0</v>
      </c>
      <c r="BC481" s="3166">
        <f t="shared" si="301"/>
        <v>0</v>
      </c>
      <c r="BD481" s="3166">
        <f t="shared" si="302"/>
        <v>0</v>
      </c>
      <c r="BE481" s="3166">
        <f t="shared" si="303"/>
        <v>0</v>
      </c>
      <c r="BF481" s="3166">
        <f t="shared" si="304"/>
        <v>0</v>
      </c>
      <c r="BG481" s="3166">
        <f t="shared" si="305"/>
        <v>0</v>
      </c>
      <c r="BH481" s="3166">
        <f t="shared" si="306"/>
        <v>0</v>
      </c>
      <c r="BI481" s="3166">
        <f t="shared" si="307"/>
        <v>0</v>
      </c>
      <c r="BJ481" s="3166">
        <f t="shared" si="308"/>
        <v>0</v>
      </c>
      <c r="BK481" s="3166">
        <f t="shared" si="309"/>
        <v>0</v>
      </c>
      <c r="BL481" s="3166">
        <f t="shared" si="310"/>
        <v>0</v>
      </c>
      <c r="BM481" s="3166">
        <f t="shared" si="311"/>
        <v>0</v>
      </c>
      <c r="BN481" s="3166">
        <f t="shared" si="312"/>
        <v>0</v>
      </c>
      <c r="BO481" s="3166">
        <f t="shared" si="313"/>
        <v>0</v>
      </c>
      <c r="BP481" s="3166">
        <f t="shared" si="314"/>
        <v>0</v>
      </c>
      <c r="BQ481" s="3166">
        <f t="shared" si="315"/>
        <v>0</v>
      </c>
      <c r="BR481" s="3166">
        <f t="shared" si="316"/>
        <v>0</v>
      </c>
      <c r="BS481" s="3166">
        <f t="shared" si="317"/>
        <v>0</v>
      </c>
      <c r="BT481" s="3240">
        <f t="shared" si="318"/>
        <v>0</v>
      </c>
    </row>
    <row r="482" spans="1:72">
      <c r="A482" s="3163"/>
      <c r="B482" s="3173"/>
      <c r="C482" s="3171"/>
      <c r="D482" s="3172"/>
      <c r="E482" s="3166">
        <f t="shared" si="319"/>
        <v>0</v>
      </c>
      <c r="F482" s="3167"/>
      <c r="G482" s="3168">
        <f t="shared" si="294"/>
        <v>0</v>
      </c>
      <c r="H482" s="3169">
        <f t="shared" si="295"/>
        <v>0</v>
      </c>
      <c r="I482" s="3175"/>
      <c r="J482" s="3187"/>
      <c r="K482" s="3175"/>
      <c r="L482" s="3187"/>
      <c r="M482" s="3188"/>
      <c r="N482" s="3187"/>
      <c r="O482" s="3187"/>
      <c r="P482" s="3187"/>
      <c r="Q482" s="3187"/>
      <c r="R482" s="3187"/>
      <c r="S482" s="3187"/>
      <c r="T482" s="3187"/>
      <c r="U482" s="3187"/>
      <c r="V482" s="3187"/>
      <c r="W482" s="3187"/>
      <c r="X482" s="3187"/>
      <c r="Y482" s="3187"/>
      <c r="Z482" s="3187"/>
      <c r="AA482" s="3187"/>
      <c r="AB482" s="3187"/>
      <c r="AC482" s="3166">
        <f t="shared" si="296"/>
        <v>0</v>
      </c>
      <c r="AD482" s="3188"/>
      <c r="AE482" s="3198"/>
      <c r="AF482" s="3199"/>
      <c r="AG482" s="3198"/>
      <c r="AH482" s="3198"/>
      <c r="AI482" s="3198"/>
      <c r="AJ482" s="3198"/>
      <c r="AK482" s="3198"/>
      <c r="AL482" s="3188"/>
      <c r="AM482" s="3198"/>
      <c r="AN482" s="3188"/>
      <c r="AO482" s="3198"/>
      <c r="AP482" s="3198"/>
      <c r="AQ482" s="3198"/>
      <c r="AR482" s="3198"/>
      <c r="AS482" s="3198"/>
      <c r="AT482" s="3218"/>
      <c r="AU482" s="3219"/>
      <c r="AV482" s="488">
        <f t="shared" si="320"/>
        <v>0</v>
      </c>
      <c r="AW482" s="488">
        <f t="shared" si="321"/>
        <v>0</v>
      </c>
      <c r="AX482" s="488">
        <f t="shared" si="322"/>
        <v>0</v>
      </c>
      <c r="AY482" s="3235">
        <f t="shared" si="297"/>
        <v>0</v>
      </c>
      <c r="AZ482" s="3166">
        <f t="shared" si="298"/>
        <v>0</v>
      </c>
      <c r="BA482" s="3166">
        <f t="shared" si="299"/>
        <v>0</v>
      </c>
      <c r="BB482" s="3166">
        <f t="shared" si="300"/>
        <v>0</v>
      </c>
      <c r="BC482" s="3166">
        <f t="shared" si="301"/>
        <v>0</v>
      </c>
      <c r="BD482" s="3166">
        <f t="shared" si="302"/>
        <v>0</v>
      </c>
      <c r="BE482" s="3166">
        <f t="shared" si="303"/>
        <v>0</v>
      </c>
      <c r="BF482" s="3166">
        <f t="shared" si="304"/>
        <v>0</v>
      </c>
      <c r="BG482" s="3166">
        <f t="shared" si="305"/>
        <v>0</v>
      </c>
      <c r="BH482" s="3166">
        <f t="shared" si="306"/>
        <v>0</v>
      </c>
      <c r="BI482" s="3166">
        <f t="shared" si="307"/>
        <v>0</v>
      </c>
      <c r="BJ482" s="3166">
        <f t="shared" si="308"/>
        <v>0</v>
      </c>
      <c r="BK482" s="3166">
        <f t="shared" si="309"/>
        <v>0</v>
      </c>
      <c r="BL482" s="3166">
        <f t="shared" si="310"/>
        <v>0</v>
      </c>
      <c r="BM482" s="3166">
        <f t="shared" si="311"/>
        <v>0</v>
      </c>
      <c r="BN482" s="3166">
        <f t="shared" si="312"/>
        <v>0</v>
      </c>
      <c r="BO482" s="3166">
        <f t="shared" si="313"/>
        <v>0</v>
      </c>
      <c r="BP482" s="3166">
        <f t="shared" si="314"/>
        <v>0</v>
      </c>
      <c r="BQ482" s="3166">
        <f t="shared" si="315"/>
        <v>0</v>
      </c>
      <c r="BR482" s="3166">
        <f t="shared" si="316"/>
        <v>0</v>
      </c>
      <c r="BS482" s="3166">
        <f t="shared" si="317"/>
        <v>0</v>
      </c>
      <c r="BT482" s="3240">
        <f t="shared" si="318"/>
        <v>0</v>
      </c>
    </row>
    <row r="483" spans="1:72">
      <c r="A483" s="3163"/>
      <c r="B483" s="3173"/>
      <c r="C483" s="3171"/>
      <c r="D483" s="3172"/>
      <c r="E483" s="3166">
        <f t="shared" si="319"/>
        <v>0</v>
      </c>
      <c r="F483" s="3167"/>
      <c r="G483" s="3168">
        <f t="shared" si="294"/>
        <v>0</v>
      </c>
      <c r="H483" s="3169">
        <f t="shared" si="295"/>
        <v>0</v>
      </c>
      <c r="I483" s="3175"/>
      <c r="J483" s="3187"/>
      <c r="K483" s="3175"/>
      <c r="L483" s="3187"/>
      <c r="M483" s="3188"/>
      <c r="N483" s="3187"/>
      <c r="O483" s="3187"/>
      <c r="P483" s="3187"/>
      <c r="Q483" s="3187"/>
      <c r="R483" s="3187"/>
      <c r="S483" s="3187"/>
      <c r="T483" s="3187"/>
      <c r="U483" s="3187"/>
      <c r="V483" s="3187"/>
      <c r="W483" s="3187"/>
      <c r="X483" s="3187"/>
      <c r="Y483" s="3187"/>
      <c r="Z483" s="3187"/>
      <c r="AA483" s="3187"/>
      <c r="AB483" s="3187"/>
      <c r="AC483" s="3166">
        <f t="shared" si="296"/>
        <v>0</v>
      </c>
      <c r="AD483" s="3198"/>
      <c r="AE483" s="3198"/>
      <c r="AF483" s="3199"/>
      <c r="AG483" s="3198"/>
      <c r="AH483" s="3198"/>
      <c r="AI483" s="3198"/>
      <c r="AJ483" s="3198"/>
      <c r="AK483" s="3198"/>
      <c r="AL483" s="3188"/>
      <c r="AM483" s="3198"/>
      <c r="AN483" s="3188"/>
      <c r="AO483" s="3198"/>
      <c r="AP483" s="3198"/>
      <c r="AQ483" s="3198"/>
      <c r="AR483" s="3198"/>
      <c r="AS483" s="3198"/>
      <c r="AT483" s="3218"/>
      <c r="AU483" s="3219"/>
      <c r="AV483" s="488">
        <f t="shared" si="320"/>
        <v>0</v>
      </c>
      <c r="AW483" s="488">
        <f t="shared" si="321"/>
        <v>0</v>
      </c>
      <c r="AX483" s="488">
        <f t="shared" si="322"/>
        <v>0</v>
      </c>
      <c r="AY483" s="3235">
        <f t="shared" si="297"/>
        <v>0</v>
      </c>
      <c r="AZ483" s="3166">
        <f t="shared" si="298"/>
        <v>0</v>
      </c>
      <c r="BA483" s="3166">
        <f t="shared" si="299"/>
        <v>0</v>
      </c>
      <c r="BB483" s="3166">
        <f t="shared" si="300"/>
        <v>0</v>
      </c>
      <c r="BC483" s="3166">
        <f t="shared" si="301"/>
        <v>0</v>
      </c>
      <c r="BD483" s="3166">
        <f t="shared" si="302"/>
        <v>0</v>
      </c>
      <c r="BE483" s="3166">
        <f t="shared" si="303"/>
        <v>0</v>
      </c>
      <c r="BF483" s="3166">
        <f t="shared" si="304"/>
        <v>0</v>
      </c>
      <c r="BG483" s="3166">
        <f t="shared" si="305"/>
        <v>0</v>
      </c>
      <c r="BH483" s="3166">
        <f t="shared" si="306"/>
        <v>0</v>
      </c>
      <c r="BI483" s="3166">
        <f t="shared" si="307"/>
        <v>0</v>
      </c>
      <c r="BJ483" s="3166">
        <f t="shared" si="308"/>
        <v>0</v>
      </c>
      <c r="BK483" s="3166">
        <f t="shared" si="309"/>
        <v>0</v>
      </c>
      <c r="BL483" s="3166">
        <f t="shared" si="310"/>
        <v>0</v>
      </c>
      <c r="BM483" s="3166">
        <f t="shared" si="311"/>
        <v>0</v>
      </c>
      <c r="BN483" s="3166">
        <f t="shared" si="312"/>
        <v>0</v>
      </c>
      <c r="BO483" s="3166">
        <f t="shared" si="313"/>
        <v>0</v>
      </c>
      <c r="BP483" s="3166">
        <f t="shared" si="314"/>
        <v>0</v>
      </c>
      <c r="BQ483" s="3166">
        <f t="shared" si="315"/>
        <v>0</v>
      </c>
      <c r="BR483" s="3166">
        <f t="shared" si="316"/>
        <v>0</v>
      </c>
      <c r="BS483" s="3166">
        <f t="shared" si="317"/>
        <v>0</v>
      </c>
      <c r="BT483" s="3240">
        <f t="shared" si="318"/>
        <v>0</v>
      </c>
    </row>
    <row r="484" spans="1:72">
      <c r="A484" s="3163"/>
      <c r="B484" s="3173"/>
      <c r="C484" s="3171"/>
      <c r="D484" s="3172"/>
      <c r="E484" s="3166">
        <f t="shared" si="319"/>
        <v>0</v>
      </c>
      <c r="F484" s="3167"/>
      <c r="G484" s="3168">
        <f t="shared" si="294"/>
        <v>0</v>
      </c>
      <c r="H484" s="3169">
        <f t="shared" si="295"/>
        <v>0</v>
      </c>
      <c r="I484" s="3175"/>
      <c r="J484" s="3187"/>
      <c r="K484" s="3175"/>
      <c r="L484" s="3187"/>
      <c r="M484" s="3187"/>
      <c r="N484" s="3187"/>
      <c r="O484" s="3188"/>
      <c r="P484" s="3187"/>
      <c r="Q484" s="3187"/>
      <c r="R484" s="3187"/>
      <c r="S484" s="3187"/>
      <c r="T484" s="3187"/>
      <c r="U484" s="3187"/>
      <c r="V484" s="3187"/>
      <c r="W484" s="3187"/>
      <c r="X484" s="3187"/>
      <c r="Y484" s="3187"/>
      <c r="Z484" s="3187"/>
      <c r="AA484" s="3187"/>
      <c r="AB484" s="3187"/>
      <c r="AC484" s="3166">
        <f t="shared" si="296"/>
        <v>0</v>
      </c>
      <c r="AD484" s="3198"/>
      <c r="AE484" s="3198"/>
      <c r="AF484" s="3199"/>
      <c r="AG484" s="3198"/>
      <c r="AH484" s="3198"/>
      <c r="AI484" s="3198"/>
      <c r="AJ484" s="3198"/>
      <c r="AK484" s="3198"/>
      <c r="AL484" s="3198"/>
      <c r="AM484" s="3198"/>
      <c r="AN484" s="3188"/>
      <c r="AO484" s="3198"/>
      <c r="AP484" s="3198"/>
      <c r="AQ484" s="3198"/>
      <c r="AR484" s="3198"/>
      <c r="AS484" s="3198"/>
      <c r="AT484" s="3218"/>
      <c r="AU484" s="3219"/>
      <c r="AV484" s="488">
        <f t="shared" si="320"/>
        <v>0</v>
      </c>
      <c r="AW484" s="488">
        <f t="shared" si="321"/>
        <v>0</v>
      </c>
      <c r="AX484" s="488">
        <f t="shared" si="322"/>
        <v>0</v>
      </c>
      <c r="AY484" s="3235">
        <f t="shared" si="297"/>
        <v>0</v>
      </c>
      <c r="AZ484" s="3166">
        <f t="shared" si="298"/>
        <v>0</v>
      </c>
      <c r="BA484" s="3166">
        <f t="shared" si="299"/>
        <v>0</v>
      </c>
      <c r="BB484" s="3166">
        <f t="shared" si="300"/>
        <v>0</v>
      </c>
      <c r="BC484" s="3166">
        <f t="shared" si="301"/>
        <v>0</v>
      </c>
      <c r="BD484" s="3166">
        <f t="shared" si="302"/>
        <v>0</v>
      </c>
      <c r="BE484" s="3166">
        <f t="shared" si="303"/>
        <v>0</v>
      </c>
      <c r="BF484" s="3166">
        <f t="shared" si="304"/>
        <v>0</v>
      </c>
      <c r="BG484" s="3166">
        <f t="shared" si="305"/>
        <v>0</v>
      </c>
      <c r="BH484" s="3166">
        <f t="shared" si="306"/>
        <v>0</v>
      </c>
      <c r="BI484" s="3166">
        <f t="shared" si="307"/>
        <v>0</v>
      </c>
      <c r="BJ484" s="3166">
        <f t="shared" si="308"/>
        <v>0</v>
      </c>
      <c r="BK484" s="3166">
        <f t="shared" si="309"/>
        <v>0</v>
      </c>
      <c r="BL484" s="3166">
        <f t="shared" si="310"/>
        <v>0</v>
      </c>
      <c r="BM484" s="3166">
        <f t="shared" si="311"/>
        <v>0</v>
      </c>
      <c r="BN484" s="3166">
        <f t="shared" si="312"/>
        <v>0</v>
      </c>
      <c r="BO484" s="3166">
        <f t="shared" si="313"/>
        <v>0</v>
      </c>
      <c r="BP484" s="3166">
        <f t="shared" si="314"/>
        <v>0</v>
      </c>
      <c r="BQ484" s="3166">
        <f t="shared" si="315"/>
        <v>0</v>
      </c>
      <c r="BR484" s="3166">
        <f t="shared" si="316"/>
        <v>0</v>
      </c>
      <c r="BS484" s="3166">
        <f t="shared" si="317"/>
        <v>0</v>
      </c>
      <c r="BT484" s="3240">
        <f t="shared" si="318"/>
        <v>0</v>
      </c>
    </row>
    <row r="485" spans="1:72">
      <c r="A485" s="3163"/>
      <c r="B485" s="3173"/>
      <c r="C485" s="3171"/>
      <c r="D485" s="3172"/>
      <c r="E485" s="3166">
        <f t="shared" si="319"/>
        <v>0</v>
      </c>
      <c r="F485" s="3167"/>
      <c r="G485" s="3168">
        <f t="shared" si="294"/>
        <v>0</v>
      </c>
      <c r="H485" s="3169">
        <f t="shared" si="295"/>
        <v>0</v>
      </c>
      <c r="I485" s="3175"/>
      <c r="J485" s="3187"/>
      <c r="K485" s="3175"/>
      <c r="L485" s="3187"/>
      <c r="M485" s="3187"/>
      <c r="N485" s="3187"/>
      <c r="O485" s="3187"/>
      <c r="P485" s="3187"/>
      <c r="Q485" s="3187"/>
      <c r="R485" s="3187"/>
      <c r="S485" s="3187"/>
      <c r="T485" s="3187"/>
      <c r="U485" s="3187"/>
      <c r="V485" s="3187"/>
      <c r="W485" s="3187"/>
      <c r="X485" s="3187"/>
      <c r="Y485" s="3187"/>
      <c r="Z485" s="3187"/>
      <c r="AA485" s="3187"/>
      <c r="AB485" s="3187"/>
      <c r="AC485" s="3166">
        <f t="shared" si="296"/>
        <v>0</v>
      </c>
      <c r="AD485" s="3198"/>
      <c r="AE485" s="3198"/>
      <c r="AF485" s="3199"/>
      <c r="AG485" s="3198"/>
      <c r="AH485" s="3198"/>
      <c r="AI485" s="3198"/>
      <c r="AJ485" s="3198"/>
      <c r="AK485" s="3198"/>
      <c r="AL485" s="3198"/>
      <c r="AM485" s="3198"/>
      <c r="AN485" s="3198"/>
      <c r="AO485" s="3198"/>
      <c r="AP485" s="3198"/>
      <c r="AQ485" s="3198"/>
      <c r="AR485" s="3198"/>
      <c r="AS485" s="3198"/>
      <c r="AT485" s="3218"/>
      <c r="AU485" s="3219"/>
      <c r="AV485" s="488">
        <f t="shared" si="320"/>
        <v>0</v>
      </c>
      <c r="AW485" s="488">
        <f t="shared" si="321"/>
        <v>0</v>
      </c>
      <c r="AX485" s="488">
        <f t="shared" si="322"/>
        <v>0</v>
      </c>
      <c r="AY485" s="3235">
        <f t="shared" si="297"/>
        <v>0</v>
      </c>
      <c r="AZ485" s="3166">
        <f t="shared" si="298"/>
        <v>0</v>
      </c>
      <c r="BA485" s="3166">
        <f t="shared" si="299"/>
        <v>0</v>
      </c>
      <c r="BB485" s="3166">
        <f t="shared" si="300"/>
        <v>0</v>
      </c>
      <c r="BC485" s="3166">
        <f t="shared" si="301"/>
        <v>0</v>
      </c>
      <c r="BD485" s="3166">
        <f t="shared" si="302"/>
        <v>0</v>
      </c>
      <c r="BE485" s="3166">
        <f t="shared" si="303"/>
        <v>0</v>
      </c>
      <c r="BF485" s="3166">
        <f t="shared" si="304"/>
        <v>0</v>
      </c>
      <c r="BG485" s="3166">
        <f t="shared" si="305"/>
        <v>0</v>
      </c>
      <c r="BH485" s="3166">
        <f t="shared" si="306"/>
        <v>0</v>
      </c>
      <c r="BI485" s="3166">
        <f t="shared" si="307"/>
        <v>0</v>
      </c>
      <c r="BJ485" s="3166">
        <f t="shared" si="308"/>
        <v>0</v>
      </c>
      <c r="BK485" s="3166">
        <f t="shared" si="309"/>
        <v>0</v>
      </c>
      <c r="BL485" s="3166">
        <f t="shared" si="310"/>
        <v>0</v>
      </c>
      <c r="BM485" s="3166">
        <f t="shared" si="311"/>
        <v>0</v>
      </c>
      <c r="BN485" s="3166">
        <f t="shared" si="312"/>
        <v>0</v>
      </c>
      <c r="BO485" s="3166">
        <f t="shared" si="313"/>
        <v>0</v>
      </c>
      <c r="BP485" s="3166">
        <f t="shared" si="314"/>
        <v>0</v>
      </c>
      <c r="BQ485" s="3166">
        <f t="shared" si="315"/>
        <v>0</v>
      </c>
      <c r="BR485" s="3166">
        <f t="shared" si="316"/>
        <v>0</v>
      </c>
      <c r="BS485" s="3166">
        <f t="shared" si="317"/>
        <v>0</v>
      </c>
      <c r="BT485" s="3240">
        <f t="shared" si="318"/>
        <v>0</v>
      </c>
    </row>
    <row r="486" spans="1:72">
      <c r="A486" s="3163"/>
      <c r="B486" s="3173"/>
      <c r="C486" s="3171"/>
      <c r="D486" s="3172"/>
      <c r="E486" s="3166">
        <f t="shared" si="319"/>
        <v>0</v>
      </c>
      <c r="F486" s="3167"/>
      <c r="G486" s="3168">
        <f t="shared" si="294"/>
        <v>0</v>
      </c>
      <c r="H486" s="3169">
        <f t="shared" si="295"/>
        <v>0</v>
      </c>
      <c r="I486" s="3175"/>
      <c r="J486" s="3187"/>
      <c r="K486" s="3175"/>
      <c r="L486" s="3187"/>
      <c r="M486" s="3187"/>
      <c r="N486" s="3187"/>
      <c r="O486" s="3187"/>
      <c r="P486" s="3187"/>
      <c r="Q486" s="3187"/>
      <c r="R486" s="3187"/>
      <c r="S486" s="3187"/>
      <c r="T486" s="3187"/>
      <c r="U486" s="3187"/>
      <c r="V486" s="3187"/>
      <c r="W486" s="3187"/>
      <c r="X486" s="3187"/>
      <c r="Y486" s="3187"/>
      <c r="Z486" s="3187"/>
      <c r="AA486" s="3187"/>
      <c r="AB486" s="3187"/>
      <c r="AC486" s="3166">
        <f t="shared" si="296"/>
        <v>0</v>
      </c>
      <c r="AD486" s="3198"/>
      <c r="AE486" s="3198"/>
      <c r="AF486" s="3199"/>
      <c r="AG486" s="3198"/>
      <c r="AH486" s="3198"/>
      <c r="AI486" s="3198"/>
      <c r="AJ486" s="3198"/>
      <c r="AK486" s="3198"/>
      <c r="AL486" s="3198"/>
      <c r="AM486" s="3198"/>
      <c r="AN486" s="3198"/>
      <c r="AO486" s="3198"/>
      <c r="AP486" s="3198"/>
      <c r="AQ486" s="3198"/>
      <c r="AR486" s="3198"/>
      <c r="AS486" s="3198"/>
      <c r="AT486" s="3218"/>
      <c r="AU486" s="3219"/>
      <c r="AV486" s="488">
        <f t="shared" si="320"/>
        <v>0</v>
      </c>
      <c r="AW486" s="488">
        <f t="shared" si="321"/>
        <v>0</v>
      </c>
      <c r="AX486" s="488">
        <f t="shared" si="322"/>
        <v>0</v>
      </c>
      <c r="AY486" s="3235">
        <f t="shared" si="297"/>
        <v>0</v>
      </c>
      <c r="AZ486" s="3166">
        <f t="shared" si="298"/>
        <v>0</v>
      </c>
      <c r="BA486" s="3166">
        <f t="shared" si="299"/>
        <v>0</v>
      </c>
      <c r="BB486" s="3166">
        <f t="shared" si="300"/>
        <v>0</v>
      </c>
      <c r="BC486" s="3166">
        <f t="shared" si="301"/>
        <v>0</v>
      </c>
      <c r="BD486" s="3166">
        <f t="shared" si="302"/>
        <v>0</v>
      </c>
      <c r="BE486" s="3166">
        <f t="shared" si="303"/>
        <v>0</v>
      </c>
      <c r="BF486" s="3166">
        <f t="shared" si="304"/>
        <v>0</v>
      </c>
      <c r="BG486" s="3166">
        <f t="shared" si="305"/>
        <v>0</v>
      </c>
      <c r="BH486" s="3166">
        <f t="shared" si="306"/>
        <v>0</v>
      </c>
      <c r="BI486" s="3166">
        <f t="shared" si="307"/>
        <v>0</v>
      </c>
      <c r="BJ486" s="3166">
        <f t="shared" si="308"/>
        <v>0</v>
      </c>
      <c r="BK486" s="3166">
        <f t="shared" si="309"/>
        <v>0</v>
      </c>
      <c r="BL486" s="3166">
        <f t="shared" si="310"/>
        <v>0</v>
      </c>
      <c r="BM486" s="3166">
        <f t="shared" si="311"/>
        <v>0</v>
      </c>
      <c r="BN486" s="3166">
        <f t="shared" si="312"/>
        <v>0</v>
      </c>
      <c r="BO486" s="3166">
        <f t="shared" si="313"/>
        <v>0</v>
      </c>
      <c r="BP486" s="3166">
        <f t="shared" si="314"/>
        <v>0</v>
      </c>
      <c r="BQ486" s="3166">
        <f t="shared" si="315"/>
        <v>0</v>
      </c>
      <c r="BR486" s="3166">
        <f t="shared" si="316"/>
        <v>0</v>
      </c>
      <c r="BS486" s="3166">
        <f t="shared" si="317"/>
        <v>0</v>
      </c>
      <c r="BT486" s="3240">
        <f t="shared" si="318"/>
        <v>0</v>
      </c>
    </row>
    <row r="487" spans="1:72">
      <c r="A487" s="3163"/>
      <c r="B487" s="3173"/>
      <c r="C487" s="3171"/>
      <c r="D487" s="3172"/>
      <c r="E487" s="3166">
        <f t="shared" si="319"/>
        <v>0</v>
      </c>
      <c r="F487" s="3167"/>
      <c r="G487" s="3168">
        <f t="shared" si="294"/>
        <v>0</v>
      </c>
      <c r="H487" s="3169">
        <f t="shared" si="295"/>
        <v>0</v>
      </c>
      <c r="I487" s="3175"/>
      <c r="J487" s="3187"/>
      <c r="K487" s="3175"/>
      <c r="L487" s="3187"/>
      <c r="M487" s="3187"/>
      <c r="N487" s="3187"/>
      <c r="O487" s="3187"/>
      <c r="P487" s="3187"/>
      <c r="Q487" s="3187"/>
      <c r="R487" s="3187"/>
      <c r="S487" s="3187"/>
      <c r="T487" s="3187"/>
      <c r="U487" s="3187"/>
      <c r="V487" s="3187"/>
      <c r="W487" s="3187"/>
      <c r="X487" s="3187"/>
      <c r="Y487" s="3187"/>
      <c r="Z487" s="3187"/>
      <c r="AA487" s="3187"/>
      <c r="AB487" s="3187"/>
      <c r="AC487" s="3166">
        <f t="shared" si="296"/>
        <v>0</v>
      </c>
      <c r="AD487" s="3198"/>
      <c r="AE487" s="3198"/>
      <c r="AF487" s="3199"/>
      <c r="AG487" s="3198"/>
      <c r="AH487" s="3198"/>
      <c r="AI487" s="3198"/>
      <c r="AJ487" s="3198"/>
      <c r="AK487" s="3198"/>
      <c r="AL487" s="3198"/>
      <c r="AM487" s="3198"/>
      <c r="AN487" s="3198"/>
      <c r="AO487" s="3198"/>
      <c r="AP487" s="3198"/>
      <c r="AQ487" s="3198"/>
      <c r="AR487" s="3198"/>
      <c r="AS487" s="3198"/>
      <c r="AT487" s="3218"/>
      <c r="AU487" s="3219"/>
      <c r="AV487" s="488">
        <f t="shared" si="320"/>
        <v>0</v>
      </c>
      <c r="AW487" s="488">
        <f t="shared" si="321"/>
        <v>0</v>
      </c>
      <c r="AX487" s="488">
        <f t="shared" si="322"/>
        <v>0</v>
      </c>
      <c r="AY487" s="3235">
        <f t="shared" si="297"/>
        <v>0</v>
      </c>
      <c r="AZ487" s="3166">
        <f t="shared" si="298"/>
        <v>0</v>
      </c>
      <c r="BA487" s="3166">
        <f t="shared" si="299"/>
        <v>0</v>
      </c>
      <c r="BB487" s="3166">
        <f t="shared" si="300"/>
        <v>0</v>
      </c>
      <c r="BC487" s="3166">
        <f t="shared" si="301"/>
        <v>0</v>
      </c>
      <c r="BD487" s="3166">
        <f t="shared" si="302"/>
        <v>0</v>
      </c>
      <c r="BE487" s="3166">
        <f t="shared" si="303"/>
        <v>0</v>
      </c>
      <c r="BF487" s="3166">
        <f t="shared" si="304"/>
        <v>0</v>
      </c>
      <c r="BG487" s="3166">
        <f t="shared" si="305"/>
        <v>0</v>
      </c>
      <c r="BH487" s="3166">
        <f t="shared" si="306"/>
        <v>0</v>
      </c>
      <c r="BI487" s="3166">
        <f t="shared" si="307"/>
        <v>0</v>
      </c>
      <c r="BJ487" s="3166">
        <f t="shared" si="308"/>
        <v>0</v>
      </c>
      <c r="BK487" s="3166">
        <f t="shared" si="309"/>
        <v>0</v>
      </c>
      <c r="BL487" s="3166">
        <f t="shared" si="310"/>
        <v>0</v>
      </c>
      <c r="BM487" s="3166">
        <f t="shared" si="311"/>
        <v>0</v>
      </c>
      <c r="BN487" s="3166">
        <f t="shared" si="312"/>
        <v>0</v>
      </c>
      <c r="BO487" s="3166">
        <f t="shared" si="313"/>
        <v>0</v>
      </c>
      <c r="BP487" s="3166">
        <f t="shared" si="314"/>
        <v>0</v>
      </c>
      <c r="BQ487" s="3166">
        <f t="shared" si="315"/>
        <v>0</v>
      </c>
      <c r="BR487" s="3166">
        <f t="shared" si="316"/>
        <v>0</v>
      </c>
      <c r="BS487" s="3166">
        <f t="shared" si="317"/>
        <v>0</v>
      </c>
      <c r="BT487" s="3240">
        <f t="shared" si="318"/>
        <v>0</v>
      </c>
    </row>
    <row r="488" spans="1:72">
      <c r="A488" s="3163"/>
      <c r="B488" s="3173"/>
      <c r="C488" s="3171"/>
      <c r="D488" s="3172"/>
      <c r="E488" s="3166">
        <f t="shared" si="319"/>
        <v>0</v>
      </c>
      <c r="F488" s="3167"/>
      <c r="G488" s="3168">
        <f t="shared" si="294"/>
        <v>0</v>
      </c>
      <c r="H488" s="3169">
        <f t="shared" si="295"/>
        <v>0</v>
      </c>
      <c r="I488" s="3175"/>
      <c r="J488" s="3187"/>
      <c r="K488" s="3175"/>
      <c r="L488" s="3187"/>
      <c r="M488" s="3187"/>
      <c r="N488" s="3187"/>
      <c r="O488" s="3187"/>
      <c r="P488" s="3187"/>
      <c r="Q488" s="3187"/>
      <c r="R488" s="3187"/>
      <c r="S488" s="3187"/>
      <c r="T488" s="3187"/>
      <c r="U488" s="3187"/>
      <c r="V488" s="3187"/>
      <c r="W488" s="3187"/>
      <c r="X488" s="3187"/>
      <c r="Y488" s="3187"/>
      <c r="Z488" s="3187"/>
      <c r="AA488" s="3187"/>
      <c r="AB488" s="3187"/>
      <c r="AC488" s="3166">
        <f t="shared" si="296"/>
        <v>0</v>
      </c>
      <c r="AD488" s="3198"/>
      <c r="AE488" s="3198"/>
      <c r="AF488" s="3175"/>
      <c r="AG488" s="3198"/>
      <c r="AH488" s="3198"/>
      <c r="AI488" s="3198"/>
      <c r="AJ488" s="3198"/>
      <c r="AK488" s="3198"/>
      <c r="AL488" s="3198"/>
      <c r="AM488" s="3198"/>
      <c r="AN488" s="3198"/>
      <c r="AO488" s="3198"/>
      <c r="AP488" s="3198"/>
      <c r="AQ488" s="3198"/>
      <c r="AR488" s="3198"/>
      <c r="AS488" s="3198"/>
      <c r="AT488" s="3218"/>
      <c r="AU488" s="3219"/>
      <c r="AV488" s="488">
        <f t="shared" si="320"/>
        <v>0</v>
      </c>
      <c r="AW488" s="488">
        <f t="shared" si="321"/>
        <v>0</v>
      </c>
      <c r="AX488" s="488">
        <f t="shared" si="322"/>
        <v>0</v>
      </c>
      <c r="AY488" s="3235">
        <f t="shared" si="297"/>
        <v>0</v>
      </c>
      <c r="AZ488" s="3166">
        <f t="shared" si="298"/>
        <v>0</v>
      </c>
      <c r="BA488" s="3166">
        <f t="shared" si="299"/>
        <v>0</v>
      </c>
      <c r="BB488" s="3166">
        <f t="shared" si="300"/>
        <v>0</v>
      </c>
      <c r="BC488" s="3166">
        <f t="shared" si="301"/>
        <v>0</v>
      </c>
      <c r="BD488" s="3166">
        <f t="shared" si="302"/>
        <v>0</v>
      </c>
      <c r="BE488" s="3166">
        <f t="shared" si="303"/>
        <v>0</v>
      </c>
      <c r="BF488" s="3166">
        <f t="shared" si="304"/>
        <v>0</v>
      </c>
      <c r="BG488" s="3166">
        <f t="shared" si="305"/>
        <v>0</v>
      </c>
      <c r="BH488" s="3166">
        <f t="shared" si="306"/>
        <v>0</v>
      </c>
      <c r="BI488" s="3166">
        <f t="shared" si="307"/>
        <v>0</v>
      </c>
      <c r="BJ488" s="3166">
        <f t="shared" si="308"/>
        <v>0</v>
      </c>
      <c r="BK488" s="3166">
        <f t="shared" si="309"/>
        <v>0</v>
      </c>
      <c r="BL488" s="3166">
        <f t="shared" si="310"/>
        <v>0</v>
      </c>
      <c r="BM488" s="3166">
        <f t="shared" si="311"/>
        <v>0</v>
      </c>
      <c r="BN488" s="3166">
        <f t="shared" si="312"/>
        <v>0</v>
      </c>
      <c r="BO488" s="3166">
        <f t="shared" si="313"/>
        <v>0</v>
      </c>
      <c r="BP488" s="3166">
        <f t="shared" si="314"/>
        <v>0</v>
      </c>
      <c r="BQ488" s="3166">
        <f t="shared" si="315"/>
        <v>0</v>
      </c>
      <c r="BR488" s="3166">
        <f t="shared" si="316"/>
        <v>0</v>
      </c>
      <c r="BS488" s="3166">
        <f t="shared" si="317"/>
        <v>0</v>
      </c>
      <c r="BT488" s="3240">
        <f t="shared" si="318"/>
        <v>0</v>
      </c>
    </row>
    <row r="489" spans="1:72">
      <c r="A489" s="3163"/>
      <c r="B489" s="3174"/>
      <c r="C489" s="3175"/>
      <c r="D489" s="3172"/>
      <c r="E489" s="3166">
        <f t="shared" si="319"/>
        <v>0</v>
      </c>
      <c r="F489" s="3167"/>
      <c r="G489" s="3168">
        <f t="shared" si="294"/>
        <v>0</v>
      </c>
      <c r="H489" s="3169">
        <f t="shared" si="295"/>
        <v>0</v>
      </c>
      <c r="I489" s="3175"/>
      <c r="J489" s="3187"/>
      <c r="K489" s="3175"/>
      <c r="L489" s="3187"/>
      <c r="M489" s="3187"/>
      <c r="N489" s="3187"/>
      <c r="O489" s="3187"/>
      <c r="P489" s="3187"/>
      <c r="Q489" s="3187"/>
      <c r="R489" s="3187"/>
      <c r="S489" s="3187"/>
      <c r="T489" s="3187"/>
      <c r="U489" s="3187"/>
      <c r="V489" s="3187"/>
      <c r="W489" s="3187"/>
      <c r="X489" s="3187"/>
      <c r="Y489" s="3187"/>
      <c r="Z489" s="3187"/>
      <c r="AA489" s="3187"/>
      <c r="AB489" s="3187"/>
      <c r="AC489" s="3166">
        <f t="shared" si="296"/>
        <v>0</v>
      </c>
      <c r="AD489" s="3198"/>
      <c r="AE489" s="3198"/>
      <c r="AF489" s="3175"/>
      <c r="AG489" s="3198"/>
      <c r="AH489" s="3198"/>
      <c r="AI489" s="3198"/>
      <c r="AJ489" s="3198"/>
      <c r="AK489" s="3198"/>
      <c r="AL489" s="3198"/>
      <c r="AM489" s="3198"/>
      <c r="AN489" s="3198"/>
      <c r="AO489" s="3198"/>
      <c r="AP489" s="3198"/>
      <c r="AQ489" s="3198"/>
      <c r="AR489" s="3198"/>
      <c r="AS489" s="3198"/>
      <c r="AT489" s="3218"/>
      <c r="AU489" s="3219"/>
      <c r="AV489" s="488">
        <f t="shared" si="320"/>
        <v>0</v>
      </c>
      <c r="AW489" s="488">
        <f t="shared" si="321"/>
        <v>0</v>
      </c>
      <c r="AX489" s="488">
        <f t="shared" si="322"/>
        <v>0</v>
      </c>
      <c r="AY489" s="3235">
        <f t="shared" si="297"/>
        <v>0</v>
      </c>
      <c r="AZ489" s="3166">
        <f t="shared" si="298"/>
        <v>0</v>
      </c>
      <c r="BA489" s="3166">
        <f t="shared" si="299"/>
        <v>0</v>
      </c>
      <c r="BB489" s="3166">
        <f t="shared" si="300"/>
        <v>0</v>
      </c>
      <c r="BC489" s="3166">
        <f t="shared" si="301"/>
        <v>0</v>
      </c>
      <c r="BD489" s="3166">
        <f t="shared" si="302"/>
        <v>0</v>
      </c>
      <c r="BE489" s="3166">
        <f t="shared" si="303"/>
        <v>0</v>
      </c>
      <c r="BF489" s="3166">
        <f t="shared" si="304"/>
        <v>0</v>
      </c>
      <c r="BG489" s="3166">
        <f t="shared" si="305"/>
        <v>0</v>
      </c>
      <c r="BH489" s="3166">
        <f t="shared" si="306"/>
        <v>0</v>
      </c>
      <c r="BI489" s="3166">
        <f t="shared" si="307"/>
        <v>0</v>
      </c>
      <c r="BJ489" s="3166">
        <f t="shared" si="308"/>
        <v>0</v>
      </c>
      <c r="BK489" s="3166">
        <f t="shared" si="309"/>
        <v>0</v>
      </c>
      <c r="BL489" s="3166">
        <f t="shared" si="310"/>
        <v>0</v>
      </c>
      <c r="BM489" s="3166">
        <f t="shared" si="311"/>
        <v>0</v>
      </c>
      <c r="BN489" s="3166">
        <f t="shared" si="312"/>
        <v>0</v>
      </c>
      <c r="BO489" s="3166">
        <f t="shared" si="313"/>
        <v>0</v>
      </c>
      <c r="BP489" s="3166">
        <f t="shared" si="314"/>
        <v>0</v>
      </c>
      <c r="BQ489" s="3166">
        <f t="shared" si="315"/>
        <v>0</v>
      </c>
      <c r="BR489" s="3166">
        <f t="shared" si="316"/>
        <v>0</v>
      </c>
      <c r="BS489" s="3166">
        <f t="shared" si="317"/>
        <v>0</v>
      </c>
      <c r="BT489" s="3240">
        <f t="shared" si="318"/>
        <v>0</v>
      </c>
    </row>
    <row r="490" spans="1:72">
      <c r="A490" s="3163"/>
      <c r="B490" s="3173"/>
      <c r="C490" s="3171"/>
      <c r="D490" s="3172"/>
      <c r="E490" s="3166">
        <f t="shared" si="319"/>
        <v>0</v>
      </c>
      <c r="F490" s="3167"/>
      <c r="G490" s="3168">
        <f t="shared" si="294"/>
        <v>0</v>
      </c>
      <c r="H490" s="3169">
        <f t="shared" si="295"/>
        <v>0</v>
      </c>
      <c r="I490" s="3175"/>
      <c r="J490" s="3187"/>
      <c r="K490" s="3175"/>
      <c r="L490" s="3187"/>
      <c r="M490" s="3187"/>
      <c r="N490" s="3187"/>
      <c r="O490" s="3187"/>
      <c r="P490" s="3187"/>
      <c r="Q490" s="3187"/>
      <c r="R490" s="3187"/>
      <c r="S490" s="3187"/>
      <c r="T490" s="3187"/>
      <c r="U490" s="3187"/>
      <c r="V490" s="3187"/>
      <c r="W490" s="3187"/>
      <c r="X490" s="3187"/>
      <c r="Y490" s="3187"/>
      <c r="Z490" s="3187"/>
      <c r="AA490" s="3187"/>
      <c r="AB490" s="3187"/>
      <c r="AC490" s="3166">
        <f t="shared" si="296"/>
        <v>0</v>
      </c>
      <c r="AD490" s="3198"/>
      <c r="AE490" s="3198"/>
      <c r="AF490" s="3175"/>
      <c r="AG490" s="3198"/>
      <c r="AH490" s="3198"/>
      <c r="AI490" s="3198"/>
      <c r="AJ490" s="3198"/>
      <c r="AK490" s="3198"/>
      <c r="AL490" s="3198"/>
      <c r="AM490" s="3198"/>
      <c r="AN490" s="3198"/>
      <c r="AO490" s="3198"/>
      <c r="AP490" s="3198"/>
      <c r="AQ490" s="3198"/>
      <c r="AR490" s="3198"/>
      <c r="AS490" s="3198"/>
      <c r="AT490" s="3218"/>
      <c r="AU490" s="3219"/>
      <c r="AV490" s="488">
        <f t="shared" si="320"/>
        <v>0</v>
      </c>
      <c r="AW490" s="488">
        <f t="shared" si="321"/>
        <v>0</v>
      </c>
      <c r="AX490" s="488">
        <f t="shared" si="322"/>
        <v>0</v>
      </c>
      <c r="AY490" s="3235">
        <f t="shared" si="297"/>
        <v>0</v>
      </c>
      <c r="AZ490" s="3166">
        <f t="shared" si="298"/>
        <v>0</v>
      </c>
      <c r="BA490" s="3166">
        <f t="shared" si="299"/>
        <v>0</v>
      </c>
      <c r="BB490" s="3166">
        <f t="shared" si="300"/>
        <v>0</v>
      </c>
      <c r="BC490" s="3166">
        <f t="shared" si="301"/>
        <v>0</v>
      </c>
      <c r="BD490" s="3166">
        <f t="shared" si="302"/>
        <v>0</v>
      </c>
      <c r="BE490" s="3166">
        <f t="shared" si="303"/>
        <v>0</v>
      </c>
      <c r="BF490" s="3166">
        <f t="shared" si="304"/>
        <v>0</v>
      </c>
      <c r="BG490" s="3166">
        <f t="shared" si="305"/>
        <v>0</v>
      </c>
      <c r="BH490" s="3166">
        <f t="shared" si="306"/>
        <v>0</v>
      </c>
      <c r="BI490" s="3166">
        <f t="shared" si="307"/>
        <v>0</v>
      </c>
      <c r="BJ490" s="3166">
        <f t="shared" si="308"/>
        <v>0</v>
      </c>
      <c r="BK490" s="3166">
        <f t="shared" si="309"/>
        <v>0</v>
      </c>
      <c r="BL490" s="3166">
        <f t="shared" si="310"/>
        <v>0</v>
      </c>
      <c r="BM490" s="3166">
        <f t="shared" si="311"/>
        <v>0</v>
      </c>
      <c r="BN490" s="3166">
        <f t="shared" si="312"/>
        <v>0</v>
      </c>
      <c r="BO490" s="3166">
        <f t="shared" si="313"/>
        <v>0</v>
      </c>
      <c r="BP490" s="3166">
        <f t="shared" si="314"/>
        <v>0</v>
      </c>
      <c r="BQ490" s="3166">
        <f t="shared" si="315"/>
        <v>0</v>
      </c>
      <c r="BR490" s="3166">
        <f t="shared" si="316"/>
        <v>0</v>
      </c>
      <c r="BS490" s="3166">
        <f t="shared" si="317"/>
        <v>0</v>
      </c>
      <c r="BT490" s="3240">
        <f t="shared" si="318"/>
        <v>0</v>
      </c>
    </row>
    <row r="491" spans="1:72">
      <c r="A491" s="3163"/>
      <c r="B491" s="3173"/>
      <c r="C491" s="3171"/>
      <c r="D491" s="3172"/>
      <c r="E491" s="3166">
        <f t="shared" si="319"/>
        <v>0</v>
      </c>
      <c r="F491" s="3167"/>
      <c r="G491" s="3168">
        <f t="shared" si="294"/>
        <v>0</v>
      </c>
      <c r="H491" s="3169">
        <f t="shared" si="295"/>
        <v>0</v>
      </c>
      <c r="I491" s="3175"/>
      <c r="J491" s="3187"/>
      <c r="K491" s="3175"/>
      <c r="L491" s="3187"/>
      <c r="M491" s="3187"/>
      <c r="N491" s="3187"/>
      <c r="O491" s="3187"/>
      <c r="P491" s="3187"/>
      <c r="Q491" s="3187"/>
      <c r="R491" s="3187"/>
      <c r="S491" s="3187"/>
      <c r="T491" s="3187"/>
      <c r="U491" s="3187"/>
      <c r="V491" s="3187"/>
      <c r="W491" s="3187"/>
      <c r="X491" s="3187"/>
      <c r="Y491" s="3187"/>
      <c r="Z491" s="3187"/>
      <c r="AA491" s="3187"/>
      <c r="AB491" s="3187"/>
      <c r="AC491" s="3166">
        <f t="shared" si="296"/>
        <v>0</v>
      </c>
      <c r="AD491" s="3198"/>
      <c r="AE491" s="3198"/>
      <c r="AF491" s="3175"/>
      <c r="AG491" s="3198"/>
      <c r="AH491" s="3198"/>
      <c r="AI491" s="3198"/>
      <c r="AJ491" s="3198"/>
      <c r="AK491" s="3198"/>
      <c r="AL491" s="3198"/>
      <c r="AM491" s="3198"/>
      <c r="AN491" s="3198"/>
      <c r="AO491" s="3198"/>
      <c r="AP491" s="3198"/>
      <c r="AQ491" s="3198"/>
      <c r="AR491" s="3198"/>
      <c r="AS491" s="3198"/>
      <c r="AT491" s="3218"/>
      <c r="AU491" s="3219"/>
      <c r="AV491" s="488">
        <f t="shared" si="320"/>
        <v>0</v>
      </c>
      <c r="AW491" s="488">
        <f t="shared" si="321"/>
        <v>0</v>
      </c>
      <c r="AX491" s="488">
        <f t="shared" si="322"/>
        <v>0</v>
      </c>
      <c r="AY491" s="3235">
        <f t="shared" si="297"/>
        <v>0</v>
      </c>
      <c r="AZ491" s="3166">
        <f t="shared" si="298"/>
        <v>0</v>
      </c>
      <c r="BA491" s="3166">
        <f t="shared" si="299"/>
        <v>0</v>
      </c>
      <c r="BB491" s="3166">
        <f t="shared" si="300"/>
        <v>0</v>
      </c>
      <c r="BC491" s="3166">
        <f t="shared" si="301"/>
        <v>0</v>
      </c>
      <c r="BD491" s="3166">
        <f t="shared" si="302"/>
        <v>0</v>
      </c>
      <c r="BE491" s="3166">
        <f t="shared" si="303"/>
        <v>0</v>
      </c>
      <c r="BF491" s="3166">
        <f t="shared" si="304"/>
        <v>0</v>
      </c>
      <c r="BG491" s="3166">
        <f t="shared" si="305"/>
        <v>0</v>
      </c>
      <c r="BH491" s="3166">
        <f t="shared" si="306"/>
        <v>0</v>
      </c>
      <c r="BI491" s="3166">
        <f t="shared" si="307"/>
        <v>0</v>
      </c>
      <c r="BJ491" s="3166">
        <f t="shared" si="308"/>
        <v>0</v>
      </c>
      <c r="BK491" s="3166">
        <f t="shared" si="309"/>
        <v>0</v>
      </c>
      <c r="BL491" s="3166">
        <f t="shared" si="310"/>
        <v>0</v>
      </c>
      <c r="BM491" s="3166">
        <f t="shared" si="311"/>
        <v>0</v>
      </c>
      <c r="BN491" s="3166">
        <f t="shared" si="312"/>
        <v>0</v>
      </c>
      <c r="BO491" s="3166">
        <f t="shared" si="313"/>
        <v>0</v>
      </c>
      <c r="BP491" s="3166">
        <f t="shared" si="314"/>
        <v>0</v>
      </c>
      <c r="BQ491" s="3166">
        <f t="shared" si="315"/>
        <v>0</v>
      </c>
      <c r="BR491" s="3166">
        <f t="shared" si="316"/>
        <v>0</v>
      </c>
      <c r="BS491" s="3166">
        <f t="shared" si="317"/>
        <v>0</v>
      </c>
      <c r="BT491" s="3240">
        <f t="shared" si="318"/>
        <v>0</v>
      </c>
    </row>
    <row r="492" spans="1:72">
      <c r="A492" s="3163"/>
      <c r="B492" s="3173"/>
      <c r="C492" s="3171"/>
      <c r="D492" s="3172"/>
      <c r="E492" s="3166">
        <f t="shared" si="319"/>
        <v>0</v>
      </c>
      <c r="F492" s="3167"/>
      <c r="G492" s="3168">
        <f t="shared" si="294"/>
        <v>0</v>
      </c>
      <c r="H492" s="3169">
        <f t="shared" si="295"/>
        <v>0</v>
      </c>
      <c r="I492" s="3175"/>
      <c r="J492" s="3187"/>
      <c r="K492" s="3175"/>
      <c r="L492" s="3187"/>
      <c r="M492" s="3187"/>
      <c r="N492" s="3187"/>
      <c r="O492" s="3187"/>
      <c r="P492" s="3187"/>
      <c r="Q492" s="3187"/>
      <c r="R492" s="3187"/>
      <c r="S492" s="3187"/>
      <c r="T492" s="3187"/>
      <c r="U492" s="3187"/>
      <c r="V492" s="3187"/>
      <c r="W492" s="3187"/>
      <c r="X492" s="3187"/>
      <c r="Y492" s="3187"/>
      <c r="Z492" s="3187"/>
      <c r="AA492" s="3187"/>
      <c r="AB492" s="3187"/>
      <c r="AC492" s="3166">
        <f t="shared" si="296"/>
        <v>0</v>
      </c>
      <c r="AD492" s="3198"/>
      <c r="AE492" s="3198"/>
      <c r="AF492" s="3175"/>
      <c r="AG492" s="3198"/>
      <c r="AH492" s="3198"/>
      <c r="AI492" s="3198"/>
      <c r="AJ492" s="3198"/>
      <c r="AK492" s="3198"/>
      <c r="AL492" s="3198"/>
      <c r="AM492" s="3198"/>
      <c r="AN492" s="3198"/>
      <c r="AO492" s="3198"/>
      <c r="AP492" s="3198"/>
      <c r="AQ492" s="3198"/>
      <c r="AR492" s="3198"/>
      <c r="AS492" s="3198"/>
      <c r="AT492" s="3218"/>
      <c r="AU492" s="3219"/>
      <c r="AV492" s="488">
        <f t="shared" si="320"/>
        <v>0</v>
      </c>
      <c r="AW492" s="488">
        <f t="shared" si="321"/>
        <v>0</v>
      </c>
      <c r="AX492" s="488">
        <f t="shared" si="322"/>
        <v>0</v>
      </c>
      <c r="AY492" s="3235">
        <f t="shared" si="297"/>
        <v>0</v>
      </c>
      <c r="AZ492" s="3166">
        <f t="shared" si="298"/>
        <v>0</v>
      </c>
      <c r="BA492" s="3166">
        <f t="shared" si="299"/>
        <v>0</v>
      </c>
      <c r="BB492" s="3166">
        <f t="shared" si="300"/>
        <v>0</v>
      </c>
      <c r="BC492" s="3166">
        <f t="shared" si="301"/>
        <v>0</v>
      </c>
      <c r="BD492" s="3166">
        <f t="shared" si="302"/>
        <v>0</v>
      </c>
      <c r="BE492" s="3166">
        <f t="shared" si="303"/>
        <v>0</v>
      </c>
      <c r="BF492" s="3166">
        <f t="shared" si="304"/>
        <v>0</v>
      </c>
      <c r="BG492" s="3166">
        <f t="shared" si="305"/>
        <v>0</v>
      </c>
      <c r="BH492" s="3166">
        <f t="shared" si="306"/>
        <v>0</v>
      </c>
      <c r="BI492" s="3166">
        <f t="shared" si="307"/>
        <v>0</v>
      </c>
      <c r="BJ492" s="3166">
        <f t="shared" si="308"/>
        <v>0</v>
      </c>
      <c r="BK492" s="3166">
        <f t="shared" si="309"/>
        <v>0</v>
      </c>
      <c r="BL492" s="3166">
        <f t="shared" si="310"/>
        <v>0</v>
      </c>
      <c r="BM492" s="3166">
        <f t="shared" si="311"/>
        <v>0</v>
      </c>
      <c r="BN492" s="3166">
        <f t="shared" si="312"/>
        <v>0</v>
      </c>
      <c r="BO492" s="3166">
        <f t="shared" si="313"/>
        <v>0</v>
      </c>
      <c r="BP492" s="3166">
        <f t="shared" si="314"/>
        <v>0</v>
      </c>
      <c r="BQ492" s="3166">
        <f t="shared" si="315"/>
        <v>0</v>
      </c>
      <c r="BR492" s="3166">
        <f t="shared" si="316"/>
        <v>0</v>
      </c>
      <c r="BS492" s="3166">
        <f t="shared" si="317"/>
        <v>0</v>
      </c>
      <c r="BT492" s="3240">
        <f t="shared" si="318"/>
        <v>0</v>
      </c>
    </row>
    <row r="493" spans="1:72">
      <c r="A493" s="3163"/>
      <c r="B493" s="3173"/>
      <c r="C493" s="3171"/>
      <c r="D493" s="3172"/>
      <c r="E493" s="3166">
        <f t="shared" si="319"/>
        <v>0</v>
      </c>
      <c r="F493" s="3167"/>
      <c r="G493" s="3168">
        <f t="shared" si="294"/>
        <v>0</v>
      </c>
      <c r="H493" s="3169">
        <f t="shared" si="295"/>
        <v>0</v>
      </c>
      <c r="I493" s="3175"/>
      <c r="J493" s="3187"/>
      <c r="K493" s="3175"/>
      <c r="L493" s="3187"/>
      <c r="M493" s="3187"/>
      <c r="N493" s="3187"/>
      <c r="O493" s="3187"/>
      <c r="P493" s="3187"/>
      <c r="Q493" s="3187"/>
      <c r="R493" s="3187"/>
      <c r="S493" s="3187"/>
      <c r="T493" s="3187"/>
      <c r="U493" s="3187"/>
      <c r="V493" s="3187"/>
      <c r="W493" s="3187"/>
      <c r="X493" s="3187"/>
      <c r="Y493" s="3187"/>
      <c r="Z493" s="3187"/>
      <c r="AA493" s="3187"/>
      <c r="AB493" s="3187"/>
      <c r="AC493" s="3166">
        <f t="shared" si="296"/>
        <v>0</v>
      </c>
      <c r="AD493" s="3198"/>
      <c r="AE493" s="3198"/>
      <c r="AF493" s="3175"/>
      <c r="AG493" s="3198"/>
      <c r="AH493" s="3198"/>
      <c r="AI493" s="3198"/>
      <c r="AJ493" s="3198"/>
      <c r="AK493" s="3198"/>
      <c r="AL493" s="3198"/>
      <c r="AM493" s="3198"/>
      <c r="AN493" s="3198"/>
      <c r="AO493" s="3198"/>
      <c r="AP493" s="3198"/>
      <c r="AQ493" s="3198"/>
      <c r="AR493" s="3198"/>
      <c r="AS493" s="3198"/>
      <c r="AT493" s="3218"/>
      <c r="AU493" s="3219"/>
      <c r="AV493" s="488">
        <f t="shared" si="320"/>
        <v>0</v>
      </c>
      <c r="AW493" s="488">
        <f t="shared" si="321"/>
        <v>0</v>
      </c>
      <c r="AX493" s="488">
        <f t="shared" si="322"/>
        <v>0</v>
      </c>
      <c r="AY493" s="3235">
        <f t="shared" si="297"/>
        <v>0</v>
      </c>
      <c r="AZ493" s="3166">
        <f t="shared" si="298"/>
        <v>0</v>
      </c>
      <c r="BA493" s="3166">
        <f t="shared" si="299"/>
        <v>0</v>
      </c>
      <c r="BB493" s="3166">
        <f t="shared" si="300"/>
        <v>0</v>
      </c>
      <c r="BC493" s="3166">
        <f t="shared" si="301"/>
        <v>0</v>
      </c>
      <c r="BD493" s="3166">
        <f t="shared" si="302"/>
        <v>0</v>
      </c>
      <c r="BE493" s="3166">
        <f t="shared" si="303"/>
        <v>0</v>
      </c>
      <c r="BF493" s="3166">
        <f t="shared" si="304"/>
        <v>0</v>
      </c>
      <c r="BG493" s="3166">
        <f t="shared" si="305"/>
        <v>0</v>
      </c>
      <c r="BH493" s="3166">
        <f t="shared" si="306"/>
        <v>0</v>
      </c>
      <c r="BI493" s="3166">
        <f t="shared" si="307"/>
        <v>0</v>
      </c>
      <c r="BJ493" s="3166">
        <f t="shared" si="308"/>
        <v>0</v>
      </c>
      <c r="BK493" s="3166">
        <f t="shared" si="309"/>
        <v>0</v>
      </c>
      <c r="BL493" s="3166">
        <f t="shared" si="310"/>
        <v>0</v>
      </c>
      <c r="BM493" s="3166">
        <f t="shared" si="311"/>
        <v>0</v>
      </c>
      <c r="BN493" s="3166">
        <f t="shared" si="312"/>
        <v>0</v>
      </c>
      <c r="BO493" s="3166">
        <f t="shared" si="313"/>
        <v>0</v>
      </c>
      <c r="BP493" s="3166">
        <f t="shared" si="314"/>
        <v>0</v>
      </c>
      <c r="BQ493" s="3166">
        <f t="shared" si="315"/>
        <v>0</v>
      </c>
      <c r="BR493" s="3166">
        <f t="shared" si="316"/>
        <v>0</v>
      </c>
      <c r="BS493" s="3166">
        <f t="shared" si="317"/>
        <v>0</v>
      </c>
      <c r="BT493" s="3240">
        <f t="shared" si="318"/>
        <v>0</v>
      </c>
    </row>
    <row r="494" spans="1:72">
      <c r="A494" s="3163"/>
      <c r="B494" s="3173"/>
      <c r="C494" s="3171"/>
      <c r="D494" s="3172"/>
      <c r="E494" s="3166">
        <f t="shared" si="319"/>
        <v>0</v>
      </c>
      <c r="F494" s="3167"/>
      <c r="G494" s="3168">
        <f t="shared" si="294"/>
        <v>0</v>
      </c>
      <c r="H494" s="3169">
        <f t="shared" si="295"/>
        <v>0</v>
      </c>
      <c r="I494" s="3175"/>
      <c r="J494" s="3187"/>
      <c r="K494" s="3175"/>
      <c r="L494" s="3187"/>
      <c r="M494" s="3187"/>
      <c r="N494" s="3187"/>
      <c r="O494" s="3187"/>
      <c r="P494" s="3187"/>
      <c r="Q494" s="3187"/>
      <c r="R494" s="3187"/>
      <c r="S494" s="3187"/>
      <c r="T494" s="3187"/>
      <c r="U494" s="3187"/>
      <c r="V494" s="3187"/>
      <c r="W494" s="3187"/>
      <c r="X494" s="3187"/>
      <c r="Y494" s="3187"/>
      <c r="Z494" s="3187"/>
      <c r="AA494" s="3187"/>
      <c r="AB494" s="3187"/>
      <c r="AC494" s="3166">
        <f t="shared" si="296"/>
        <v>0</v>
      </c>
      <c r="AD494" s="3198"/>
      <c r="AE494" s="3198"/>
      <c r="AF494" s="3175"/>
      <c r="AG494" s="3198"/>
      <c r="AH494" s="3198"/>
      <c r="AI494" s="3198"/>
      <c r="AJ494" s="3198"/>
      <c r="AK494" s="3198"/>
      <c r="AL494" s="3198"/>
      <c r="AM494" s="3198"/>
      <c r="AN494" s="3198"/>
      <c r="AO494" s="3198"/>
      <c r="AP494" s="3198"/>
      <c r="AQ494" s="3198"/>
      <c r="AR494" s="3198"/>
      <c r="AS494" s="3198"/>
      <c r="AT494" s="3218"/>
      <c r="AU494" s="3219"/>
      <c r="AV494" s="488">
        <f t="shared" si="320"/>
        <v>0</v>
      </c>
      <c r="AW494" s="488">
        <f t="shared" si="321"/>
        <v>0</v>
      </c>
      <c r="AX494" s="488">
        <f t="shared" si="322"/>
        <v>0</v>
      </c>
      <c r="AY494" s="3235">
        <f t="shared" si="297"/>
        <v>0</v>
      </c>
      <c r="AZ494" s="3166">
        <f t="shared" si="298"/>
        <v>0</v>
      </c>
      <c r="BA494" s="3166">
        <f t="shared" si="299"/>
        <v>0</v>
      </c>
      <c r="BB494" s="3166">
        <f t="shared" si="300"/>
        <v>0</v>
      </c>
      <c r="BC494" s="3166">
        <f t="shared" si="301"/>
        <v>0</v>
      </c>
      <c r="BD494" s="3166">
        <f t="shared" si="302"/>
        <v>0</v>
      </c>
      <c r="BE494" s="3166">
        <f t="shared" si="303"/>
        <v>0</v>
      </c>
      <c r="BF494" s="3166">
        <f t="shared" si="304"/>
        <v>0</v>
      </c>
      <c r="BG494" s="3166">
        <f t="shared" si="305"/>
        <v>0</v>
      </c>
      <c r="BH494" s="3166">
        <f t="shared" si="306"/>
        <v>0</v>
      </c>
      <c r="BI494" s="3166">
        <f t="shared" si="307"/>
        <v>0</v>
      </c>
      <c r="BJ494" s="3166">
        <f t="shared" si="308"/>
        <v>0</v>
      </c>
      <c r="BK494" s="3166">
        <f t="shared" si="309"/>
        <v>0</v>
      </c>
      <c r="BL494" s="3166">
        <f t="shared" si="310"/>
        <v>0</v>
      </c>
      <c r="BM494" s="3166">
        <f t="shared" si="311"/>
        <v>0</v>
      </c>
      <c r="BN494" s="3166">
        <f t="shared" si="312"/>
        <v>0</v>
      </c>
      <c r="BO494" s="3166">
        <f t="shared" si="313"/>
        <v>0</v>
      </c>
      <c r="BP494" s="3166">
        <f t="shared" si="314"/>
        <v>0</v>
      </c>
      <c r="BQ494" s="3166">
        <f t="shared" si="315"/>
        <v>0</v>
      </c>
      <c r="BR494" s="3166">
        <f t="shared" si="316"/>
        <v>0</v>
      </c>
      <c r="BS494" s="3166">
        <f t="shared" si="317"/>
        <v>0</v>
      </c>
      <c r="BT494" s="3240">
        <f t="shared" si="318"/>
        <v>0</v>
      </c>
    </row>
    <row r="495" spans="1:72">
      <c r="A495" s="3163"/>
      <c r="B495" s="3173"/>
      <c r="C495" s="3171"/>
      <c r="D495" s="3172"/>
      <c r="E495" s="3166">
        <f t="shared" si="319"/>
        <v>0</v>
      </c>
      <c r="F495" s="3167"/>
      <c r="G495" s="3168">
        <f t="shared" si="294"/>
        <v>0</v>
      </c>
      <c r="H495" s="3169">
        <f t="shared" si="295"/>
        <v>0</v>
      </c>
      <c r="I495" s="3175"/>
      <c r="J495" s="3187"/>
      <c r="K495" s="3175"/>
      <c r="L495" s="3187"/>
      <c r="M495" s="3187"/>
      <c r="N495" s="3187"/>
      <c r="O495" s="3187"/>
      <c r="P495" s="3187"/>
      <c r="Q495" s="3187"/>
      <c r="R495" s="3187"/>
      <c r="S495" s="3187"/>
      <c r="T495" s="3187"/>
      <c r="U495" s="3187"/>
      <c r="V495" s="3187"/>
      <c r="W495" s="3187"/>
      <c r="X495" s="3187"/>
      <c r="Y495" s="3187"/>
      <c r="Z495" s="3187"/>
      <c r="AA495" s="3187"/>
      <c r="AB495" s="3187"/>
      <c r="AC495" s="3166">
        <f t="shared" si="296"/>
        <v>0</v>
      </c>
      <c r="AD495" s="3198"/>
      <c r="AE495" s="3198"/>
      <c r="AF495" s="3175"/>
      <c r="AG495" s="3198"/>
      <c r="AH495" s="3198"/>
      <c r="AI495" s="3198"/>
      <c r="AJ495" s="3198"/>
      <c r="AK495" s="3198"/>
      <c r="AL495" s="3198"/>
      <c r="AM495" s="3198"/>
      <c r="AN495" s="3198"/>
      <c r="AO495" s="3198"/>
      <c r="AP495" s="3198"/>
      <c r="AQ495" s="3198"/>
      <c r="AR495" s="3198"/>
      <c r="AS495" s="3198"/>
      <c r="AT495" s="3218"/>
      <c r="AU495" s="3219"/>
      <c r="AV495" s="488">
        <f t="shared" si="320"/>
        <v>0</v>
      </c>
      <c r="AW495" s="488">
        <f t="shared" si="321"/>
        <v>0</v>
      </c>
      <c r="AX495" s="488">
        <f t="shared" si="322"/>
        <v>0</v>
      </c>
      <c r="AY495" s="3235">
        <f t="shared" si="297"/>
        <v>0</v>
      </c>
      <c r="AZ495" s="3166">
        <f t="shared" si="298"/>
        <v>0</v>
      </c>
      <c r="BA495" s="3166">
        <f t="shared" si="299"/>
        <v>0</v>
      </c>
      <c r="BB495" s="3166">
        <f t="shared" si="300"/>
        <v>0</v>
      </c>
      <c r="BC495" s="3166">
        <f t="shared" si="301"/>
        <v>0</v>
      </c>
      <c r="BD495" s="3166">
        <f t="shared" si="302"/>
        <v>0</v>
      </c>
      <c r="BE495" s="3166">
        <f t="shared" si="303"/>
        <v>0</v>
      </c>
      <c r="BF495" s="3166">
        <f t="shared" si="304"/>
        <v>0</v>
      </c>
      <c r="BG495" s="3166">
        <f t="shared" si="305"/>
        <v>0</v>
      </c>
      <c r="BH495" s="3166">
        <f t="shared" si="306"/>
        <v>0</v>
      </c>
      <c r="BI495" s="3166">
        <f t="shared" si="307"/>
        <v>0</v>
      </c>
      <c r="BJ495" s="3166">
        <f t="shared" si="308"/>
        <v>0</v>
      </c>
      <c r="BK495" s="3166">
        <f t="shared" si="309"/>
        <v>0</v>
      </c>
      <c r="BL495" s="3166">
        <f t="shared" si="310"/>
        <v>0</v>
      </c>
      <c r="BM495" s="3166">
        <f t="shared" si="311"/>
        <v>0</v>
      </c>
      <c r="BN495" s="3166">
        <f t="shared" si="312"/>
        <v>0</v>
      </c>
      <c r="BO495" s="3166">
        <f t="shared" si="313"/>
        <v>0</v>
      </c>
      <c r="BP495" s="3166">
        <f t="shared" si="314"/>
        <v>0</v>
      </c>
      <c r="BQ495" s="3166">
        <f t="shared" si="315"/>
        <v>0</v>
      </c>
      <c r="BR495" s="3166">
        <f t="shared" si="316"/>
        <v>0</v>
      </c>
      <c r="BS495" s="3166">
        <f t="shared" si="317"/>
        <v>0</v>
      </c>
      <c r="BT495" s="3240">
        <f t="shared" si="318"/>
        <v>0</v>
      </c>
    </row>
    <row r="496" spans="1:72">
      <c r="A496" s="3163"/>
      <c r="B496" s="3173"/>
      <c r="C496" s="3171"/>
      <c r="D496" s="3172"/>
      <c r="E496" s="3166">
        <f t="shared" si="319"/>
        <v>0</v>
      </c>
      <c r="F496" s="3167"/>
      <c r="G496" s="3168">
        <f t="shared" si="294"/>
        <v>0</v>
      </c>
      <c r="H496" s="3169">
        <f t="shared" si="295"/>
        <v>0</v>
      </c>
      <c r="I496" s="3175"/>
      <c r="J496" s="3187"/>
      <c r="K496" s="3175"/>
      <c r="L496" s="3187"/>
      <c r="M496" s="3187"/>
      <c r="N496" s="3187"/>
      <c r="O496" s="3187"/>
      <c r="P496" s="3187"/>
      <c r="Q496" s="3187"/>
      <c r="R496" s="3187"/>
      <c r="S496" s="3187"/>
      <c r="T496" s="3187"/>
      <c r="U496" s="3187"/>
      <c r="V496" s="3187"/>
      <c r="W496" s="3187"/>
      <c r="X496" s="3187"/>
      <c r="Y496" s="3187"/>
      <c r="Z496" s="3187"/>
      <c r="AA496" s="3187"/>
      <c r="AB496" s="3187"/>
      <c r="AC496" s="3166">
        <f t="shared" si="296"/>
        <v>0</v>
      </c>
      <c r="AD496" s="3198"/>
      <c r="AE496" s="3198"/>
      <c r="AF496" s="3175"/>
      <c r="AG496" s="3198"/>
      <c r="AH496" s="3198"/>
      <c r="AI496" s="3198"/>
      <c r="AJ496" s="3198"/>
      <c r="AK496" s="3198"/>
      <c r="AL496" s="3198"/>
      <c r="AM496" s="3198"/>
      <c r="AN496" s="3198"/>
      <c r="AO496" s="3198"/>
      <c r="AP496" s="3198"/>
      <c r="AQ496" s="3198"/>
      <c r="AR496" s="3198"/>
      <c r="AS496" s="3198"/>
      <c r="AT496" s="3218"/>
      <c r="AU496" s="3219"/>
      <c r="AV496" s="488">
        <f t="shared" si="320"/>
        <v>0</v>
      </c>
      <c r="AW496" s="488">
        <f t="shared" si="321"/>
        <v>0</v>
      </c>
      <c r="AX496" s="488">
        <f t="shared" si="322"/>
        <v>0</v>
      </c>
      <c r="AY496" s="3235">
        <f t="shared" si="297"/>
        <v>0</v>
      </c>
      <c r="AZ496" s="3166">
        <f t="shared" si="298"/>
        <v>0</v>
      </c>
      <c r="BA496" s="3166">
        <f t="shared" si="299"/>
        <v>0</v>
      </c>
      <c r="BB496" s="3166">
        <f t="shared" si="300"/>
        <v>0</v>
      </c>
      <c r="BC496" s="3166">
        <f t="shared" si="301"/>
        <v>0</v>
      </c>
      <c r="BD496" s="3166">
        <f t="shared" si="302"/>
        <v>0</v>
      </c>
      <c r="BE496" s="3166">
        <f t="shared" si="303"/>
        <v>0</v>
      </c>
      <c r="BF496" s="3166">
        <f t="shared" si="304"/>
        <v>0</v>
      </c>
      <c r="BG496" s="3166">
        <f t="shared" si="305"/>
        <v>0</v>
      </c>
      <c r="BH496" s="3166">
        <f t="shared" si="306"/>
        <v>0</v>
      </c>
      <c r="BI496" s="3166">
        <f t="shared" si="307"/>
        <v>0</v>
      </c>
      <c r="BJ496" s="3166">
        <f t="shared" si="308"/>
        <v>0</v>
      </c>
      <c r="BK496" s="3166">
        <f t="shared" si="309"/>
        <v>0</v>
      </c>
      <c r="BL496" s="3166">
        <f t="shared" si="310"/>
        <v>0</v>
      </c>
      <c r="BM496" s="3166">
        <f t="shared" si="311"/>
        <v>0</v>
      </c>
      <c r="BN496" s="3166">
        <f t="shared" si="312"/>
        <v>0</v>
      </c>
      <c r="BO496" s="3166">
        <f t="shared" si="313"/>
        <v>0</v>
      </c>
      <c r="BP496" s="3166">
        <f t="shared" si="314"/>
        <v>0</v>
      </c>
      <c r="BQ496" s="3166">
        <f t="shared" si="315"/>
        <v>0</v>
      </c>
      <c r="BR496" s="3166">
        <f t="shared" si="316"/>
        <v>0</v>
      </c>
      <c r="BS496" s="3166">
        <f t="shared" si="317"/>
        <v>0</v>
      </c>
      <c r="BT496" s="3240">
        <f t="shared" si="318"/>
        <v>0</v>
      </c>
    </row>
    <row r="497" spans="1:72">
      <c r="A497" s="3163"/>
      <c r="B497" s="3173"/>
      <c r="C497" s="3171"/>
      <c r="D497" s="3172"/>
      <c r="E497" s="3166">
        <f t="shared" si="319"/>
        <v>0</v>
      </c>
      <c r="F497" s="3167"/>
      <c r="G497" s="3168">
        <f t="shared" si="294"/>
        <v>0</v>
      </c>
      <c r="H497" s="3169">
        <f t="shared" si="295"/>
        <v>0</v>
      </c>
      <c r="I497" s="3175"/>
      <c r="J497" s="3187"/>
      <c r="K497" s="3175"/>
      <c r="L497" s="3187"/>
      <c r="M497" s="3187"/>
      <c r="N497" s="3187"/>
      <c r="O497" s="3187"/>
      <c r="P497" s="3187"/>
      <c r="Q497" s="3187"/>
      <c r="R497" s="3187"/>
      <c r="S497" s="3187"/>
      <c r="T497" s="3187"/>
      <c r="U497" s="3187"/>
      <c r="V497" s="3187"/>
      <c r="W497" s="3187"/>
      <c r="X497" s="3187"/>
      <c r="Y497" s="3187"/>
      <c r="Z497" s="3187"/>
      <c r="AA497" s="3187"/>
      <c r="AB497" s="3187"/>
      <c r="AC497" s="3166">
        <f t="shared" si="296"/>
        <v>0</v>
      </c>
      <c r="AD497" s="3198"/>
      <c r="AE497" s="3198"/>
      <c r="AF497" s="3175"/>
      <c r="AG497" s="3198"/>
      <c r="AH497" s="3198"/>
      <c r="AI497" s="3198"/>
      <c r="AJ497" s="3198"/>
      <c r="AK497" s="3198"/>
      <c r="AL497" s="3198"/>
      <c r="AM497" s="3198"/>
      <c r="AN497" s="3198"/>
      <c r="AO497" s="3198"/>
      <c r="AP497" s="3198"/>
      <c r="AQ497" s="3198"/>
      <c r="AR497" s="3198"/>
      <c r="AS497" s="3198"/>
      <c r="AT497" s="3218"/>
      <c r="AU497" s="3219"/>
      <c r="AV497" s="488">
        <f t="shared" si="320"/>
        <v>0</v>
      </c>
      <c r="AW497" s="488">
        <f t="shared" si="321"/>
        <v>0</v>
      </c>
      <c r="AX497" s="488">
        <f t="shared" si="322"/>
        <v>0</v>
      </c>
      <c r="AY497" s="3235">
        <f t="shared" si="297"/>
        <v>0</v>
      </c>
      <c r="AZ497" s="3166">
        <f t="shared" si="298"/>
        <v>0</v>
      </c>
      <c r="BA497" s="3166">
        <f t="shared" si="299"/>
        <v>0</v>
      </c>
      <c r="BB497" s="3166">
        <f t="shared" si="300"/>
        <v>0</v>
      </c>
      <c r="BC497" s="3166">
        <f t="shared" si="301"/>
        <v>0</v>
      </c>
      <c r="BD497" s="3166">
        <f t="shared" si="302"/>
        <v>0</v>
      </c>
      <c r="BE497" s="3166">
        <f t="shared" si="303"/>
        <v>0</v>
      </c>
      <c r="BF497" s="3166">
        <f t="shared" si="304"/>
        <v>0</v>
      </c>
      <c r="BG497" s="3166">
        <f t="shared" si="305"/>
        <v>0</v>
      </c>
      <c r="BH497" s="3166">
        <f t="shared" si="306"/>
        <v>0</v>
      </c>
      <c r="BI497" s="3166">
        <f t="shared" si="307"/>
        <v>0</v>
      </c>
      <c r="BJ497" s="3166">
        <f t="shared" si="308"/>
        <v>0</v>
      </c>
      <c r="BK497" s="3166">
        <f t="shared" si="309"/>
        <v>0</v>
      </c>
      <c r="BL497" s="3166">
        <f t="shared" si="310"/>
        <v>0</v>
      </c>
      <c r="BM497" s="3166">
        <f t="shared" si="311"/>
        <v>0</v>
      </c>
      <c r="BN497" s="3166">
        <f t="shared" si="312"/>
        <v>0</v>
      </c>
      <c r="BO497" s="3166">
        <f t="shared" si="313"/>
        <v>0</v>
      </c>
      <c r="BP497" s="3166">
        <f t="shared" si="314"/>
        <v>0</v>
      </c>
      <c r="BQ497" s="3166">
        <f t="shared" si="315"/>
        <v>0</v>
      </c>
      <c r="BR497" s="3166">
        <f t="shared" si="316"/>
        <v>0</v>
      </c>
      <c r="BS497" s="3166">
        <f t="shared" si="317"/>
        <v>0</v>
      </c>
      <c r="BT497" s="3240">
        <f t="shared" si="318"/>
        <v>0</v>
      </c>
    </row>
    <row r="498" spans="1:72">
      <c r="A498" s="3163"/>
      <c r="B498" s="3173"/>
      <c r="C498" s="3171"/>
      <c r="D498" s="3172"/>
      <c r="E498" s="3166">
        <f t="shared" si="319"/>
        <v>0</v>
      </c>
      <c r="F498" s="3167"/>
      <c r="G498" s="3168">
        <f t="shared" si="294"/>
        <v>0</v>
      </c>
      <c r="H498" s="3169">
        <f t="shared" si="295"/>
        <v>0</v>
      </c>
      <c r="I498" s="3175"/>
      <c r="J498" s="3187"/>
      <c r="K498" s="3175"/>
      <c r="L498" s="3187"/>
      <c r="M498" s="3187"/>
      <c r="N498" s="3187"/>
      <c r="O498" s="3187"/>
      <c r="P498" s="3187"/>
      <c r="Q498" s="3187"/>
      <c r="R498" s="3187"/>
      <c r="S498" s="3187"/>
      <c r="T498" s="3187"/>
      <c r="U498" s="3187"/>
      <c r="V498" s="3187"/>
      <c r="W498" s="3187"/>
      <c r="X498" s="3187"/>
      <c r="Y498" s="3187"/>
      <c r="Z498" s="3187"/>
      <c r="AA498" s="3187"/>
      <c r="AB498" s="3187"/>
      <c r="AC498" s="3166">
        <f t="shared" si="296"/>
        <v>0</v>
      </c>
      <c r="AD498" s="3198"/>
      <c r="AE498" s="3198"/>
      <c r="AF498" s="3175"/>
      <c r="AG498" s="3198"/>
      <c r="AH498" s="3198"/>
      <c r="AI498" s="3198"/>
      <c r="AJ498" s="3198"/>
      <c r="AK498" s="3198"/>
      <c r="AL498" s="3198"/>
      <c r="AM498" s="3198"/>
      <c r="AN498" s="3198"/>
      <c r="AO498" s="3198"/>
      <c r="AP498" s="3198"/>
      <c r="AQ498" s="3198"/>
      <c r="AR498" s="3198"/>
      <c r="AS498" s="3198"/>
      <c r="AT498" s="3218"/>
      <c r="AU498" s="3219"/>
      <c r="AV498" s="488">
        <f t="shared" si="320"/>
        <v>0</v>
      </c>
      <c r="AW498" s="488">
        <f t="shared" si="321"/>
        <v>0</v>
      </c>
      <c r="AX498" s="488">
        <f t="shared" si="322"/>
        <v>0</v>
      </c>
      <c r="AY498" s="3235">
        <f t="shared" si="297"/>
        <v>0</v>
      </c>
      <c r="AZ498" s="3166">
        <f t="shared" si="298"/>
        <v>0</v>
      </c>
      <c r="BA498" s="3166">
        <f t="shared" si="299"/>
        <v>0</v>
      </c>
      <c r="BB498" s="3166">
        <f t="shared" si="300"/>
        <v>0</v>
      </c>
      <c r="BC498" s="3166">
        <f t="shared" si="301"/>
        <v>0</v>
      </c>
      <c r="BD498" s="3166">
        <f t="shared" si="302"/>
        <v>0</v>
      </c>
      <c r="BE498" s="3166">
        <f t="shared" si="303"/>
        <v>0</v>
      </c>
      <c r="BF498" s="3166">
        <f t="shared" si="304"/>
        <v>0</v>
      </c>
      <c r="BG498" s="3166">
        <f t="shared" si="305"/>
        <v>0</v>
      </c>
      <c r="BH498" s="3166">
        <f t="shared" si="306"/>
        <v>0</v>
      </c>
      <c r="BI498" s="3166">
        <f t="shared" si="307"/>
        <v>0</v>
      </c>
      <c r="BJ498" s="3166">
        <f t="shared" si="308"/>
        <v>0</v>
      </c>
      <c r="BK498" s="3166">
        <f t="shared" si="309"/>
        <v>0</v>
      </c>
      <c r="BL498" s="3166">
        <f t="shared" si="310"/>
        <v>0</v>
      </c>
      <c r="BM498" s="3166">
        <f t="shared" si="311"/>
        <v>0</v>
      </c>
      <c r="BN498" s="3166">
        <f t="shared" si="312"/>
        <v>0</v>
      </c>
      <c r="BO498" s="3166">
        <f t="shared" si="313"/>
        <v>0</v>
      </c>
      <c r="BP498" s="3166">
        <f t="shared" si="314"/>
        <v>0</v>
      </c>
      <c r="BQ498" s="3166">
        <f t="shared" si="315"/>
        <v>0</v>
      </c>
      <c r="BR498" s="3166">
        <f t="shared" si="316"/>
        <v>0</v>
      </c>
      <c r="BS498" s="3166">
        <f t="shared" si="317"/>
        <v>0</v>
      </c>
      <c r="BT498" s="3240">
        <f t="shared" si="318"/>
        <v>0</v>
      </c>
    </row>
    <row r="499" spans="1:72">
      <c r="A499" s="3163"/>
      <c r="B499" s="3173"/>
      <c r="C499" s="3171"/>
      <c r="D499" s="3172"/>
      <c r="E499" s="3166">
        <f t="shared" si="319"/>
        <v>0</v>
      </c>
      <c r="F499" s="3167"/>
      <c r="G499" s="3168">
        <f t="shared" si="294"/>
        <v>0</v>
      </c>
      <c r="H499" s="3169">
        <f t="shared" si="295"/>
        <v>0</v>
      </c>
      <c r="I499" s="3175"/>
      <c r="J499" s="3187"/>
      <c r="K499" s="3175"/>
      <c r="L499" s="3187"/>
      <c r="M499" s="3187"/>
      <c r="N499" s="3187"/>
      <c r="O499" s="3187"/>
      <c r="P499" s="3187"/>
      <c r="Q499" s="3187"/>
      <c r="R499" s="3187"/>
      <c r="S499" s="3187"/>
      <c r="T499" s="3187"/>
      <c r="U499" s="3187"/>
      <c r="V499" s="3187"/>
      <c r="W499" s="3187"/>
      <c r="X499" s="3187"/>
      <c r="Y499" s="3187"/>
      <c r="Z499" s="3187"/>
      <c r="AA499" s="3187"/>
      <c r="AB499" s="3187"/>
      <c r="AC499" s="3166">
        <f t="shared" si="296"/>
        <v>0</v>
      </c>
      <c r="AD499" s="3198"/>
      <c r="AE499" s="3198"/>
      <c r="AF499" s="3175"/>
      <c r="AG499" s="3198"/>
      <c r="AH499" s="3198"/>
      <c r="AI499" s="3198"/>
      <c r="AJ499" s="3198"/>
      <c r="AK499" s="3198"/>
      <c r="AL499" s="3198"/>
      <c r="AM499" s="3198"/>
      <c r="AN499" s="3198"/>
      <c r="AO499" s="3198"/>
      <c r="AP499" s="3198"/>
      <c r="AQ499" s="3198"/>
      <c r="AR499" s="3198"/>
      <c r="AS499" s="3198"/>
      <c r="AT499" s="3218"/>
      <c r="AU499" s="3219"/>
      <c r="AV499" s="488">
        <f t="shared" si="320"/>
        <v>0</v>
      </c>
      <c r="AW499" s="488">
        <f t="shared" si="321"/>
        <v>0</v>
      </c>
      <c r="AX499" s="488">
        <f t="shared" si="322"/>
        <v>0</v>
      </c>
      <c r="AY499" s="3235">
        <f t="shared" si="297"/>
        <v>0</v>
      </c>
      <c r="AZ499" s="3166">
        <f t="shared" si="298"/>
        <v>0</v>
      </c>
      <c r="BA499" s="3166">
        <f t="shared" si="299"/>
        <v>0</v>
      </c>
      <c r="BB499" s="3166">
        <f t="shared" si="300"/>
        <v>0</v>
      </c>
      <c r="BC499" s="3166">
        <f t="shared" si="301"/>
        <v>0</v>
      </c>
      <c r="BD499" s="3166">
        <f t="shared" si="302"/>
        <v>0</v>
      </c>
      <c r="BE499" s="3166">
        <f t="shared" si="303"/>
        <v>0</v>
      </c>
      <c r="BF499" s="3166">
        <f t="shared" si="304"/>
        <v>0</v>
      </c>
      <c r="BG499" s="3166">
        <f t="shared" si="305"/>
        <v>0</v>
      </c>
      <c r="BH499" s="3166">
        <f t="shared" si="306"/>
        <v>0</v>
      </c>
      <c r="BI499" s="3166">
        <f t="shared" si="307"/>
        <v>0</v>
      </c>
      <c r="BJ499" s="3166">
        <f t="shared" si="308"/>
        <v>0</v>
      </c>
      <c r="BK499" s="3166">
        <f t="shared" si="309"/>
        <v>0</v>
      </c>
      <c r="BL499" s="3166">
        <f t="shared" si="310"/>
        <v>0</v>
      </c>
      <c r="BM499" s="3166">
        <f t="shared" si="311"/>
        <v>0</v>
      </c>
      <c r="BN499" s="3166">
        <f t="shared" si="312"/>
        <v>0</v>
      </c>
      <c r="BO499" s="3166">
        <f t="shared" si="313"/>
        <v>0</v>
      </c>
      <c r="BP499" s="3166">
        <f t="shared" si="314"/>
        <v>0</v>
      </c>
      <c r="BQ499" s="3166">
        <f t="shared" si="315"/>
        <v>0</v>
      </c>
      <c r="BR499" s="3166">
        <f t="shared" si="316"/>
        <v>0</v>
      </c>
      <c r="BS499" s="3166">
        <f t="shared" si="317"/>
        <v>0</v>
      </c>
      <c r="BT499" s="3240">
        <f t="shared" si="318"/>
        <v>0</v>
      </c>
    </row>
    <row r="500" spans="1:72">
      <c r="A500" s="3163"/>
      <c r="B500" s="3173"/>
      <c r="C500" s="3171"/>
      <c r="D500" s="3172"/>
      <c r="E500" s="3166">
        <f t="shared" si="319"/>
        <v>0</v>
      </c>
      <c r="F500" s="3167"/>
      <c r="G500" s="3168">
        <f t="shared" si="294"/>
        <v>0</v>
      </c>
      <c r="H500" s="3169">
        <f t="shared" si="295"/>
        <v>0</v>
      </c>
      <c r="I500" s="3175"/>
      <c r="J500" s="3187"/>
      <c r="K500" s="3175"/>
      <c r="L500" s="3187"/>
      <c r="M500" s="3187"/>
      <c r="N500" s="3187"/>
      <c r="O500" s="3187"/>
      <c r="P500" s="3187"/>
      <c r="Q500" s="3187"/>
      <c r="R500" s="3187"/>
      <c r="S500" s="3187"/>
      <c r="T500" s="3187"/>
      <c r="U500" s="3187"/>
      <c r="V500" s="3187"/>
      <c r="W500" s="3187"/>
      <c r="X500" s="3187"/>
      <c r="Y500" s="3187"/>
      <c r="Z500" s="3187"/>
      <c r="AA500" s="3187"/>
      <c r="AB500" s="3187"/>
      <c r="AC500" s="3166">
        <f t="shared" si="296"/>
        <v>0</v>
      </c>
      <c r="AD500" s="3198"/>
      <c r="AE500" s="3198"/>
      <c r="AF500" s="3175"/>
      <c r="AG500" s="3198"/>
      <c r="AH500" s="3198"/>
      <c r="AI500" s="3198"/>
      <c r="AJ500" s="3198"/>
      <c r="AK500" s="3198"/>
      <c r="AL500" s="3198"/>
      <c r="AM500" s="3198"/>
      <c r="AN500" s="3198"/>
      <c r="AO500" s="3198"/>
      <c r="AP500" s="3198"/>
      <c r="AQ500" s="3198"/>
      <c r="AR500" s="3198"/>
      <c r="AS500" s="3198"/>
      <c r="AT500" s="3218"/>
      <c r="AU500" s="3219"/>
      <c r="AV500" s="488">
        <f t="shared" si="320"/>
        <v>0</v>
      </c>
      <c r="AW500" s="488">
        <f t="shared" si="321"/>
        <v>0</v>
      </c>
      <c r="AX500" s="488">
        <f t="shared" si="322"/>
        <v>0</v>
      </c>
      <c r="AY500" s="3235">
        <f t="shared" si="297"/>
        <v>0</v>
      </c>
      <c r="AZ500" s="3166">
        <f t="shared" si="298"/>
        <v>0</v>
      </c>
      <c r="BA500" s="3166">
        <f t="shared" si="299"/>
        <v>0</v>
      </c>
      <c r="BB500" s="3166">
        <f t="shared" si="300"/>
        <v>0</v>
      </c>
      <c r="BC500" s="3166">
        <f t="shared" si="301"/>
        <v>0</v>
      </c>
      <c r="BD500" s="3166">
        <f t="shared" si="302"/>
        <v>0</v>
      </c>
      <c r="BE500" s="3166">
        <f t="shared" si="303"/>
        <v>0</v>
      </c>
      <c r="BF500" s="3166">
        <f t="shared" si="304"/>
        <v>0</v>
      </c>
      <c r="BG500" s="3166">
        <f t="shared" si="305"/>
        <v>0</v>
      </c>
      <c r="BH500" s="3166">
        <f t="shared" si="306"/>
        <v>0</v>
      </c>
      <c r="BI500" s="3166">
        <f t="shared" si="307"/>
        <v>0</v>
      </c>
      <c r="BJ500" s="3166">
        <f t="shared" si="308"/>
        <v>0</v>
      </c>
      <c r="BK500" s="3166">
        <f t="shared" si="309"/>
        <v>0</v>
      </c>
      <c r="BL500" s="3166">
        <f t="shared" si="310"/>
        <v>0</v>
      </c>
      <c r="BM500" s="3166">
        <f t="shared" si="311"/>
        <v>0</v>
      </c>
      <c r="BN500" s="3166">
        <f t="shared" si="312"/>
        <v>0</v>
      </c>
      <c r="BO500" s="3166">
        <f t="shared" si="313"/>
        <v>0</v>
      </c>
      <c r="BP500" s="3166">
        <f t="shared" si="314"/>
        <v>0</v>
      </c>
      <c r="BQ500" s="3166">
        <f t="shared" si="315"/>
        <v>0</v>
      </c>
      <c r="BR500" s="3166">
        <f t="shared" si="316"/>
        <v>0</v>
      </c>
      <c r="BS500" s="3166">
        <f t="shared" si="317"/>
        <v>0</v>
      </c>
      <c r="BT500" s="3240">
        <f t="shared" si="318"/>
        <v>0</v>
      </c>
    </row>
    <row r="501" spans="1:72">
      <c r="A501" s="3163"/>
      <c r="B501" s="3173"/>
      <c r="C501" s="3171"/>
      <c r="D501" s="3172"/>
      <c r="E501" s="3166">
        <f t="shared" si="319"/>
        <v>0</v>
      </c>
      <c r="F501" s="3167"/>
      <c r="G501" s="3168">
        <f t="shared" si="294"/>
        <v>0</v>
      </c>
      <c r="H501" s="3169">
        <f t="shared" si="295"/>
        <v>0</v>
      </c>
      <c r="I501" s="3175"/>
      <c r="J501" s="3187"/>
      <c r="K501" s="3175"/>
      <c r="L501" s="3187"/>
      <c r="M501" s="3187"/>
      <c r="N501" s="3187"/>
      <c r="O501" s="3187"/>
      <c r="P501" s="3187"/>
      <c r="Q501" s="3187"/>
      <c r="R501" s="3187"/>
      <c r="S501" s="3187"/>
      <c r="T501" s="3187"/>
      <c r="U501" s="3187"/>
      <c r="V501" s="3187"/>
      <c r="W501" s="3187"/>
      <c r="X501" s="3187"/>
      <c r="Y501" s="3187"/>
      <c r="Z501" s="3187"/>
      <c r="AA501" s="3187"/>
      <c r="AB501" s="3187"/>
      <c r="AC501" s="3166">
        <f t="shared" si="296"/>
        <v>0</v>
      </c>
      <c r="AD501" s="3198"/>
      <c r="AE501" s="3198"/>
      <c r="AF501" s="3175"/>
      <c r="AG501" s="3198"/>
      <c r="AH501" s="3198"/>
      <c r="AI501" s="3198"/>
      <c r="AJ501" s="3198"/>
      <c r="AK501" s="3198"/>
      <c r="AL501" s="3198"/>
      <c r="AM501" s="3198"/>
      <c r="AN501" s="3198"/>
      <c r="AO501" s="3198"/>
      <c r="AP501" s="3198"/>
      <c r="AQ501" s="3198"/>
      <c r="AR501" s="3198"/>
      <c r="AS501" s="3198"/>
      <c r="AT501" s="3218"/>
      <c r="AU501" s="3219"/>
      <c r="AV501" s="488">
        <f t="shared" si="320"/>
        <v>0</v>
      </c>
      <c r="AW501" s="488">
        <f t="shared" si="321"/>
        <v>0</v>
      </c>
      <c r="AX501" s="488">
        <f t="shared" si="322"/>
        <v>0</v>
      </c>
      <c r="AY501" s="3235">
        <f t="shared" si="297"/>
        <v>0</v>
      </c>
      <c r="AZ501" s="3166">
        <f t="shared" si="298"/>
        <v>0</v>
      </c>
      <c r="BA501" s="3166">
        <f t="shared" si="299"/>
        <v>0</v>
      </c>
      <c r="BB501" s="3166">
        <f t="shared" si="300"/>
        <v>0</v>
      </c>
      <c r="BC501" s="3166">
        <f t="shared" si="301"/>
        <v>0</v>
      </c>
      <c r="BD501" s="3166">
        <f t="shared" si="302"/>
        <v>0</v>
      </c>
      <c r="BE501" s="3166">
        <f t="shared" si="303"/>
        <v>0</v>
      </c>
      <c r="BF501" s="3166">
        <f t="shared" si="304"/>
        <v>0</v>
      </c>
      <c r="BG501" s="3166">
        <f t="shared" si="305"/>
        <v>0</v>
      </c>
      <c r="BH501" s="3166">
        <f t="shared" si="306"/>
        <v>0</v>
      </c>
      <c r="BI501" s="3166">
        <f t="shared" si="307"/>
        <v>0</v>
      </c>
      <c r="BJ501" s="3166">
        <f t="shared" si="308"/>
        <v>0</v>
      </c>
      <c r="BK501" s="3166">
        <f t="shared" si="309"/>
        <v>0</v>
      </c>
      <c r="BL501" s="3166">
        <f t="shared" si="310"/>
        <v>0</v>
      </c>
      <c r="BM501" s="3166">
        <f t="shared" si="311"/>
        <v>0</v>
      </c>
      <c r="BN501" s="3166">
        <f t="shared" si="312"/>
        <v>0</v>
      </c>
      <c r="BO501" s="3166">
        <f t="shared" si="313"/>
        <v>0</v>
      </c>
      <c r="BP501" s="3166">
        <f t="shared" si="314"/>
        <v>0</v>
      </c>
      <c r="BQ501" s="3166">
        <f t="shared" si="315"/>
        <v>0</v>
      </c>
      <c r="BR501" s="3166">
        <f t="shared" si="316"/>
        <v>0</v>
      </c>
      <c r="BS501" s="3166">
        <f t="shared" si="317"/>
        <v>0</v>
      </c>
      <c r="BT501" s="3240">
        <f t="shared" si="318"/>
        <v>0</v>
      </c>
    </row>
    <row r="502" spans="1:72">
      <c r="A502" s="3163"/>
      <c r="B502" s="3173"/>
      <c r="C502" s="3171"/>
      <c r="D502" s="3172"/>
      <c r="E502" s="3166">
        <f t="shared" si="319"/>
        <v>0</v>
      </c>
      <c r="F502" s="3167"/>
      <c r="G502" s="3168">
        <f t="shared" si="294"/>
        <v>0</v>
      </c>
      <c r="H502" s="3169">
        <f t="shared" si="295"/>
        <v>0</v>
      </c>
      <c r="I502" s="3175"/>
      <c r="J502" s="3187"/>
      <c r="K502" s="3175"/>
      <c r="L502" s="3187"/>
      <c r="M502" s="3187"/>
      <c r="N502" s="3187"/>
      <c r="O502" s="3187"/>
      <c r="P502" s="3187"/>
      <c r="Q502" s="3187"/>
      <c r="R502" s="3187"/>
      <c r="S502" s="3187"/>
      <c r="T502" s="3187"/>
      <c r="U502" s="3187"/>
      <c r="V502" s="3187"/>
      <c r="W502" s="3187"/>
      <c r="X502" s="3187"/>
      <c r="Y502" s="3187"/>
      <c r="Z502" s="3187"/>
      <c r="AA502" s="3187"/>
      <c r="AB502" s="3187"/>
      <c r="AC502" s="3166">
        <f t="shared" si="296"/>
        <v>0</v>
      </c>
      <c r="AD502" s="3198"/>
      <c r="AE502" s="3198"/>
      <c r="AF502" s="3175"/>
      <c r="AG502" s="3198"/>
      <c r="AH502" s="3198"/>
      <c r="AI502" s="3198"/>
      <c r="AJ502" s="3198"/>
      <c r="AK502" s="3198"/>
      <c r="AL502" s="3198"/>
      <c r="AM502" s="3198"/>
      <c r="AN502" s="3198"/>
      <c r="AO502" s="3198"/>
      <c r="AP502" s="3198"/>
      <c r="AQ502" s="3198"/>
      <c r="AR502" s="3198"/>
      <c r="AS502" s="3198"/>
      <c r="AT502" s="3218"/>
      <c r="AU502" s="3219"/>
      <c r="AV502" s="488">
        <f t="shared" si="320"/>
        <v>0</v>
      </c>
      <c r="AW502" s="488">
        <f t="shared" si="321"/>
        <v>0</v>
      </c>
      <c r="AX502" s="488">
        <f t="shared" si="322"/>
        <v>0</v>
      </c>
      <c r="AY502" s="3235">
        <f t="shared" si="297"/>
        <v>0</v>
      </c>
      <c r="AZ502" s="3166">
        <f t="shared" si="298"/>
        <v>0</v>
      </c>
      <c r="BA502" s="3166">
        <f t="shared" si="299"/>
        <v>0</v>
      </c>
      <c r="BB502" s="3166">
        <f t="shared" si="300"/>
        <v>0</v>
      </c>
      <c r="BC502" s="3166">
        <f t="shared" si="301"/>
        <v>0</v>
      </c>
      <c r="BD502" s="3166">
        <f t="shared" si="302"/>
        <v>0</v>
      </c>
      <c r="BE502" s="3166">
        <f t="shared" si="303"/>
        <v>0</v>
      </c>
      <c r="BF502" s="3166">
        <f t="shared" si="304"/>
        <v>0</v>
      </c>
      <c r="BG502" s="3166">
        <f t="shared" si="305"/>
        <v>0</v>
      </c>
      <c r="BH502" s="3166">
        <f t="shared" si="306"/>
        <v>0</v>
      </c>
      <c r="BI502" s="3166">
        <f t="shared" si="307"/>
        <v>0</v>
      </c>
      <c r="BJ502" s="3166">
        <f t="shared" si="308"/>
        <v>0</v>
      </c>
      <c r="BK502" s="3166">
        <f t="shared" si="309"/>
        <v>0</v>
      </c>
      <c r="BL502" s="3166">
        <f t="shared" si="310"/>
        <v>0</v>
      </c>
      <c r="BM502" s="3166">
        <f t="shared" si="311"/>
        <v>0</v>
      </c>
      <c r="BN502" s="3166">
        <f t="shared" si="312"/>
        <v>0</v>
      </c>
      <c r="BO502" s="3166">
        <f t="shared" si="313"/>
        <v>0</v>
      </c>
      <c r="BP502" s="3166">
        <f t="shared" si="314"/>
        <v>0</v>
      </c>
      <c r="BQ502" s="3166">
        <f t="shared" si="315"/>
        <v>0</v>
      </c>
      <c r="BR502" s="3166">
        <f t="shared" si="316"/>
        <v>0</v>
      </c>
      <c r="BS502" s="3166">
        <f t="shared" si="317"/>
        <v>0</v>
      </c>
      <c r="BT502" s="3240">
        <f t="shared" si="318"/>
        <v>0</v>
      </c>
    </row>
    <row r="503" spans="1:72">
      <c r="A503" s="3163"/>
      <c r="B503" s="3173"/>
      <c r="C503" s="3171"/>
      <c r="D503" s="3172"/>
      <c r="E503" s="3166">
        <f t="shared" si="319"/>
        <v>0</v>
      </c>
      <c r="F503" s="3167"/>
      <c r="G503" s="3168">
        <f t="shared" si="294"/>
        <v>0</v>
      </c>
      <c r="H503" s="3169">
        <f t="shared" si="295"/>
        <v>0</v>
      </c>
      <c r="I503" s="3175"/>
      <c r="J503" s="3187"/>
      <c r="K503" s="3175"/>
      <c r="L503" s="3187"/>
      <c r="M503" s="3187"/>
      <c r="N503" s="3187"/>
      <c r="O503" s="3187"/>
      <c r="P503" s="3187"/>
      <c r="Q503" s="3187"/>
      <c r="R503" s="3187"/>
      <c r="S503" s="3187"/>
      <c r="T503" s="3187"/>
      <c r="U503" s="3187"/>
      <c r="V503" s="3187"/>
      <c r="W503" s="3187"/>
      <c r="X503" s="3187"/>
      <c r="Y503" s="3187"/>
      <c r="Z503" s="3187"/>
      <c r="AA503" s="3187"/>
      <c r="AB503" s="3187"/>
      <c r="AC503" s="3166">
        <f t="shared" si="296"/>
        <v>0</v>
      </c>
      <c r="AD503" s="3198"/>
      <c r="AE503" s="3198"/>
      <c r="AF503" s="3175"/>
      <c r="AG503" s="3198"/>
      <c r="AH503" s="3198"/>
      <c r="AI503" s="3198"/>
      <c r="AJ503" s="3198"/>
      <c r="AK503" s="3198"/>
      <c r="AL503" s="3198"/>
      <c r="AM503" s="3198"/>
      <c r="AN503" s="3198"/>
      <c r="AO503" s="3198"/>
      <c r="AP503" s="3198"/>
      <c r="AQ503" s="3198"/>
      <c r="AR503" s="3198"/>
      <c r="AS503" s="3198"/>
      <c r="AT503" s="3218"/>
      <c r="AU503" s="3219"/>
      <c r="AV503" s="488">
        <f t="shared" si="320"/>
        <v>0</v>
      </c>
      <c r="AW503" s="488">
        <f t="shared" si="321"/>
        <v>0</v>
      </c>
      <c r="AX503" s="488">
        <f t="shared" si="322"/>
        <v>0</v>
      </c>
      <c r="AY503" s="3235">
        <f t="shared" si="297"/>
        <v>0</v>
      </c>
      <c r="AZ503" s="3166">
        <f t="shared" si="298"/>
        <v>0</v>
      </c>
      <c r="BA503" s="3166">
        <f t="shared" si="299"/>
        <v>0</v>
      </c>
      <c r="BB503" s="3166">
        <f t="shared" si="300"/>
        <v>0</v>
      </c>
      <c r="BC503" s="3166">
        <f t="shared" si="301"/>
        <v>0</v>
      </c>
      <c r="BD503" s="3166">
        <f t="shared" si="302"/>
        <v>0</v>
      </c>
      <c r="BE503" s="3166">
        <f t="shared" si="303"/>
        <v>0</v>
      </c>
      <c r="BF503" s="3166">
        <f t="shared" si="304"/>
        <v>0</v>
      </c>
      <c r="BG503" s="3166">
        <f t="shared" si="305"/>
        <v>0</v>
      </c>
      <c r="BH503" s="3166">
        <f t="shared" si="306"/>
        <v>0</v>
      </c>
      <c r="BI503" s="3166">
        <f t="shared" si="307"/>
        <v>0</v>
      </c>
      <c r="BJ503" s="3166">
        <f t="shared" si="308"/>
        <v>0</v>
      </c>
      <c r="BK503" s="3166">
        <f t="shared" si="309"/>
        <v>0</v>
      </c>
      <c r="BL503" s="3166">
        <f t="shared" si="310"/>
        <v>0</v>
      </c>
      <c r="BM503" s="3166">
        <f t="shared" si="311"/>
        <v>0</v>
      </c>
      <c r="BN503" s="3166">
        <f t="shared" si="312"/>
        <v>0</v>
      </c>
      <c r="BO503" s="3166">
        <f t="shared" si="313"/>
        <v>0</v>
      </c>
      <c r="BP503" s="3166">
        <f t="shared" si="314"/>
        <v>0</v>
      </c>
      <c r="BQ503" s="3166">
        <f t="shared" si="315"/>
        <v>0</v>
      </c>
      <c r="BR503" s="3166">
        <f t="shared" si="316"/>
        <v>0</v>
      </c>
      <c r="BS503" s="3166">
        <f t="shared" si="317"/>
        <v>0</v>
      </c>
      <c r="BT503" s="3240">
        <f t="shared" si="318"/>
        <v>0</v>
      </c>
    </row>
    <row r="504" spans="1:72">
      <c r="A504" s="3163"/>
      <c r="B504" s="3173"/>
      <c r="C504" s="3171"/>
      <c r="D504" s="3172"/>
      <c r="E504" s="3166">
        <f t="shared" si="319"/>
        <v>0</v>
      </c>
      <c r="F504" s="3167"/>
      <c r="G504" s="3168">
        <f t="shared" si="294"/>
        <v>0</v>
      </c>
      <c r="H504" s="3169">
        <f t="shared" si="295"/>
        <v>0</v>
      </c>
      <c r="I504" s="3175"/>
      <c r="J504" s="3187"/>
      <c r="K504" s="3175"/>
      <c r="L504" s="3187"/>
      <c r="M504" s="3187"/>
      <c r="N504" s="3187"/>
      <c r="O504" s="3187"/>
      <c r="P504" s="3187"/>
      <c r="Q504" s="3187"/>
      <c r="R504" s="3187"/>
      <c r="S504" s="3187"/>
      <c r="T504" s="3187"/>
      <c r="U504" s="3187"/>
      <c r="V504" s="3187"/>
      <c r="W504" s="3187"/>
      <c r="X504" s="3187"/>
      <c r="Y504" s="3187"/>
      <c r="Z504" s="3187"/>
      <c r="AA504" s="3187"/>
      <c r="AB504" s="3187"/>
      <c r="AC504" s="3166">
        <f t="shared" si="296"/>
        <v>0</v>
      </c>
      <c r="AD504" s="3198"/>
      <c r="AE504" s="3198"/>
      <c r="AF504" s="3175"/>
      <c r="AG504" s="3198"/>
      <c r="AH504" s="3198"/>
      <c r="AI504" s="3198"/>
      <c r="AJ504" s="3198"/>
      <c r="AK504" s="3198"/>
      <c r="AL504" s="3198"/>
      <c r="AM504" s="3198"/>
      <c r="AN504" s="3198"/>
      <c r="AO504" s="3198"/>
      <c r="AP504" s="3198"/>
      <c r="AQ504" s="3198"/>
      <c r="AR504" s="3198"/>
      <c r="AS504" s="3198"/>
      <c r="AT504" s="3218"/>
      <c r="AU504" s="3219"/>
      <c r="AV504" s="488">
        <f t="shared" si="320"/>
        <v>0</v>
      </c>
      <c r="AW504" s="488">
        <f t="shared" si="321"/>
        <v>0</v>
      </c>
      <c r="AX504" s="488">
        <f t="shared" si="322"/>
        <v>0</v>
      </c>
      <c r="AY504" s="3235">
        <f t="shared" si="297"/>
        <v>0</v>
      </c>
      <c r="AZ504" s="3166">
        <f t="shared" si="298"/>
        <v>0</v>
      </c>
      <c r="BA504" s="3166">
        <f t="shared" si="299"/>
        <v>0</v>
      </c>
      <c r="BB504" s="3166">
        <f t="shared" si="300"/>
        <v>0</v>
      </c>
      <c r="BC504" s="3166">
        <f t="shared" si="301"/>
        <v>0</v>
      </c>
      <c r="BD504" s="3166">
        <f t="shared" si="302"/>
        <v>0</v>
      </c>
      <c r="BE504" s="3166">
        <f t="shared" si="303"/>
        <v>0</v>
      </c>
      <c r="BF504" s="3166">
        <f t="shared" si="304"/>
        <v>0</v>
      </c>
      <c r="BG504" s="3166">
        <f t="shared" si="305"/>
        <v>0</v>
      </c>
      <c r="BH504" s="3166">
        <f t="shared" si="306"/>
        <v>0</v>
      </c>
      <c r="BI504" s="3166">
        <f t="shared" si="307"/>
        <v>0</v>
      </c>
      <c r="BJ504" s="3166">
        <f t="shared" si="308"/>
        <v>0</v>
      </c>
      <c r="BK504" s="3166">
        <f t="shared" si="309"/>
        <v>0</v>
      </c>
      <c r="BL504" s="3166">
        <f t="shared" si="310"/>
        <v>0</v>
      </c>
      <c r="BM504" s="3166">
        <f t="shared" si="311"/>
        <v>0</v>
      </c>
      <c r="BN504" s="3166">
        <f t="shared" si="312"/>
        <v>0</v>
      </c>
      <c r="BO504" s="3166">
        <f t="shared" si="313"/>
        <v>0</v>
      </c>
      <c r="BP504" s="3166">
        <f t="shared" si="314"/>
        <v>0</v>
      </c>
      <c r="BQ504" s="3166">
        <f t="shared" si="315"/>
        <v>0</v>
      </c>
      <c r="BR504" s="3166">
        <f t="shared" si="316"/>
        <v>0</v>
      </c>
      <c r="BS504" s="3166">
        <f t="shared" si="317"/>
        <v>0</v>
      </c>
      <c r="BT504" s="3240">
        <f t="shared" si="318"/>
        <v>0</v>
      </c>
    </row>
    <row r="505" spans="1:72">
      <c r="A505" s="3163"/>
      <c r="B505" s="3173"/>
      <c r="C505" s="3171"/>
      <c r="D505" s="3172"/>
      <c r="E505" s="3166">
        <f t="shared" ref="E505:E536" si="323">IF($C$3="是",ROUND($A$3*G505/$B$3,2),ROUND($A$3*(G505-AT505)/$B$3,2))</f>
        <v>0</v>
      </c>
      <c r="F505" s="3167"/>
      <c r="G505" s="3168">
        <f t="shared" si="294"/>
        <v>0</v>
      </c>
      <c r="H505" s="3169">
        <f t="shared" si="295"/>
        <v>0</v>
      </c>
      <c r="I505" s="3175"/>
      <c r="J505" s="3187"/>
      <c r="K505" s="3175"/>
      <c r="L505" s="3187"/>
      <c r="M505" s="3187"/>
      <c r="N505" s="3187"/>
      <c r="O505" s="3187"/>
      <c r="P505" s="3187"/>
      <c r="Q505" s="3187"/>
      <c r="R505" s="3187"/>
      <c r="S505" s="3187"/>
      <c r="T505" s="3187"/>
      <c r="U505" s="3187"/>
      <c r="V505" s="3187"/>
      <c r="W505" s="3187"/>
      <c r="X505" s="3187"/>
      <c r="Y505" s="3187"/>
      <c r="Z505" s="3187"/>
      <c r="AA505" s="3187"/>
      <c r="AB505" s="3187"/>
      <c r="AC505" s="3166">
        <f t="shared" si="296"/>
        <v>0</v>
      </c>
      <c r="AD505" s="3198"/>
      <c r="AE505" s="3198"/>
      <c r="AF505" s="3175"/>
      <c r="AG505" s="3198"/>
      <c r="AH505" s="3198"/>
      <c r="AI505" s="3198"/>
      <c r="AJ505" s="3198"/>
      <c r="AK505" s="3198"/>
      <c r="AL505" s="3198"/>
      <c r="AM505" s="3198"/>
      <c r="AN505" s="3198"/>
      <c r="AO505" s="3198"/>
      <c r="AP505" s="3198"/>
      <c r="AQ505" s="3198"/>
      <c r="AR505" s="3198"/>
      <c r="AS505" s="3198"/>
      <c r="AT505" s="3218"/>
      <c r="AU505" s="3219"/>
      <c r="AV505" s="488">
        <f t="shared" si="320"/>
        <v>0</v>
      </c>
      <c r="AW505" s="488">
        <f t="shared" si="321"/>
        <v>0</v>
      </c>
      <c r="AX505" s="488">
        <f t="shared" si="322"/>
        <v>0</v>
      </c>
      <c r="AY505" s="3235">
        <f t="shared" si="297"/>
        <v>0</v>
      </c>
      <c r="AZ505" s="3166">
        <f t="shared" si="298"/>
        <v>0</v>
      </c>
      <c r="BA505" s="3166">
        <f t="shared" si="299"/>
        <v>0</v>
      </c>
      <c r="BB505" s="3166">
        <f t="shared" si="300"/>
        <v>0</v>
      </c>
      <c r="BC505" s="3166">
        <f t="shared" si="301"/>
        <v>0</v>
      </c>
      <c r="BD505" s="3166">
        <f t="shared" si="302"/>
        <v>0</v>
      </c>
      <c r="BE505" s="3166">
        <f t="shared" si="303"/>
        <v>0</v>
      </c>
      <c r="BF505" s="3166">
        <f t="shared" si="304"/>
        <v>0</v>
      </c>
      <c r="BG505" s="3166">
        <f t="shared" si="305"/>
        <v>0</v>
      </c>
      <c r="BH505" s="3166">
        <f t="shared" si="306"/>
        <v>0</v>
      </c>
      <c r="BI505" s="3166">
        <f t="shared" si="307"/>
        <v>0</v>
      </c>
      <c r="BJ505" s="3166">
        <f t="shared" si="308"/>
        <v>0</v>
      </c>
      <c r="BK505" s="3166">
        <f t="shared" si="309"/>
        <v>0</v>
      </c>
      <c r="BL505" s="3166">
        <f t="shared" si="310"/>
        <v>0</v>
      </c>
      <c r="BM505" s="3166">
        <f t="shared" si="311"/>
        <v>0</v>
      </c>
      <c r="BN505" s="3166">
        <f t="shared" si="312"/>
        <v>0</v>
      </c>
      <c r="BO505" s="3166">
        <f t="shared" si="313"/>
        <v>0</v>
      </c>
      <c r="BP505" s="3166">
        <f t="shared" si="314"/>
        <v>0</v>
      </c>
      <c r="BQ505" s="3166">
        <f t="shared" si="315"/>
        <v>0</v>
      </c>
      <c r="BR505" s="3166">
        <f t="shared" si="316"/>
        <v>0</v>
      </c>
      <c r="BS505" s="3166">
        <f t="shared" si="317"/>
        <v>0</v>
      </c>
      <c r="BT505" s="3240">
        <f t="shared" si="318"/>
        <v>0</v>
      </c>
    </row>
    <row r="506" spans="1:72">
      <c r="A506" s="3163"/>
      <c r="B506" s="3173"/>
      <c r="C506" s="3171"/>
      <c r="D506" s="3172"/>
      <c r="E506" s="3166">
        <f t="shared" si="323"/>
        <v>0</v>
      </c>
      <c r="F506" s="3167"/>
      <c r="G506" s="3168">
        <f t="shared" si="294"/>
        <v>0</v>
      </c>
      <c r="H506" s="3169">
        <f t="shared" si="295"/>
        <v>0</v>
      </c>
      <c r="I506" s="3175"/>
      <c r="J506" s="3187"/>
      <c r="K506" s="3175"/>
      <c r="L506" s="3187"/>
      <c r="M506" s="3187"/>
      <c r="N506" s="3187"/>
      <c r="O506" s="3187"/>
      <c r="P506" s="3187"/>
      <c r="Q506" s="3187"/>
      <c r="R506" s="3187"/>
      <c r="S506" s="3187"/>
      <c r="T506" s="3187"/>
      <c r="U506" s="3187"/>
      <c r="V506" s="3187"/>
      <c r="W506" s="3187"/>
      <c r="X506" s="3187"/>
      <c r="Y506" s="3187"/>
      <c r="Z506" s="3187"/>
      <c r="AA506" s="3187"/>
      <c r="AB506" s="3187"/>
      <c r="AC506" s="3166">
        <f t="shared" si="296"/>
        <v>0</v>
      </c>
      <c r="AD506" s="3198"/>
      <c r="AE506" s="3198"/>
      <c r="AF506" s="3175"/>
      <c r="AG506" s="3198"/>
      <c r="AH506" s="3198"/>
      <c r="AI506" s="3198"/>
      <c r="AJ506" s="3198"/>
      <c r="AK506" s="3198"/>
      <c r="AL506" s="3198"/>
      <c r="AM506" s="3198"/>
      <c r="AN506" s="3198"/>
      <c r="AO506" s="3198"/>
      <c r="AP506" s="3198"/>
      <c r="AQ506" s="3198"/>
      <c r="AR506" s="3198"/>
      <c r="AS506" s="3198"/>
      <c r="AT506" s="3218"/>
      <c r="AU506" s="3219"/>
      <c r="AV506" s="488">
        <f t="shared" ref="AV506:AV537" si="324">A506</f>
        <v>0</v>
      </c>
      <c r="AW506" s="488">
        <f t="shared" ref="AW506:AW537" si="325">B506</f>
        <v>0</v>
      </c>
      <c r="AX506" s="488">
        <f t="shared" ref="AX506:AX537" si="326">C506</f>
        <v>0</v>
      </c>
      <c r="AY506" s="3235">
        <f t="shared" si="297"/>
        <v>0</v>
      </c>
      <c r="AZ506" s="3166">
        <f t="shared" si="298"/>
        <v>0</v>
      </c>
      <c r="BA506" s="3166">
        <f t="shared" si="299"/>
        <v>0</v>
      </c>
      <c r="BB506" s="3166">
        <f t="shared" si="300"/>
        <v>0</v>
      </c>
      <c r="BC506" s="3166">
        <f t="shared" si="301"/>
        <v>0</v>
      </c>
      <c r="BD506" s="3166">
        <f t="shared" si="302"/>
        <v>0</v>
      </c>
      <c r="BE506" s="3166">
        <f t="shared" si="303"/>
        <v>0</v>
      </c>
      <c r="BF506" s="3166">
        <f t="shared" si="304"/>
        <v>0</v>
      </c>
      <c r="BG506" s="3166">
        <f t="shared" si="305"/>
        <v>0</v>
      </c>
      <c r="BH506" s="3166">
        <f t="shared" si="306"/>
        <v>0</v>
      </c>
      <c r="BI506" s="3166">
        <f t="shared" si="307"/>
        <v>0</v>
      </c>
      <c r="BJ506" s="3166">
        <f t="shared" si="308"/>
        <v>0</v>
      </c>
      <c r="BK506" s="3166">
        <f t="shared" si="309"/>
        <v>0</v>
      </c>
      <c r="BL506" s="3166">
        <f t="shared" si="310"/>
        <v>0</v>
      </c>
      <c r="BM506" s="3166">
        <f t="shared" si="311"/>
        <v>0</v>
      </c>
      <c r="BN506" s="3166">
        <f t="shared" si="312"/>
        <v>0</v>
      </c>
      <c r="BO506" s="3166">
        <f t="shared" si="313"/>
        <v>0</v>
      </c>
      <c r="BP506" s="3166">
        <f t="shared" si="314"/>
        <v>0</v>
      </c>
      <c r="BQ506" s="3166">
        <f t="shared" si="315"/>
        <v>0</v>
      </c>
      <c r="BR506" s="3166">
        <f t="shared" si="316"/>
        <v>0</v>
      </c>
      <c r="BS506" s="3166">
        <f t="shared" si="317"/>
        <v>0</v>
      </c>
      <c r="BT506" s="3240">
        <f t="shared" si="318"/>
        <v>0</v>
      </c>
    </row>
    <row r="507" spans="1:72">
      <c r="A507" s="3163"/>
      <c r="B507" s="3173"/>
      <c r="C507" s="3171"/>
      <c r="D507" s="3172"/>
      <c r="E507" s="3166">
        <f t="shared" si="323"/>
        <v>0</v>
      </c>
      <c r="F507" s="3167"/>
      <c r="G507" s="3168">
        <f t="shared" si="294"/>
        <v>0</v>
      </c>
      <c r="H507" s="3169">
        <f t="shared" si="295"/>
        <v>0</v>
      </c>
      <c r="I507" s="3175"/>
      <c r="J507" s="3187"/>
      <c r="K507" s="3175"/>
      <c r="L507" s="3187"/>
      <c r="M507" s="3187"/>
      <c r="N507" s="3187"/>
      <c r="O507" s="3187"/>
      <c r="P507" s="3187"/>
      <c r="Q507" s="3187"/>
      <c r="R507" s="3187"/>
      <c r="S507" s="3187"/>
      <c r="T507" s="3187"/>
      <c r="U507" s="3187"/>
      <c r="V507" s="3187"/>
      <c r="W507" s="3187"/>
      <c r="X507" s="3187"/>
      <c r="Y507" s="3187"/>
      <c r="Z507" s="3187"/>
      <c r="AA507" s="3187"/>
      <c r="AB507" s="3187"/>
      <c r="AC507" s="3166">
        <f t="shared" si="296"/>
        <v>0</v>
      </c>
      <c r="AD507" s="3198"/>
      <c r="AE507" s="3198"/>
      <c r="AF507" s="3171"/>
      <c r="AG507" s="3198"/>
      <c r="AH507" s="3198"/>
      <c r="AI507" s="3198"/>
      <c r="AJ507" s="3198"/>
      <c r="AK507" s="3198"/>
      <c r="AL507" s="3198"/>
      <c r="AM507" s="3198"/>
      <c r="AN507" s="3198"/>
      <c r="AO507" s="3198"/>
      <c r="AP507" s="3198"/>
      <c r="AQ507" s="3198"/>
      <c r="AR507" s="3198"/>
      <c r="AS507" s="3198"/>
      <c r="AT507" s="3218"/>
      <c r="AU507" s="3219"/>
      <c r="AV507" s="488">
        <f t="shared" si="324"/>
        <v>0</v>
      </c>
      <c r="AW507" s="488">
        <f t="shared" si="325"/>
        <v>0</v>
      </c>
      <c r="AX507" s="488">
        <f t="shared" si="326"/>
        <v>0</v>
      </c>
      <c r="AY507" s="3235">
        <f t="shared" si="297"/>
        <v>0</v>
      </c>
      <c r="AZ507" s="3166">
        <f t="shared" si="298"/>
        <v>0</v>
      </c>
      <c r="BA507" s="3166">
        <f t="shared" si="299"/>
        <v>0</v>
      </c>
      <c r="BB507" s="3166">
        <f t="shared" si="300"/>
        <v>0</v>
      </c>
      <c r="BC507" s="3166">
        <f t="shared" si="301"/>
        <v>0</v>
      </c>
      <c r="BD507" s="3166">
        <f t="shared" si="302"/>
        <v>0</v>
      </c>
      <c r="BE507" s="3166">
        <f t="shared" si="303"/>
        <v>0</v>
      </c>
      <c r="BF507" s="3166">
        <f t="shared" si="304"/>
        <v>0</v>
      </c>
      <c r="BG507" s="3166">
        <f t="shared" si="305"/>
        <v>0</v>
      </c>
      <c r="BH507" s="3166">
        <f t="shared" si="306"/>
        <v>0</v>
      </c>
      <c r="BI507" s="3166">
        <f t="shared" si="307"/>
        <v>0</v>
      </c>
      <c r="BJ507" s="3166">
        <f t="shared" si="308"/>
        <v>0</v>
      </c>
      <c r="BK507" s="3166">
        <f t="shared" si="309"/>
        <v>0</v>
      </c>
      <c r="BL507" s="3166">
        <f t="shared" si="310"/>
        <v>0</v>
      </c>
      <c r="BM507" s="3166">
        <f t="shared" si="311"/>
        <v>0</v>
      </c>
      <c r="BN507" s="3166">
        <f t="shared" si="312"/>
        <v>0</v>
      </c>
      <c r="BO507" s="3166">
        <f t="shared" si="313"/>
        <v>0</v>
      </c>
      <c r="BP507" s="3166">
        <f t="shared" si="314"/>
        <v>0</v>
      </c>
      <c r="BQ507" s="3166">
        <f t="shared" si="315"/>
        <v>0</v>
      </c>
      <c r="BR507" s="3166">
        <f t="shared" si="316"/>
        <v>0</v>
      </c>
      <c r="BS507" s="3166">
        <f t="shared" si="317"/>
        <v>0</v>
      </c>
      <c r="BT507" s="3240">
        <f t="shared" si="318"/>
        <v>0</v>
      </c>
    </row>
    <row r="508" spans="1:72">
      <c r="A508" s="3163"/>
      <c r="B508" s="3173"/>
      <c r="C508" s="3171"/>
      <c r="D508" s="3172"/>
      <c r="E508" s="3166">
        <f t="shared" si="323"/>
        <v>0</v>
      </c>
      <c r="F508" s="3167"/>
      <c r="G508" s="3168">
        <f t="shared" si="294"/>
        <v>0</v>
      </c>
      <c r="H508" s="3169">
        <f t="shared" si="295"/>
        <v>0</v>
      </c>
      <c r="I508" s="3171"/>
      <c r="J508" s="3187"/>
      <c r="K508" s="3171"/>
      <c r="L508" s="3187"/>
      <c r="M508" s="3187"/>
      <c r="N508" s="3187"/>
      <c r="O508" s="3187"/>
      <c r="P508" s="3187"/>
      <c r="Q508" s="3187"/>
      <c r="R508" s="3187"/>
      <c r="S508" s="3187"/>
      <c r="T508" s="3187"/>
      <c r="U508" s="3187"/>
      <c r="V508" s="3187"/>
      <c r="W508" s="3187"/>
      <c r="X508" s="3187"/>
      <c r="Y508" s="3187"/>
      <c r="Z508" s="3187"/>
      <c r="AA508" s="3187"/>
      <c r="AB508" s="3187"/>
      <c r="AC508" s="3166">
        <f t="shared" si="296"/>
        <v>0</v>
      </c>
      <c r="AD508" s="3198"/>
      <c r="AE508" s="3198"/>
      <c r="AF508" s="3171"/>
      <c r="AG508" s="3198"/>
      <c r="AH508" s="3198"/>
      <c r="AI508" s="3198"/>
      <c r="AJ508" s="3198"/>
      <c r="AK508" s="3198"/>
      <c r="AL508" s="3198"/>
      <c r="AM508" s="3198"/>
      <c r="AN508" s="3198"/>
      <c r="AO508" s="3198"/>
      <c r="AP508" s="3198"/>
      <c r="AQ508" s="3198"/>
      <c r="AR508" s="3198"/>
      <c r="AS508" s="3198"/>
      <c r="AT508" s="3218"/>
      <c r="AU508" s="3219"/>
      <c r="AV508" s="488">
        <f t="shared" si="324"/>
        <v>0</v>
      </c>
      <c r="AW508" s="488">
        <f t="shared" si="325"/>
        <v>0</v>
      </c>
      <c r="AX508" s="488">
        <f t="shared" si="326"/>
        <v>0</v>
      </c>
      <c r="AY508" s="3235">
        <f t="shared" si="297"/>
        <v>0</v>
      </c>
      <c r="AZ508" s="3166">
        <f t="shared" si="298"/>
        <v>0</v>
      </c>
      <c r="BA508" s="3166">
        <f t="shared" si="299"/>
        <v>0</v>
      </c>
      <c r="BB508" s="3166">
        <f t="shared" si="300"/>
        <v>0</v>
      </c>
      <c r="BC508" s="3166">
        <f t="shared" si="301"/>
        <v>0</v>
      </c>
      <c r="BD508" s="3166">
        <f t="shared" si="302"/>
        <v>0</v>
      </c>
      <c r="BE508" s="3166">
        <f t="shared" si="303"/>
        <v>0</v>
      </c>
      <c r="BF508" s="3166">
        <f t="shared" si="304"/>
        <v>0</v>
      </c>
      <c r="BG508" s="3166">
        <f t="shared" si="305"/>
        <v>0</v>
      </c>
      <c r="BH508" s="3166">
        <f t="shared" si="306"/>
        <v>0</v>
      </c>
      <c r="BI508" s="3166">
        <f t="shared" si="307"/>
        <v>0</v>
      </c>
      <c r="BJ508" s="3166">
        <f t="shared" si="308"/>
        <v>0</v>
      </c>
      <c r="BK508" s="3166">
        <f t="shared" si="309"/>
        <v>0</v>
      </c>
      <c r="BL508" s="3166">
        <f t="shared" si="310"/>
        <v>0</v>
      </c>
      <c r="BM508" s="3166">
        <f t="shared" si="311"/>
        <v>0</v>
      </c>
      <c r="BN508" s="3166">
        <f t="shared" si="312"/>
        <v>0</v>
      </c>
      <c r="BO508" s="3166">
        <f t="shared" si="313"/>
        <v>0</v>
      </c>
      <c r="BP508" s="3166">
        <f t="shared" si="314"/>
        <v>0</v>
      </c>
      <c r="BQ508" s="3166">
        <f t="shared" si="315"/>
        <v>0</v>
      </c>
      <c r="BR508" s="3166">
        <f t="shared" si="316"/>
        <v>0</v>
      </c>
      <c r="BS508" s="3166">
        <f t="shared" si="317"/>
        <v>0</v>
      </c>
      <c r="BT508" s="3240">
        <f t="shared" si="318"/>
        <v>0</v>
      </c>
    </row>
    <row r="509" spans="1:72">
      <c r="A509" s="3163"/>
      <c r="B509" s="3173"/>
      <c r="C509" s="3171"/>
      <c r="D509" s="3172"/>
      <c r="E509" s="3166">
        <f t="shared" si="323"/>
        <v>0</v>
      </c>
      <c r="F509" s="3167"/>
      <c r="G509" s="3168">
        <f t="shared" si="294"/>
        <v>0</v>
      </c>
      <c r="H509" s="3169">
        <f t="shared" si="295"/>
        <v>0</v>
      </c>
      <c r="I509" s="3171"/>
      <c r="J509" s="3187"/>
      <c r="K509" s="3171"/>
      <c r="L509" s="3187"/>
      <c r="M509" s="3187"/>
      <c r="N509" s="3187"/>
      <c r="O509" s="3187"/>
      <c r="P509" s="3187"/>
      <c r="Q509" s="3187"/>
      <c r="R509" s="3187"/>
      <c r="S509" s="3187"/>
      <c r="T509" s="3187"/>
      <c r="U509" s="3187"/>
      <c r="V509" s="3187"/>
      <c r="W509" s="3187"/>
      <c r="X509" s="3187"/>
      <c r="Y509" s="3187"/>
      <c r="Z509" s="3187"/>
      <c r="AA509" s="3187"/>
      <c r="AB509" s="3187"/>
      <c r="AC509" s="3166">
        <f t="shared" si="296"/>
        <v>0</v>
      </c>
      <c r="AD509" s="3198"/>
      <c r="AE509" s="3198"/>
      <c r="AF509" s="3171"/>
      <c r="AG509" s="3198"/>
      <c r="AH509" s="3198"/>
      <c r="AI509" s="3198"/>
      <c r="AJ509" s="3198"/>
      <c r="AK509" s="3198"/>
      <c r="AL509" s="3198"/>
      <c r="AM509" s="3198"/>
      <c r="AN509" s="3198"/>
      <c r="AO509" s="3198"/>
      <c r="AP509" s="3198"/>
      <c r="AQ509" s="3198"/>
      <c r="AR509" s="3198"/>
      <c r="AS509" s="3198"/>
      <c r="AT509" s="3218"/>
      <c r="AU509" s="3219"/>
      <c r="AV509" s="488">
        <f t="shared" si="324"/>
        <v>0</v>
      </c>
      <c r="AW509" s="488">
        <f t="shared" si="325"/>
        <v>0</v>
      </c>
      <c r="AX509" s="488">
        <f t="shared" si="326"/>
        <v>0</v>
      </c>
      <c r="AY509" s="3235">
        <f t="shared" si="297"/>
        <v>0</v>
      </c>
      <c r="AZ509" s="3166">
        <f t="shared" si="298"/>
        <v>0</v>
      </c>
      <c r="BA509" s="3166">
        <f t="shared" si="299"/>
        <v>0</v>
      </c>
      <c r="BB509" s="3166">
        <f t="shared" si="300"/>
        <v>0</v>
      </c>
      <c r="BC509" s="3166">
        <f t="shared" si="301"/>
        <v>0</v>
      </c>
      <c r="BD509" s="3166">
        <f t="shared" si="302"/>
        <v>0</v>
      </c>
      <c r="BE509" s="3166">
        <f t="shared" si="303"/>
        <v>0</v>
      </c>
      <c r="BF509" s="3166">
        <f t="shared" si="304"/>
        <v>0</v>
      </c>
      <c r="BG509" s="3166">
        <f t="shared" si="305"/>
        <v>0</v>
      </c>
      <c r="BH509" s="3166">
        <f t="shared" si="306"/>
        <v>0</v>
      </c>
      <c r="BI509" s="3166">
        <f t="shared" si="307"/>
        <v>0</v>
      </c>
      <c r="BJ509" s="3166">
        <f t="shared" si="308"/>
        <v>0</v>
      </c>
      <c r="BK509" s="3166">
        <f t="shared" si="309"/>
        <v>0</v>
      </c>
      <c r="BL509" s="3166">
        <f t="shared" si="310"/>
        <v>0</v>
      </c>
      <c r="BM509" s="3166">
        <f t="shared" si="311"/>
        <v>0</v>
      </c>
      <c r="BN509" s="3166">
        <f t="shared" si="312"/>
        <v>0</v>
      </c>
      <c r="BO509" s="3166">
        <f t="shared" si="313"/>
        <v>0</v>
      </c>
      <c r="BP509" s="3166">
        <f t="shared" si="314"/>
        <v>0</v>
      </c>
      <c r="BQ509" s="3166">
        <f t="shared" si="315"/>
        <v>0</v>
      </c>
      <c r="BR509" s="3166">
        <f t="shared" si="316"/>
        <v>0</v>
      </c>
      <c r="BS509" s="3166">
        <f t="shared" si="317"/>
        <v>0</v>
      </c>
      <c r="BT509" s="3240">
        <f t="shared" si="318"/>
        <v>0</v>
      </c>
    </row>
    <row r="510" spans="1:72">
      <c r="A510" s="3163"/>
      <c r="B510" s="3173"/>
      <c r="C510" s="3171"/>
      <c r="D510" s="3172"/>
      <c r="E510" s="3166">
        <f t="shared" si="323"/>
        <v>0</v>
      </c>
      <c r="F510" s="3167"/>
      <c r="G510" s="3168">
        <f t="shared" ref="G510:G537" si="327">H510+AC510+AT510</f>
        <v>0</v>
      </c>
      <c r="H510" s="3169">
        <f t="shared" ref="H510:H537" si="328">SUMIF(I$12:AB$12,"总值",I510:AB510)</f>
        <v>0</v>
      </c>
      <c r="I510" s="3171"/>
      <c r="J510" s="3187"/>
      <c r="K510" s="3171"/>
      <c r="L510" s="3187"/>
      <c r="M510" s="3187"/>
      <c r="N510" s="3187"/>
      <c r="O510" s="3187"/>
      <c r="P510" s="3187"/>
      <c r="Q510" s="3187"/>
      <c r="R510" s="3187"/>
      <c r="S510" s="3187"/>
      <c r="T510" s="3187"/>
      <c r="U510" s="3187"/>
      <c r="V510" s="3187"/>
      <c r="W510" s="3187"/>
      <c r="X510" s="3187"/>
      <c r="Y510" s="3187"/>
      <c r="Z510" s="3187"/>
      <c r="AA510" s="3187"/>
      <c r="AB510" s="3187"/>
      <c r="AC510" s="3166">
        <f t="shared" ref="AC510:AC537" si="329">SUMIF(AD$12:AS$12,"总值",AD510:AS510)</f>
        <v>0</v>
      </c>
      <c r="AD510" s="3198"/>
      <c r="AE510" s="3198"/>
      <c r="AF510" s="3171"/>
      <c r="AG510" s="3198"/>
      <c r="AH510" s="3198"/>
      <c r="AI510" s="3198"/>
      <c r="AJ510" s="3198"/>
      <c r="AK510" s="3198"/>
      <c r="AL510" s="3198"/>
      <c r="AM510" s="3198"/>
      <c r="AN510" s="3198"/>
      <c r="AO510" s="3198"/>
      <c r="AP510" s="3198"/>
      <c r="AQ510" s="3198"/>
      <c r="AR510" s="3198"/>
      <c r="AS510" s="3198"/>
      <c r="AT510" s="3218"/>
      <c r="AU510" s="3219"/>
      <c r="AV510" s="488">
        <f t="shared" si="324"/>
        <v>0</v>
      </c>
      <c r="AW510" s="488">
        <f t="shared" si="325"/>
        <v>0</v>
      </c>
      <c r="AX510" s="488">
        <f t="shared" si="326"/>
        <v>0</v>
      </c>
      <c r="AY510" s="3235">
        <f t="shared" ref="AY510:AY537" si="330">ROUND($AY$6*AZ510/$AZ$5,2)</f>
        <v>0</v>
      </c>
      <c r="AZ510" s="3166">
        <f t="shared" ref="AZ510:AZ537" si="331">BA510+BL510</f>
        <v>0</v>
      </c>
      <c r="BA510" s="3166">
        <f t="shared" ref="BA510:BA537" si="332">SUM(BB510:BK510)</f>
        <v>0</v>
      </c>
      <c r="BB510" s="3166">
        <f t="shared" ref="BB510:BB537" si="333">IF($D510="是",I510-J510,0)</f>
        <v>0</v>
      </c>
      <c r="BC510" s="3166">
        <f t="shared" ref="BC510:BC537" si="334">IF($D510="是",K510-L510,0)</f>
        <v>0</v>
      </c>
      <c r="BD510" s="3166">
        <f t="shared" ref="BD510:BD537" si="335">IF($D510="是",M510-N510,0)</f>
        <v>0</v>
      </c>
      <c r="BE510" s="3166">
        <f t="shared" ref="BE510:BE537" si="336">IF($D510="是",O510-P510,0)</f>
        <v>0</v>
      </c>
      <c r="BF510" s="3166">
        <f t="shared" ref="BF510:BF537" si="337">IF($D510="是",Q510-R510,0)</f>
        <v>0</v>
      </c>
      <c r="BG510" s="3166">
        <f t="shared" ref="BG510:BG537" si="338">IF($D510="是",S510-T510,0)</f>
        <v>0</v>
      </c>
      <c r="BH510" s="3166">
        <f t="shared" ref="BH510:BH537" si="339">IF($D510="是",U510-V510,0)</f>
        <v>0</v>
      </c>
      <c r="BI510" s="3166">
        <f t="shared" ref="BI510:BI537" si="340">IF($D510="是",W510-X510,0)</f>
        <v>0</v>
      </c>
      <c r="BJ510" s="3166">
        <f t="shared" ref="BJ510:BJ537" si="341">IF($D510="是",Y510-Z510,0)</f>
        <v>0</v>
      </c>
      <c r="BK510" s="3166">
        <f t="shared" ref="BK510:BK537" si="342">IF($D510="是",AA510-AB510,0)</f>
        <v>0</v>
      </c>
      <c r="BL510" s="3166">
        <f t="shared" ref="BL510:BL537" si="343">SUM(BM510:BT510)</f>
        <v>0</v>
      </c>
      <c r="BM510" s="3166">
        <f t="shared" ref="BM510:BM537" si="344">IF($D510="是",AD510-AE510,0)</f>
        <v>0</v>
      </c>
      <c r="BN510" s="3166">
        <f t="shared" ref="BN510:BN537" si="345">IF($D510="是",AF510-AG510,0)</f>
        <v>0</v>
      </c>
      <c r="BO510" s="3166">
        <f t="shared" ref="BO510:BO537" si="346">IF($D510="是",AH510-AI510,0)</f>
        <v>0</v>
      </c>
      <c r="BP510" s="3166">
        <f t="shared" ref="BP510:BP537" si="347">IF($D510="是",AJ510-AK510,0)</f>
        <v>0</v>
      </c>
      <c r="BQ510" s="3166">
        <f t="shared" ref="BQ510:BQ537" si="348">IF($D510="是",AL510-AM510,0)</f>
        <v>0</v>
      </c>
      <c r="BR510" s="3166">
        <f t="shared" ref="BR510:BR537" si="349">IF($D510="是",AN510-AO510,0)</f>
        <v>0</v>
      </c>
      <c r="BS510" s="3166">
        <f t="shared" ref="BS510:BS537" si="350">IF($D510="是",AP510-AQ510,0)</f>
        <v>0</v>
      </c>
      <c r="BT510" s="3240">
        <f t="shared" ref="BT510:BT537" si="351">IF($D510="是",AR510-AS510,0)</f>
        <v>0</v>
      </c>
    </row>
    <row r="511" spans="1:72">
      <c r="A511" s="3163"/>
      <c r="B511" s="3173"/>
      <c r="C511" s="3171"/>
      <c r="D511" s="3172"/>
      <c r="E511" s="3166">
        <f t="shared" si="323"/>
        <v>0</v>
      </c>
      <c r="F511" s="3167"/>
      <c r="G511" s="3168">
        <f t="shared" si="327"/>
        <v>0</v>
      </c>
      <c r="H511" s="3169">
        <f t="shared" si="328"/>
        <v>0</v>
      </c>
      <c r="I511" s="3171"/>
      <c r="J511" s="3187"/>
      <c r="K511" s="3171"/>
      <c r="L511" s="3187"/>
      <c r="M511" s="3187"/>
      <c r="N511" s="3187"/>
      <c r="O511" s="3187"/>
      <c r="P511" s="3187"/>
      <c r="Q511" s="3187"/>
      <c r="R511" s="3187"/>
      <c r="S511" s="3187"/>
      <c r="T511" s="3187"/>
      <c r="U511" s="3187"/>
      <c r="V511" s="3187"/>
      <c r="W511" s="3187"/>
      <c r="X511" s="3187"/>
      <c r="Y511" s="3187"/>
      <c r="Z511" s="3187"/>
      <c r="AA511" s="3187"/>
      <c r="AB511" s="3187"/>
      <c r="AC511" s="3166">
        <f t="shared" si="329"/>
        <v>0</v>
      </c>
      <c r="AD511" s="3198"/>
      <c r="AE511" s="3198"/>
      <c r="AF511" s="3171"/>
      <c r="AG511" s="3198"/>
      <c r="AH511" s="3198"/>
      <c r="AI511" s="3198"/>
      <c r="AJ511" s="3198"/>
      <c r="AK511" s="3198"/>
      <c r="AL511" s="3198"/>
      <c r="AM511" s="3198"/>
      <c r="AN511" s="3198"/>
      <c r="AO511" s="3198"/>
      <c r="AP511" s="3198"/>
      <c r="AQ511" s="3198"/>
      <c r="AR511" s="3198"/>
      <c r="AS511" s="3198"/>
      <c r="AT511" s="3218"/>
      <c r="AU511" s="3219"/>
      <c r="AV511" s="488">
        <f t="shared" si="324"/>
        <v>0</v>
      </c>
      <c r="AW511" s="488">
        <f t="shared" si="325"/>
        <v>0</v>
      </c>
      <c r="AX511" s="488">
        <f t="shared" si="326"/>
        <v>0</v>
      </c>
      <c r="AY511" s="3235">
        <f t="shared" si="330"/>
        <v>0</v>
      </c>
      <c r="AZ511" s="3166">
        <f t="shared" si="331"/>
        <v>0</v>
      </c>
      <c r="BA511" s="3166">
        <f t="shared" si="332"/>
        <v>0</v>
      </c>
      <c r="BB511" s="3166">
        <f t="shared" si="333"/>
        <v>0</v>
      </c>
      <c r="BC511" s="3166">
        <f t="shared" si="334"/>
        <v>0</v>
      </c>
      <c r="BD511" s="3166">
        <f t="shared" si="335"/>
        <v>0</v>
      </c>
      <c r="BE511" s="3166">
        <f t="shared" si="336"/>
        <v>0</v>
      </c>
      <c r="BF511" s="3166">
        <f t="shared" si="337"/>
        <v>0</v>
      </c>
      <c r="BG511" s="3166">
        <f t="shared" si="338"/>
        <v>0</v>
      </c>
      <c r="BH511" s="3166">
        <f t="shared" si="339"/>
        <v>0</v>
      </c>
      <c r="BI511" s="3166">
        <f t="shared" si="340"/>
        <v>0</v>
      </c>
      <c r="BJ511" s="3166">
        <f t="shared" si="341"/>
        <v>0</v>
      </c>
      <c r="BK511" s="3166">
        <f t="shared" si="342"/>
        <v>0</v>
      </c>
      <c r="BL511" s="3166">
        <f t="shared" si="343"/>
        <v>0</v>
      </c>
      <c r="BM511" s="3166">
        <f t="shared" si="344"/>
        <v>0</v>
      </c>
      <c r="BN511" s="3166">
        <f t="shared" si="345"/>
        <v>0</v>
      </c>
      <c r="BO511" s="3166">
        <f t="shared" si="346"/>
        <v>0</v>
      </c>
      <c r="BP511" s="3166">
        <f t="shared" si="347"/>
        <v>0</v>
      </c>
      <c r="BQ511" s="3166">
        <f t="shared" si="348"/>
        <v>0</v>
      </c>
      <c r="BR511" s="3166">
        <f t="shared" si="349"/>
        <v>0</v>
      </c>
      <c r="BS511" s="3166">
        <f t="shared" si="350"/>
        <v>0</v>
      </c>
      <c r="BT511" s="3240">
        <f t="shared" si="351"/>
        <v>0</v>
      </c>
    </row>
    <row r="512" spans="1:72">
      <c r="A512" s="3163"/>
      <c r="B512" s="3173"/>
      <c r="C512" s="3171"/>
      <c r="D512" s="3172"/>
      <c r="E512" s="3166">
        <f t="shared" si="323"/>
        <v>0</v>
      </c>
      <c r="F512" s="3167"/>
      <c r="G512" s="3168">
        <f t="shared" si="327"/>
        <v>0</v>
      </c>
      <c r="H512" s="3169">
        <f t="shared" si="328"/>
        <v>0</v>
      </c>
      <c r="I512" s="3171"/>
      <c r="J512" s="3187"/>
      <c r="K512" s="3171"/>
      <c r="L512" s="3187"/>
      <c r="M512" s="3187"/>
      <c r="N512" s="3187"/>
      <c r="O512" s="3187"/>
      <c r="P512" s="3187"/>
      <c r="Q512" s="3187"/>
      <c r="R512" s="3187"/>
      <c r="S512" s="3187"/>
      <c r="T512" s="3187"/>
      <c r="U512" s="3187"/>
      <c r="V512" s="3187"/>
      <c r="W512" s="3187"/>
      <c r="X512" s="3187"/>
      <c r="Y512" s="3187"/>
      <c r="Z512" s="3187"/>
      <c r="AA512" s="3187"/>
      <c r="AB512" s="3187"/>
      <c r="AC512" s="3166">
        <f t="shared" si="329"/>
        <v>0</v>
      </c>
      <c r="AD512" s="3198"/>
      <c r="AE512" s="3198"/>
      <c r="AF512" s="3171"/>
      <c r="AG512" s="3198"/>
      <c r="AH512" s="3198"/>
      <c r="AI512" s="3198"/>
      <c r="AJ512" s="3198"/>
      <c r="AK512" s="3198"/>
      <c r="AL512" s="3198"/>
      <c r="AM512" s="3198"/>
      <c r="AN512" s="3198"/>
      <c r="AO512" s="3198"/>
      <c r="AP512" s="3198"/>
      <c r="AQ512" s="3198"/>
      <c r="AR512" s="3198"/>
      <c r="AS512" s="3198"/>
      <c r="AT512" s="3218"/>
      <c r="AU512" s="3219"/>
      <c r="AV512" s="488">
        <f t="shared" si="324"/>
        <v>0</v>
      </c>
      <c r="AW512" s="488">
        <f t="shared" si="325"/>
        <v>0</v>
      </c>
      <c r="AX512" s="488">
        <f t="shared" si="326"/>
        <v>0</v>
      </c>
      <c r="AY512" s="3235">
        <f t="shared" si="330"/>
        <v>0</v>
      </c>
      <c r="AZ512" s="3166">
        <f t="shared" si="331"/>
        <v>0</v>
      </c>
      <c r="BA512" s="3166">
        <f t="shared" si="332"/>
        <v>0</v>
      </c>
      <c r="BB512" s="3166">
        <f t="shared" si="333"/>
        <v>0</v>
      </c>
      <c r="BC512" s="3166">
        <f t="shared" si="334"/>
        <v>0</v>
      </c>
      <c r="BD512" s="3166">
        <f t="shared" si="335"/>
        <v>0</v>
      </c>
      <c r="BE512" s="3166">
        <f t="shared" si="336"/>
        <v>0</v>
      </c>
      <c r="BF512" s="3166">
        <f t="shared" si="337"/>
        <v>0</v>
      </c>
      <c r="BG512" s="3166">
        <f t="shared" si="338"/>
        <v>0</v>
      </c>
      <c r="BH512" s="3166">
        <f t="shared" si="339"/>
        <v>0</v>
      </c>
      <c r="BI512" s="3166">
        <f t="shared" si="340"/>
        <v>0</v>
      </c>
      <c r="BJ512" s="3166">
        <f t="shared" si="341"/>
        <v>0</v>
      </c>
      <c r="BK512" s="3166">
        <f t="shared" si="342"/>
        <v>0</v>
      </c>
      <c r="BL512" s="3166">
        <f t="shared" si="343"/>
        <v>0</v>
      </c>
      <c r="BM512" s="3166">
        <f t="shared" si="344"/>
        <v>0</v>
      </c>
      <c r="BN512" s="3166">
        <f t="shared" si="345"/>
        <v>0</v>
      </c>
      <c r="BO512" s="3166">
        <f t="shared" si="346"/>
        <v>0</v>
      </c>
      <c r="BP512" s="3166">
        <f t="shared" si="347"/>
        <v>0</v>
      </c>
      <c r="BQ512" s="3166">
        <f t="shared" si="348"/>
        <v>0</v>
      </c>
      <c r="BR512" s="3166">
        <f t="shared" si="349"/>
        <v>0</v>
      </c>
      <c r="BS512" s="3166">
        <f t="shared" si="350"/>
        <v>0</v>
      </c>
      <c r="BT512" s="3240">
        <f t="shared" si="351"/>
        <v>0</v>
      </c>
    </row>
    <row r="513" spans="1:72">
      <c r="A513" s="3163"/>
      <c r="B513" s="3173"/>
      <c r="C513" s="3171"/>
      <c r="D513" s="3172"/>
      <c r="E513" s="3166">
        <f t="shared" si="323"/>
        <v>0</v>
      </c>
      <c r="F513" s="3167"/>
      <c r="G513" s="3168">
        <f t="shared" si="327"/>
        <v>0</v>
      </c>
      <c r="H513" s="3169">
        <f t="shared" si="328"/>
        <v>0</v>
      </c>
      <c r="I513" s="3171"/>
      <c r="J513" s="3187"/>
      <c r="K513" s="3171"/>
      <c r="L513" s="3187"/>
      <c r="M513" s="3187"/>
      <c r="N513" s="3187"/>
      <c r="O513" s="3187"/>
      <c r="P513" s="3187"/>
      <c r="Q513" s="3187"/>
      <c r="R513" s="3187"/>
      <c r="S513" s="3187"/>
      <c r="T513" s="3187"/>
      <c r="U513" s="3187"/>
      <c r="V513" s="3187"/>
      <c r="W513" s="3187"/>
      <c r="X513" s="3187"/>
      <c r="Y513" s="3187"/>
      <c r="Z513" s="3187"/>
      <c r="AA513" s="3187"/>
      <c r="AB513" s="3187"/>
      <c r="AC513" s="3166">
        <f t="shared" si="329"/>
        <v>0</v>
      </c>
      <c r="AD513" s="3198"/>
      <c r="AE513" s="3198"/>
      <c r="AF513" s="3171"/>
      <c r="AG513" s="3198"/>
      <c r="AH513" s="3198"/>
      <c r="AI513" s="3198"/>
      <c r="AJ513" s="3198"/>
      <c r="AK513" s="3198"/>
      <c r="AL513" s="3198"/>
      <c r="AM513" s="3198"/>
      <c r="AN513" s="3198"/>
      <c r="AO513" s="3198"/>
      <c r="AP513" s="3198"/>
      <c r="AQ513" s="3198"/>
      <c r="AR513" s="3198"/>
      <c r="AS513" s="3198"/>
      <c r="AT513" s="3218"/>
      <c r="AU513" s="3219"/>
      <c r="AV513" s="488">
        <f t="shared" si="324"/>
        <v>0</v>
      </c>
      <c r="AW513" s="488">
        <f t="shared" si="325"/>
        <v>0</v>
      </c>
      <c r="AX513" s="488">
        <f t="shared" si="326"/>
        <v>0</v>
      </c>
      <c r="AY513" s="3235">
        <f t="shared" si="330"/>
        <v>0</v>
      </c>
      <c r="AZ513" s="3166">
        <f t="shared" si="331"/>
        <v>0</v>
      </c>
      <c r="BA513" s="3166">
        <f t="shared" si="332"/>
        <v>0</v>
      </c>
      <c r="BB513" s="3166">
        <f t="shared" si="333"/>
        <v>0</v>
      </c>
      <c r="BC513" s="3166">
        <f t="shared" si="334"/>
        <v>0</v>
      </c>
      <c r="BD513" s="3166">
        <f t="shared" si="335"/>
        <v>0</v>
      </c>
      <c r="BE513" s="3166">
        <f t="shared" si="336"/>
        <v>0</v>
      </c>
      <c r="BF513" s="3166">
        <f t="shared" si="337"/>
        <v>0</v>
      </c>
      <c r="BG513" s="3166">
        <f t="shared" si="338"/>
        <v>0</v>
      </c>
      <c r="BH513" s="3166">
        <f t="shared" si="339"/>
        <v>0</v>
      </c>
      <c r="BI513" s="3166">
        <f t="shared" si="340"/>
        <v>0</v>
      </c>
      <c r="BJ513" s="3166">
        <f t="shared" si="341"/>
        <v>0</v>
      </c>
      <c r="BK513" s="3166">
        <f t="shared" si="342"/>
        <v>0</v>
      </c>
      <c r="BL513" s="3166">
        <f t="shared" si="343"/>
        <v>0</v>
      </c>
      <c r="BM513" s="3166">
        <f t="shared" si="344"/>
        <v>0</v>
      </c>
      <c r="BN513" s="3166">
        <f t="shared" si="345"/>
        <v>0</v>
      </c>
      <c r="BO513" s="3166">
        <f t="shared" si="346"/>
        <v>0</v>
      </c>
      <c r="BP513" s="3166">
        <f t="shared" si="347"/>
        <v>0</v>
      </c>
      <c r="BQ513" s="3166">
        <f t="shared" si="348"/>
        <v>0</v>
      </c>
      <c r="BR513" s="3166">
        <f t="shared" si="349"/>
        <v>0</v>
      </c>
      <c r="BS513" s="3166">
        <f t="shared" si="350"/>
        <v>0</v>
      </c>
      <c r="BT513" s="3240">
        <f t="shared" si="351"/>
        <v>0</v>
      </c>
    </row>
    <row r="514" spans="1:72">
      <c r="A514" s="3163"/>
      <c r="B514" s="3173"/>
      <c r="C514" s="3171"/>
      <c r="D514" s="3172"/>
      <c r="E514" s="3166">
        <f t="shared" si="323"/>
        <v>0</v>
      </c>
      <c r="F514" s="3167"/>
      <c r="G514" s="3168">
        <f t="shared" si="327"/>
        <v>0</v>
      </c>
      <c r="H514" s="3169">
        <f t="shared" si="328"/>
        <v>0</v>
      </c>
      <c r="I514" s="3171"/>
      <c r="J514" s="3187"/>
      <c r="K514" s="3171"/>
      <c r="L514" s="3187"/>
      <c r="M514" s="3187"/>
      <c r="N514" s="3187"/>
      <c r="O514" s="3187"/>
      <c r="P514" s="3187"/>
      <c r="Q514" s="3187"/>
      <c r="R514" s="3187"/>
      <c r="S514" s="3187"/>
      <c r="T514" s="3187"/>
      <c r="U514" s="3187"/>
      <c r="V514" s="3187"/>
      <c r="W514" s="3187"/>
      <c r="X514" s="3187"/>
      <c r="Y514" s="3187"/>
      <c r="Z514" s="3187"/>
      <c r="AA514" s="3187"/>
      <c r="AB514" s="3187"/>
      <c r="AC514" s="3166">
        <f t="shared" si="329"/>
        <v>0</v>
      </c>
      <c r="AD514" s="3198"/>
      <c r="AE514" s="3198"/>
      <c r="AF514" s="3171"/>
      <c r="AG514" s="3198"/>
      <c r="AH514" s="3198"/>
      <c r="AI514" s="3198"/>
      <c r="AJ514" s="3198"/>
      <c r="AK514" s="3198"/>
      <c r="AL514" s="3198"/>
      <c r="AM514" s="3198"/>
      <c r="AN514" s="3198"/>
      <c r="AO514" s="3198"/>
      <c r="AP514" s="3198"/>
      <c r="AQ514" s="3198"/>
      <c r="AR514" s="3198"/>
      <c r="AS514" s="3198"/>
      <c r="AT514" s="3218"/>
      <c r="AU514" s="3219"/>
      <c r="AV514" s="488">
        <f t="shared" si="324"/>
        <v>0</v>
      </c>
      <c r="AW514" s="488">
        <f t="shared" si="325"/>
        <v>0</v>
      </c>
      <c r="AX514" s="488">
        <f t="shared" si="326"/>
        <v>0</v>
      </c>
      <c r="AY514" s="3235">
        <f t="shared" si="330"/>
        <v>0</v>
      </c>
      <c r="AZ514" s="3166">
        <f t="shared" si="331"/>
        <v>0</v>
      </c>
      <c r="BA514" s="3166">
        <f t="shared" si="332"/>
        <v>0</v>
      </c>
      <c r="BB514" s="3166">
        <f t="shared" si="333"/>
        <v>0</v>
      </c>
      <c r="BC514" s="3166">
        <f t="shared" si="334"/>
        <v>0</v>
      </c>
      <c r="BD514" s="3166">
        <f t="shared" si="335"/>
        <v>0</v>
      </c>
      <c r="BE514" s="3166">
        <f t="shared" si="336"/>
        <v>0</v>
      </c>
      <c r="BF514" s="3166">
        <f t="shared" si="337"/>
        <v>0</v>
      </c>
      <c r="BG514" s="3166">
        <f t="shared" si="338"/>
        <v>0</v>
      </c>
      <c r="BH514" s="3166">
        <f t="shared" si="339"/>
        <v>0</v>
      </c>
      <c r="BI514" s="3166">
        <f t="shared" si="340"/>
        <v>0</v>
      </c>
      <c r="BJ514" s="3166">
        <f t="shared" si="341"/>
        <v>0</v>
      </c>
      <c r="BK514" s="3166">
        <f t="shared" si="342"/>
        <v>0</v>
      </c>
      <c r="BL514" s="3166">
        <f t="shared" si="343"/>
        <v>0</v>
      </c>
      <c r="BM514" s="3166">
        <f t="shared" si="344"/>
        <v>0</v>
      </c>
      <c r="BN514" s="3166">
        <f t="shared" si="345"/>
        <v>0</v>
      </c>
      <c r="BO514" s="3166">
        <f t="shared" si="346"/>
        <v>0</v>
      </c>
      <c r="BP514" s="3166">
        <f t="shared" si="347"/>
        <v>0</v>
      </c>
      <c r="BQ514" s="3166">
        <f t="shared" si="348"/>
        <v>0</v>
      </c>
      <c r="BR514" s="3166">
        <f t="shared" si="349"/>
        <v>0</v>
      </c>
      <c r="BS514" s="3166">
        <f t="shared" si="350"/>
        <v>0</v>
      </c>
      <c r="BT514" s="3240">
        <f t="shared" si="351"/>
        <v>0</v>
      </c>
    </row>
    <row r="515" spans="1:72">
      <c r="A515" s="3163"/>
      <c r="B515" s="3174"/>
      <c r="C515" s="3175"/>
      <c r="D515" s="3172"/>
      <c r="E515" s="3166">
        <f t="shared" si="323"/>
        <v>0</v>
      </c>
      <c r="F515" s="3167"/>
      <c r="G515" s="3168">
        <f t="shared" si="327"/>
        <v>0</v>
      </c>
      <c r="H515" s="3169">
        <f t="shared" si="328"/>
        <v>0</v>
      </c>
      <c r="I515" s="3171"/>
      <c r="J515" s="3187"/>
      <c r="K515" s="3171"/>
      <c r="L515" s="3187"/>
      <c r="M515" s="3171"/>
      <c r="N515" s="3187"/>
      <c r="O515" s="3187"/>
      <c r="P515" s="3187"/>
      <c r="Q515" s="3187"/>
      <c r="R515" s="3187"/>
      <c r="S515" s="3187"/>
      <c r="T515" s="3187"/>
      <c r="U515" s="3187"/>
      <c r="V515" s="3187"/>
      <c r="W515" s="3187"/>
      <c r="X515" s="3187"/>
      <c r="Y515" s="3187"/>
      <c r="Z515" s="3187"/>
      <c r="AA515" s="3187"/>
      <c r="AB515" s="3187"/>
      <c r="AC515" s="3166">
        <f t="shared" si="329"/>
        <v>0</v>
      </c>
      <c r="AD515" s="3198"/>
      <c r="AE515" s="3198"/>
      <c r="AF515" s="3171"/>
      <c r="AG515" s="3198"/>
      <c r="AH515" s="3198"/>
      <c r="AI515" s="3198"/>
      <c r="AJ515" s="3198"/>
      <c r="AK515" s="3198"/>
      <c r="AL515" s="3198"/>
      <c r="AM515" s="3198"/>
      <c r="AN515" s="3198"/>
      <c r="AO515" s="3198"/>
      <c r="AP515" s="3198"/>
      <c r="AQ515" s="3198"/>
      <c r="AR515" s="3198"/>
      <c r="AS515" s="3198"/>
      <c r="AT515" s="3218"/>
      <c r="AU515" s="3219"/>
      <c r="AV515" s="488">
        <f t="shared" si="324"/>
        <v>0</v>
      </c>
      <c r="AW515" s="488">
        <f t="shared" si="325"/>
        <v>0</v>
      </c>
      <c r="AX515" s="488">
        <f t="shared" si="326"/>
        <v>0</v>
      </c>
      <c r="AY515" s="3235">
        <f t="shared" si="330"/>
        <v>0</v>
      </c>
      <c r="AZ515" s="3166">
        <f t="shared" si="331"/>
        <v>0</v>
      </c>
      <c r="BA515" s="3166">
        <f t="shared" si="332"/>
        <v>0</v>
      </c>
      <c r="BB515" s="3166">
        <f t="shared" si="333"/>
        <v>0</v>
      </c>
      <c r="BC515" s="3166">
        <f t="shared" si="334"/>
        <v>0</v>
      </c>
      <c r="BD515" s="3166">
        <f t="shared" si="335"/>
        <v>0</v>
      </c>
      <c r="BE515" s="3166">
        <f t="shared" si="336"/>
        <v>0</v>
      </c>
      <c r="BF515" s="3166">
        <f t="shared" si="337"/>
        <v>0</v>
      </c>
      <c r="BG515" s="3166">
        <f t="shared" si="338"/>
        <v>0</v>
      </c>
      <c r="BH515" s="3166">
        <f t="shared" si="339"/>
        <v>0</v>
      </c>
      <c r="BI515" s="3166">
        <f t="shared" si="340"/>
        <v>0</v>
      </c>
      <c r="BJ515" s="3166">
        <f t="shared" si="341"/>
        <v>0</v>
      </c>
      <c r="BK515" s="3166">
        <f t="shared" si="342"/>
        <v>0</v>
      </c>
      <c r="BL515" s="3166">
        <f t="shared" si="343"/>
        <v>0</v>
      </c>
      <c r="BM515" s="3166">
        <f t="shared" si="344"/>
        <v>0</v>
      </c>
      <c r="BN515" s="3166">
        <f t="shared" si="345"/>
        <v>0</v>
      </c>
      <c r="BO515" s="3166">
        <f t="shared" si="346"/>
        <v>0</v>
      </c>
      <c r="BP515" s="3166">
        <f t="shared" si="347"/>
        <v>0</v>
      </c>
      <c r="BQ515" s="3166">
        <f t="shared" si="348"/>
        <v>0</v>
      </c>
      <c r="BR515" s="3166">
        <f t="shared" si="349"/>
        <v>0</v>
      </c>
      <c r="BS515" s="3166">
        <f t="shared" si="350"/>
        <v>0</v>
      </c>
      <c r="BT515" s="3240">
        <f t="shared" si="351"/>
        <v>0</v>
      </c>
    </row>
    <row r="516" spans="1:72">
      <c r="A516" s="3163"/>
      <c r="B516" s="3164"/>
      <c r="C516" s="3164"/>
      <c r="D516" s="3176"/>
      <c r="E516" s="3166">
        <f t="shared" si="323"/>
        <v>0</v>
      </c>
      <c r="F516" s="3167"/>
      <c r="G516" s="3168">
        <f t="shared" si="327"/>
        <v>0</v>
      </c>
      <c r="H516" s="3169">
        <f t="shared" si="328"/>
        <v>0</v>
      </c>
      <c r="I516" s="3187"/>
      <c r="J516" s="3187"/>
      <c r="K516" s="3187"/>
      <c r="L516" s="3187"/>
      <c r="M516" s="3187"/>
      <c r="N516" s="3187"/>
      <c r="O516" s="3187"/>
      <c r="P516" s="3187"/>
      <c r="Q516" s="3187"/>
      <c r="R516" s="3187"/>
      <c r="S516" s="3187"/>
      <c r="T516" s="3187"/>
      <c r="U516" s="3187"/>
      <c r="V516" s="3187"/>
      <c r="W516" s="3187"/>
      <c r="X516" s="3187"/>
      <c r="Y516" s="3187"/>
      <c r="Z516" s="3187"/>
      <c r="AA516" s="3187"/>
      <c r="AB516" s="3187"/>
      <c r="AC516" s="3166">
        <f t="shared" si="329"/>
        <v>0</v>
      </c>
      <c r="AD516" s="3198"/>
      <c r="AE516" s="3198"/>
      <c r="AF516" s="3198"/>
      <c r="AG516" s="3198"/>
      <c r="AH516" s="3198"/>
      <c r="AI516" s="3198"/>
      <c r="AJ516" s="3198"/>
      <c r="AK516" s="3198"/>
      <c r="AL516" s="3198"/>
      <c r="AM516" s="3198"/>
      <c r="AN516" s="3198"/>
      <c r="AO516" s="3198"/>
      <c r="AP516" s="3198"/>
      <c r="AQ516" s="3198"/>
      <c r="AR516" s="3198"/>
      <c r="AS516" s="3198"/>
      <c r="AT516" s="3218"/>
      <c r="AU516" s="3219"/>
      <c r="AV516" s="488">
        <f t="shared" si="324"/>
        <v>0</v>
      </c>
      <c r="AW516" s="488">
        <f t="shared" si="325"/>
        <v>0</v>
      </c>
      <c r="AX516" s="488">
        <f t="shared" si="326"/>
        <v>0</v>
      </c>
      <c r="AY516" s="3235">
        <f t="shared" si="330"/>
        <v>0</v>
      </c>
      <c r="AZ516" s="3166">
        <f t="shared" si="331"/>
        <v>0</v>
      </c>
      <c r="BA516" s="3166">
        <f t="shared" si="332"/>
        <v>0</v>
      </c>
      <c r="BB516" s="3166">
        <f t="shared" si="333"/>
        <v>0</v>
      </c>
      <c r="BC516" s="3166">
        <f t="shared" si="334"/>
        <v>0</v>
      </c>
      <c r="BD516" s="3166">
        <f t="shared" si="335"/>
        <v>0</v>
      </c>
      <c r="BE516" s="3166">
        <f t="shared" si="336"/>
        <v>0</v>
      </c>
      <c r="BF516" s="3166">
        <f t="shared" si="337"/>
        <v>0</v>
      </c>
      <c r="BG516" s="3166">
        <f t="shared" si="338"/>
        <v>0</v>
      </c>
      <c r="BH516" s="3166">
        <f t="shared" si="339"/>
        <v>0</v>
      </c>
      <c r="BI516" s="3166">
        <f t="shared" si="340"/>
        <v>0</v>
      </c>
      <c r="BJ516" s="3166">
        <f t="shared" si="341"/>
        <v>0</v>
      </c>
      <c r="BK516" s="3166">
        <f t="shared" si="342"/>
        <v>0</v>
      </c>
      <c r="BL516" s="3166">
        <f t="shared" si="343"/>
        <v>0</v>
      </c>
      <c r="BM516" s="3166">
        <f t="shared" si="344"/>
        <v>0</v>
      </c>
      <c r="BN516" s="3166">
        <f t="shared" si="345"/>
        <v>0</v>
      </c>
      <c r="BO516" s="3166">
        <f t="shared" si="346"/>
        <v>0</v>
      </c>
      <c r="BP516" s="3166">
        <f t="shared" si="347"/>
        <v>0</v>
      </c>
      <c r="BQ516" s="3166">
        <f t="shared" si="348"/>
        <v>0</v>
      </c>
      <c r="BR516" s="3166">
        <f t="shared" si="349"/>
        <v>0</v>
      </c>
      <c r="BS516" s="3166">
        <f t="shared" si="350"/>
        <v>0</v>
      </c>
      <c r="BT516" s="3240">
        <f t="shared" si="351"/>
        <v>0</v>
      </c>
    </row>
    <row r="517" spans="1:72">
      <c r="A517" s="3163"/>
      <c r="B517" s="3164"/>
      <c r="C517" s="3164"/>
      <c r="D517" s="3176"/>
      <c r="E517" s="3166">
        <f t="shared" si="323"/>
        <v>0</v>
      </c>
      <c r="F517" s="3167"/>
      <c r="G517" s="3168">
        <f t="shared" si="327"/>
        <v>0</v>
      </c>
      <c r="H517" s="3169">
        <f t="shared" si="328"/>
        <v>0</v>
      </c>
      <c r="I517" s="3187"/>
      <c r="J517" s="3187"/>
      <c r="K517" s="3187"/>
      <c r="L517" s="3187"/>
      <c r="M517" s="3187"/>
      <c r="N517" s="3187"/>
      <c r="O517" s="3187"/>
      <c r="P517" s="3187"/>
      <c r="Q517" s="3187"/>
      <c r="R517" s="3187"/>
      <c r="S517" s="3187"/>
      <c r="T517" s="3187"/>
      <c r="U517" s="3187"/>
      <c r="V517" s="3187"/>
      <c r="W517" s="3187"/>
      <c r="X517" s="3187"/>
      <c r="Y517" s="3187"/>
      <c r="Z517" s="3187"/>
      <c r="AA517" s="3187"/>
      <c r="AB517" s="3187"/>
      <c r="AC517" s="3166">
        <f t="shared" si="329"/>
        <v>0</v>
      </c>
      <c r="AD517" s="3198"/>
      <c r="AE517" s="3198"/>
      <c r="AF517" s="3198"/>
      <c r="AG517" s="3198"/>
      <c r="AH517" s="3198"/>
      <c r="AI517" s="3198"/>
      <c r="AJ517" s="3198"/>
      <c r="AK517" s="3198"/>
      <c r="AL517" s="3198"/>
      <c r="AM517" s="3198"/>
      <c r="AN517" s="3198"/>
      <c r="AO517" s="3198"/>
      <c r="AP517" s="3198"/>
      <c r="AQ517" s="3198"/>
      <c r="AR517" s="3198"/>
      <c r="AS517" s="3198"/>
      <c r="AT517" s="3218"/>
      <c r="AU517" s="3219"/>
      <c r="AV517" s="488">
        <f t="shared" si="324"/>
        <v>0</v>
      </c>
      <c r="AW517" s="488">
        <f t="shared" si="325"/>
        <v>0</v>
      </c>
      <c r="AX517" s="488">
        <f t="shared" si="326"/>
        <v>0</v>
      </c>
      <c r="AY517" s="3235">
        <f t="shared" si="330"/>
        <v>0</v>
      </c>
      <c r="AZ517" s="3166">
        <f t="shared" si="331"/>
        <v>0</v>
      </c>
      <c r="BA517" s="3166">
        <f t="shared" si="332"/>
        <v>0</v>
      </c>
      <c r="BB517" s="3166">
        <f t="shared" si="333"/>
        <v>0</v>
      </c>
      <c r="BC517" s="3166">
        <f t="shared" si="334"/>
        <v>0</v>
      </c>
      <c r="BD517" s="3166">
        <f t="shared" si="335"/>
        <v>0</v>
      </c>
      <c r="BE517" s="3166">
        <f t="shared" si="336"/>
        <v>0</v>
      </c>
      <c r="BF517" s="3166">
        <f t="shared" si="337"/>
        <v>0</v>
      </c>
      <c r="BG517" s="3166">
        <f t="shared" si="338"/>
        <v>0</v>
      </c>
      <c r="BH517" s="3166">
        <f t="shared" si="339"/>
        <v>0</v>
      </c>
      <c r="BI517" s="3166">
        <f t="shared" si="340"/>
        <v>0</v>
      </c>
      <c r="BJ517" s="3166">
        <f t="shared" si="341"/>
        <v>0</v>
      </c>
      <c r="BK517" s="3166">
        <f t="shared" si="342"/>
        <v>0</v>
      </c>
      <c r="BL517" s="3166">
        <f t="shared" si="343"/>
        <v>0</v>
      </c>
      <c r="BM517" s="3166">
        <f t="shared" si="344"/>
        <v>0</v>
      </c>
      <c r="BN517" s="3166">
        <f t="shared" si="345"/>
        <v>0</v>
      </c>
      <c r="BO517" s="3166">
        <f t="shared" si="346"/>
        <v>0</v>
      </c>
      <c r="BP517" s="3166">
        <f t="shared" si="347"/>
        <v>0</v>
      </c>
      <c r="BQ517" s="3166">
        <f t="shared" si="348"/>
        <v>0</v>
      </c>
      <c r="BR517" s="3166">
        <f t="shared" si="349"/>
        <v>0</v>
      </c>
      <c r="BS517" s="3166">
        <f t="shared" si="350"/>
        <v>0</v>
      </c>
      <c r="BT517" s="3240">
        <f t="shared" si="351"/>
        <v>0</v>
      </c>
    </row>
    <row r="518" spans="1:72">
      <c r="A518" s="3163"/>
      <c r="B518" s="3164"/>
      <c r="C518" s="3164"/>
      <c r="D518" s="3176"/>
      <c r="E518" s="3166">
        <f t="shared" si="323"/>
        <v>0</v>
      </c>
      <c r="F518" s="3167"/>
      <c r="G518" s="3168">
        <f t="shared" si="327"/>
        <v>0</v>
      </c>
      <c r="H518" s="3169">
        <f t="shared" si="328"/>
        <v>0</v>
      </c>
      <c r="I518" s="3187"/>
      <c r="J518" s="3187"/>
      <c r="K518" s="3187"/>
      <c r="L518" s="3187"/>
      <c r="M518" s="3187"/>
      <c r="N518" s="3187"/>
      <c r="O518" s="3187"/>
      <c r="P518" s="3187"/>
      <c r="Q518" s="3187"/>
      <c r="R518" s="3187"/>
      <c r="S518" s="3187"/>
      <c r="T518" s="3187"/>
      <c r="U518" s="3187"/>
      <c r="V518" s="3187"/>
      <c r="W518" s="3187"/>
      <c r="X518" s="3187"/>
      <c r="Y518" s="3187"/>
      <c r="Z518" s="3187"/>
      <c r="AA518" s="3187"/>
      <c r="AB518" s="3187"/>
      <c r="AC518" s="3166">
        <f t="shared" si="329"/>
        <v>0</v>
      </c>
      <c r="AD518" s="3198"/>
      <c r="AE518" s="3198"/>
      <c r="AF518" s="3198"/>
      <c r="AG518" s="3198"/>
      <c r="AH518" s="3198"/>
      <c r="AI518" s="3198"/>
      <c r="AJ518" s="3198"/>
      <c r="AK518" s="3198"/>
      <c r="AL518" s="3198"/>
      <c r="AM518" s="3198"/>
      <c r="AN518" s="3198"/>
      <c r="AO518" s="3198"/>
      <c r="AP518" s="3198"/>
      <c r="AQ518" s="3198"/>
      <c r="AR518" s="3198"/>
      <c r="AS518" s="3198"/>
      <c r="AT518" s="3218"/>
      <c r="AU518" s="3219"/>
      <c r="AV518" s="488">
        <f t="shared" si="324"/>
        <v>0</v>
      </c>
      <c r="AW518" s="488">
        <f t="shared" si="325"/>
        <v>0</v>
      </c>
      <c r="AX518" s="488">
        <f t="shared" si="326"/>
        <v>0</v>
      </c>
      <c r="AY518" s="3235">
        <f t="shared" si="330"/>
        <v>0</v>
      </c>
      <c r="AZ518" s="3166">
        <f t="shared" si="331"/>
        <v>0</v>
      </c>
      <c r="BA518" s="3166">
        <f t="shared" si="332"/>
        <v>0</v>
      </c>
      <c r="BB518" s="3166">
        <f t="shared" si="333"/>
        <v>0</v>
      </c>
      <c r="BC518" s="3166">
        <f t="shared" si="334"/>
        <v>0</v>
      </c>
      <c r="BD518" s="3166">
        <f t="shared" si="335"/>
        <v>0</v>
      </c>
      <c r="BE518" s="3166">
        <f t="shared" si="336"/>
        <v>0</v>
      </c>
      <c r="BF518" s="3166">
        <f t="shared" si="337"/>
        <v>0</v>
      </c>
      <c r="BG518" s="3166">
        <f t="shared" si="338"/>
        <v>0</v>
      </c>
      <c r="BH518" s="3166">
        <f t="shared" si="339"/>
        <v>0</v>
      </c>
      <c r="BI518" s="3166">
        <f t="shared" si="340"/>
        <v>0</v>
      </c>
      <c r="BJ518" s="3166">
        <f t="shared" si="341"/>
        <v>0</v>
      </c>
      <c r="BK518" s="3166">
        <f t="shared" si="342"/>
        <v>0</v>
      </c>
      <c r="BL518" s="3166">
        <f t="shared" si="343"/>
        <v>0</v>
      </c>
      <c r="BM518" s="3166">
        <f t="shared" si="344"/>
        <v>0</v>
      </c>
      <c r="BN518" s="3166">
        <f t="shared" si="345"/>
        <v>0</v>
      </c>
      <c r="BO518" s="3166">
        <f t="shared" si="346"/>
        <v>0</v>
      </c>
      <c r="BP518" s="3166">
        <f t="shared" si="347"/>
        <v>0</v>
      </c>
      <c r="BQ518" s="3166">
        <f t="shared" si="348"/>
        <v>0</v>
      </c>
      <c r="BR518" s="3166">
        <f t="shared" si="349"/>
        <v>0</v>
      </c>
      <c r="BS518" s="3166">
        <f t="shared" si="350"/>
        <v>0</v>
      </c>
      <c r="BT518" s="3240">
        <f t="shared" si="351"/>
        <v>0</v>
      </c>
    </row>
    <row r="519" spans="1:72">
      <c r="A519" s="3163"/>
      <c r="B519" s="3164"/>
      <c r="C519" s="3164"/>
      <c r="D519" s="3176"/>
      <c r="E519" s="3166">
        <f t="shared" si="323"/>
        <v>0</v>
      </c>
      <c r="F519" s="3167"/>
      <c r="G519" s="3168">
        <f t="shared" si="327"/>
        <v>0</v>
      </c>
      <c r="H519" s="3169">
        <f t="shared" si="328"/>
        <v>0</v>
      </c>
      <c r="I519" s="3187"/>
      <c r="J519" s="3187"/>
      <c r="K519" s="3187"/>
      <c r="L519" s="3187"/>
      <c r="M519" s="3187"/>
      <c r="N519" s="3187"/>
      <c r="O519" s="3187"/>
      <c r="P519" s="3187"/>
      <c r="Q519" s="3187"/>
      <c r="R519" s="3187"/>
      <c r="S519" s="3187"/>
      <c r="T519" s="3187"/>
      <c r="U519" s="3187"/>
      <c r="V519" s="3187"/>
      <c r="W519" s="3187"/>
      <c r="X519" s="3187"/>
      <c r="Y519" s="3187"/>
      <c r="Z519" s="3187"/>
      <c r="AA519" s="3187"/>
      <c r="AB519" s="3187"/>
      <c r="AC519" s="3166">
        <f t="shared" si="329"/>
        <v>0</v>
      </c>
      <c r="AD519" s="3198"/>
      <c r="AE519" s="3198"/>
      <c r="AF519" s="3198"/>
      <c r="AG519" s="3198"/>
      <c r="AH519" s="3198"/>
      <c r="AI519" s="3198"/>
      <c r="AJ519" s="3198"/>
      <c r="AK519" s="3198"/>
      <c r="AL519" s="3198"/>
      <c r="AM519" s="3198"/>
      <c r="AN519" s="3198"/>
      <c r="AO519" s="3198"/>
      <c r="AP519" s="3198"/>
      <c r="AQ519" s="3198"/>
      <c r="AR519" s="3198"/>
      <c r="AS519" s="3198"/>
      <c r="AT519" s="3218"/>
      <c r="AU519" s="3219"/>
      <c r="AV519" s="488">
        <f t="shared" si="324"/>
        <v>0</v>
      </c>
      <c r="AW519" s="488">
        <f t="shared" si="325"/>
        <v>0</v>
      </c>
      <c r="AX519" s="488">
        <f t="shared" si="326"/>
        <v>0</v>
      </c>
      <c r="AY519" s="3235">
        <f t="shared" si="330"/>
        <v>0</v>
      </c>
      <c r="AZ519" s="3166">
        <f t="shared" si="331"/>
        <v>0</v>
      </c>
      <c r="BA519" s="3166">
        <f t="shared" si="332"/>
        <v>0</v>
      </c>
      <c r="BB519" s="3166">
        <f t="shared" si="333"/>
        <v>0</v>
      </c>
      <c r="BC519" s="3166">
        <f t="shared" si="334"/>
        <v>0</v>
      </c>
      <c r="BD519" s="3166">
        <f t="shared" si="335"/>
        <v>0</v>
      </c>
      <c r="BE519" s="3166">
        <f t="shared" si="336"/>
        <v>0</v>
      </c>
      <c r="BF519" s="3166">
        <f t="shared" si="337"/>
        <v>0</v>
      </c>
      <c r="BG519" s="3166">
        <f t="shared" si="338"/>
        <v>0</v>
      </c>
      <c r="BH519" s="3166">
        <f t="shared" si="339"/>
        <v>0</v>
      </c>
      <c r="BI519" s="3166">
        <f t="shared" si="340"/>
        <v>0</v>
      </c>
      <c r="BJ519" s="3166">
        <f t="shared" si="341"/>
        <v>0</v>
      </c>
      <c r="BK519" s="3166">
        <f t="shared" si="342"/>
        <v>0</v>
      </c>
      <c r="BL519" s="3166">
        <f t="shared" si="343"/>
        <v>0</v>
      </c>
      <c r="BM519" s="3166">
        <f t="shared" si="344"/>
        <v>0</v>
      </c>
      <c r="BN519" s="3166">
        <f t="shared" si="345"/>
        <v>0</v>
      </c>
      <c r="BO519" s="3166">
        <f t="shared" si="346"/>
        <v>0</v>
      </c>
      <c r="BP519" s="3166">
        <f t="shared" si="347"/>
        <v>0</v>
      </c>
      <c r="BQ519" s="3166">
        <f t="shared" si="348"/>
        <v>0</v>
      </c>
      <c r="BR519" s="3166">
        <f t="shared" si="349"/>
        <v>0</v>
      </c>
      <c r="BS519" s="3166">
        <f t="shared" si="350"/>
        <v>0</v>
      </c>
      <c r="BT519" s="3240">
        <f t="shared" si="351"/>
        <v>0</v>
      </c>
    </row>
    <row r="520" spans="1:72">
      <c r="A520" s="3163"/>
      <c r="B520" s="3164"/>
      <c r="C520" s="3164"/>
      <c r="D520" s="3176"/>
      <c r="E520" s="3166">
        <f t="shared" si="323"/>
        <v>0</v>
      </c>
      <c r="F520" s="3167"/>
      <c r="G520" s="3168">
        <f t="shared" si="327"/>
        <v>0</v>
      </c>
      <c r="H520" s="3169">
        <f t="shared" si="328"/>
        <v>0</v>
      </c>
      <c r="I520" s="3187"/>
      <c r="J520" s="3187"/>
      <c r="K520" s="3187"/>
      <c r="L520" s="3187"/>
      <c r="M520" s="3187"/>
      <c r="N520" s="3187"/>
      <c r="O520" s="3187"/>
      <c r="P520" s="3187"/>
      <c r="Q520" s="3187"/>
      <c r="R520" s="3187"/>
      <c r="S520" s="3187"/>
      <c r="T520" s="3187"/>
      <c r="U520" s="3187"/>
      <c r="V520" s="3187"/>
      <c r="W520" s="3187"/>
      <c r="X520" s="3187"/>
      <c r="Y520" s="3187"/>
      <c r="Z520" s="3187"/>
      <c r="AA520" s="3187"/>
      <c r="AB520" s="3187"/>
      <c r="AC520" s="3166">
        <f t="shared" si="329"/>
        <v>0</v>
      </c>
      <c r="AD520" s="3198"/>
      <c r="AE520" s="3198"/>
      <c r="AF520" s="3198"/>
      <c r="AG520" s="3198"/>
      <c r="AH520" s="3198"/>
      <c r="AI520" s="3198"/>
      <c r="AJ520" s="3198"/>
      <c r="AK520" s="3198"/>
      <c r="AL520" s="3198"/>
      <c r="AM520" s="3198"/>
      <c r="AN520" s="3198"/>
      <c r="AO520" s="3198"/>
      <c r="AP520" s="3198"/>
      <c r="AQ520" s="3198"/>
      <c r="AR520" s="3198"/>
      <c r="AS520" s="3198"/>
      <c r="AT520" s="3218"/>
      <c r="AU520" s="3219"/>
      <c r="AV520" s="488">
        <f t="shared" si="324"/>
        <v>0</v>
      </c>
      <c r="AW520" s="488">
        <f t="shared" si="325"/>
        <v>0</v>
      </c>
      <c r="AX520" s="488">
        <f t="shared" si="326"/>
        <v>0</v>
      </c>
      <c r="AY520" s="3235">
        <f t="shared" si="330"/>
        <v>0</v>
      </c>
      <c r="AZ520" s="3166">
        <f t="shared" si="331"/>
        <v>0</v>
      </c>
      <c r="BA520" s="3166">
        <f t="shared" si="332"/>
        <v>0</v>
      </c>
      <c r="BB520" s="3166">
        <f t="shared" si="333"/>
        <v>0</v>
      </c>
      <c r="BC520" s="3166">
        <f t="shared" si="334"/>
        <v>0</v>
      </c>
      <c r="BD520" s="3166">
        <f t="shared" si="335"/>
        <v>0</v>
      </c>
      <c r="BE520" s="3166">
        <f t="shared" si="336"/>
        <v>0</v>
      </c>
      <c r="BF520" s="3166">
        <f t="shared" si="337"/>
        <v>0</v>
      </c>
      <c r="BG520" s="3166">
        <f t="shared" si="338"/>
        <v>0</v>
      </c>
      <c r="BH520" s="3166">
        <f t="shared" si="339"/>
        <v>0</v>
      </c>
      <c r="BI520" s="3166">
        <f t="shared" si="340"/>
        <v>0</v>
      </c>
      <c r="BJ520" s="3166">
        <f t="shared" si="341"/>
        <v>0</v>
      </c>
      <c r="BK520" s="3166">
        <f t="shared" si="342"/>
        <v>0</v>
      </c>
      <c r="BL520" s="3166">
        <f t="shared" si="343"/>
        <v>0</v>
      </c>
      <c r="BM520" s="3166">
        <f t="shared" si="344"/>
        <v>0</v>
      </c>
      <c r="BN520" s="3166">
        <f t="shared" si="345"/>
        <v>0</v>
      </c>
      <c r="BO520" s="3166">
        <f t="shared" si="346"/>
        <v>0</v>
      </c>
      <c r="BP520" s="3166">
        <f t="shared" si="347"/>
        <v>0</v>
      </c>
      <c r="BQ520" s="3166">
        <f t="shared" si="348"/>
        <v>0</v>
      </c>
      <c r="BR520" s="3166">
        <f t="shared" si="349"/>
        <v>0</v>
      </c>
      <c r="BS520" s="3166">
        <f t="shared" si="350"/>
        <v>0</v>
      </c>
      <c r="BT520" s="3240">
        <f t="shared" si="351"/>
        <v>0</v>
      </c>
    </row>
    <row r="521" spans="1:72">
      <c r="A521" s="3163"/>
      <c r="B521" s="3164"/>
      <c r="C521" s="3164"/>
      <c r="D521" s="3176"/>
      <c r="E521" s="3166">
        <f t="shared" si="323"/>
        <v>0</v>
      </c>
      <c r="F521" s="3167"/>
      <c r="G521" s="3168">
        <f t="shared" si="327"/>
        <v>0</v>
      </c>
      <c r="H521" s="3169">
        <f t="shared" si="328"/>
        <v>0</v>
      </c>
      <c r="I521" s="3187"/>
      <c r="J521" s="3187"/>
      <c r="K521" s="3187"/>
      <c r="L521" s="3187"/>
      <c r="M521" s="3187"/>
      <c r="N521" s="3187"/>
      <c r="O521" s="3187"/>
      <c r="P521" s="3187"/>
      <c r="Q521" s="3187"/>
      <c r="R521" s="3187"/>
      <c r="S521" s="3187"/>
      <c r="T521" s="3187"/>
      <c r="U521" s="3187"/>
      <c r="V521" s="3187"/>
      <c r="W521" s="3187"/>
      <c r="X521" s="3187"/>
      <c r="Y521" s="3187"/>
      <c r="Z521" s="3187"/>
      <c r="AA521" s="3187"/>
      <c r="AB521" s="3187"/>
      <c r="AC521" s="3166">
        <f t="shared" si="329"/>
        <v>0</v>
      </c>
      <c r="AD521" s="3198"/>
      <c r="AE521" s="3198"/>
      <c r="AF521" s="3198"/>
      <c r="AG521" s="3198"/>
      <c r="AH521" s="3198"/>
      <c r="AI521" s="3198"/>
      <c r="AJ521" s="3198"/>
      <c r="AK521" s="3198"/>
      <c r="AL521" s="3198"/>
      <c r="AM521" s="3198"/>
      <c r="AN521" s="3198"/>
      <c r="AO521" s="3198"/>
      <c r="AP521" s="3198"/>
      <c r="AQ521" s="3198"/>
      <c r="AR521" s="3198"/>
      <c r="AS521" s="3198"/>
      <c r="AT521" s="3218"/>
      <c r="AU521" s="3219"/>
      <c r="AV521" s="488">
        <f t="shared" si="324"/>
        <v>0</v>
      </c>
      <c r="AW521" s="488">
        <f t="shared" si="325"/>
        <v>0</v>
      </c>
      <c r="AX521" s="488">
        <f t="shared" si="326"/>
        <v>0</v>
      </c>
      <c r="AY521" s="3235">
        <f t="shared" si="330"/>
        <v>0</v>
      </c>
      <c r="AZ521" s="3166">
        <f t="shared" si="331"/>
        <v>0</v>
      </c>
      <c r="BA521" s="3166">
        <f t="shared" si="332"/>
        <v>0</v>
      </c>
      <c r="BB521" s="3166">
        <f t="shared" si="333"/>
        <v>0</v>
      </c>
      <c r="BC521" s="3166">
        <f t="shared" si="334"/>
        <v>0</v>
      </c>
      <c r="BD521" s="3166">
        <f t="shared" si="335"/>
        <v>0</v>
      </c>
      <c r="BE521" s="3166">
        <f t="shared" si="336"/>
        <v>0</v>
      </c>
      <c r="BF521" s="3166">
        <f t="shared" si="337"/>
        <v>0</v>
      </c>
      <c r="BG521" s="3166">
        <f t="shared" si="338"/>
        <v>0</v>
      </c>
      <c r="BH521" s="3166">
        <f t="shared" si="339"/>
        <v>0</v>
      </c>
      <c r="BI521" s="3166">
        <f t="shared" si="340"/>
        <v>0</v>
      </c>
      <c r="BJ521" s="3166">
        <f t="shared" si="341"/>
        <v>0</v>
      </c>
      <c r="BK521" s="3166">
        <f t="shared" si="342"/>
        <v>0</v>
      </c>
      <c r="BL521" s="3166">
        <f t="shared" si="343"/>
        <v>0</v>
      </c>
      <c r="BM521" s="3166">
        <f t="shared" si="344"/>
        <v>0</v>
      </c>
      <c r="BN521" s="3166">
        <f t="shared" si="345"/>
        <v>0</v>
      </c>
      <c r="BO521" s="3166">
        <f t="shared" si="346"/>
        <v>0</v>
      </c>
      <c r="BP521" s="3166">
        <f t="shared" si="347"/>
        <v>0</v>
      </c>
      <c r="BQ521" s="3166">
        <f t="shared" si="348"/>
        <v>0</v>
      </c>
      <c r="BR521" s="3166">
        <f t="shared" si="349"/>
        <v>0</v>
      </c>
      <c r="BS521" s="3166">
        <f t="shared" si="350"/>
        <v>0</v>
      </c>
      <c r="BT521" s="3240">
        <f t="shared" si="351"/>
        <v>0</v>
      </c>
    </row>
    <row r="522" spans="1:72">
      <c r="A522" s="3163"/>
      <c r="B522" s="3164"/>
      <c r="C522" s="3164"/>
      <c r="D522" s="3176"/>
      <c r="E522" s="3166">
        <f t="shared" si="323"/>
        <v>0</v>
      </c>
      <c r="F522" s="3167"/>
      <c r="G522" s="3168">
        <f t="shared" si="327"/>
        <v>0</v>
      </c>
      <c r="H522" s="3169">
        <f t="shared" si="328"/>
        <v>0</v>
      </c>
      <c r="I522" s="3187"/>
      <c r="J522" s="3187"/>
      <c r="K522" s="3187"/>
      <c r="L522" s="3187"/>
      <c r="M522" s="3187"/>
      <c r="N522" s="3187"/>
      <c r="O522" s="3187"/>
      <c r="P522" s="3187"/>
      <c r="Q522" s="3187"/>
      <c r="R522" s="3187"/>
      <c r="S522" s="3187"/>
      <c r="T522" s="3187"/>
      <c r="U522" s="3187"/>
      <c r="V522" s="3187"/>
      <c r="W522" s="3187"/>
      <c r="X522" s="3187"/>
      <c r="Y522" s="3187"/>
      <c r="Z522" s="3187"/>
      <c r="AA522" s="3187"/>
      <c r="AB522" s="3187"/>
      <c r="AC522" s="3166">
        <f t="shared" si="329"/>
        <v>0</v>
      </c>
      <c r="AD522" s="3198"/>
      <c r="AE522" s="3198"/>
      <c r="AF522" s="3198"/>
      <c r="AG522" s="3198"/>
      <c r="AH522" s="3198"/>
      <c r="AI522" s="3198"/>
      <c r="AJ522" s="3198"/>
      <c r="AK522" s="3198"/>
      <c r="AL522" s="3198"/>
      <c r="AM522" s="3198"/>
      <c r="AN522" s="3198"/>
      <c r="AO522" s="3198"/>
      <c r="AP522" s="3198"/>
      <c r="AQ522" s="3198"/>
      <c r="AR522" s="3198"/>
      <c r="AS522" s="3198"/>
      <c r="AT522" s="3218"/>
      <c r="AU522" s="3219"/>
      <c r="AV522" s="488">
        <f t="shared" si="324"/>
        <v>0</v>
      </c>
      <c r="AW522" s="488">
        <f t="shared" si="325"/>
        <v>0</v>
      </c>
      <c r="AX522" s="488">
        <f t="shared" si="326"/>
        <v>0</v>
      </c>
      <c r="AY522" s="3235">
        <f t="shared" si="330"/>
        <v>0</v>
      </c>
      <c r="AZ522" s="3166">
        <f t="shared" si="331"/>
        <v>0</v>
      </c>
      <c r="BA522" s="3166">
        <f t="shared" si="332"/>
        <v>0</v>
      </c>
      <c r="BB522" s="3166">
        <f t="shared" si="333"/>
        <v>0</v>
      </c>
      <c r="BC522" s="3166">
        <f t="shared" si="334"/>
        <v>0</v>
      </c>
      <c r="BD522" s="3166">
        <f t="shared" si="335"/>
        <v>0</v>
      </c>
      <c r="BE522" s="3166">
        <f t="shared" si="336"/>
        <v>0</v>
      </c>
      <c r="BF522" s="3166">
        <f t="shared" si="337"/>
        <v>0</v>
      </c>
      <c r="BG522" s="3166">
        <f t="shared" si="338"/>
        <v>0</v>
      </c>
      <c r="BH522" s="3166">
        <f t="shared" si="339"/>
        <v>0</v>
      </c>
      <c r="BI522" s="3166">
        <f t="shared" si="340"/>
        <v>0</v>
      </c>
      <c r="BJ522" s="3166">
        <f t="shared" si="341"/>
        <v>0</v>
      </c>
      <c r="BK522" s="3166">
        <f t="shared" si="342"/>
        <v>0</v>
      </c>
      <c r="BL522" s="3166">
        <f t="shared" si="343"/>
        <v>0</v>
      </c>
      <c r="BM522" s="3166">
        <f t="shared" si="344"/>
        <v>0</v>
      </c>
      <c r="BN522" s="3166">
        <f t="shared" si="345"/>
        <v>0</v>
      </c>
      <c r="BO522" s="3166">
        <f t="shared" si="346"/>
        <v>0</v>
      </c>
      <c r="BP522" s="3166">
        <f t="shared" si="347"/>
        <v>0</v>
      </c>
      <c r="BQ522" s="3166">
        <f t="shared" si="348"/>
        <v>0</v>
      </c>
      <c r="BR522" s="3166">
        <f t="shared" si="349"/>
        <v>0</v>
      </c>
      <c r="BS522" s="3166">
        <f t="shared" si="350"/>
        <v>0</v>
      </c>
      <c r="BT522" s="3240">
        <f t="shared" si="351"/>
        <v>0</v>
      </c>
    </row>
    <row r="523" spans="1:72">
      <c r="A523" s="3163"/>
      <c r="B523" s="3164"/>
      <c r="C523" s="3164"/>
      <c r="D523" s="3176"/>
      <c r="E523" s="3166">
        <f t="shared" si="323"/>
        <v>0</v>
      </c>
      <c r="F523" s="3167"/>
      <c r="G523" s="3168">
        <f t="shared" si="327"/>
        <v>0</v>
      </c>
      <c r="H523" s="3169">
        <f t="shared" si="328"/>
        <v>0</v>
      </c>
      <c r="I523" s="3187"/>
      <c r="J523" s="3187"/>
      <c r="K523" s="3187"/>
      <c r="L523" s="3187"/>
      <c r="M523" s="3187"/>
      <c r="N523" s="3187"/>
      <c r="O523" s="3187"/>
      <c r="P523" s="3187"/>
      <c r="Q523" s="3187"/>
      <c r="R523" s="3187"/>
      <c r="S523" s="3187"/>
      <c r="T523" s="3187"/>
      <c r="U523" s="3187"/>
      <c r="V523" s="3187"/>
      <c r="W523" s="3187"/>
      <c r="X523" s="3187"/>
      <c r="Y523" s="3187"/>
      <c r="Z523" s="3187"/>
      <c r="AA523" s="3187"/>
      <c r="AB523" s="3187"/>
      <c r="AC523" s="3166">
        <f t="shared" si="329"/>
        <v>0</v>
      </c>
      <c r="AD523" s="3198"/>
      <c r="AE523" s="3198"/>
      <c r="AF523" s="3198"/>
      <c r="AG523" s="3198"/>
      <c r="AH523" s="3198"/>
      <c r="AI523" s="3198"/>
      <c r="AJ523" s="3198"/>
      <c r="AK523" s="3198"/>
      <c r="AL523" s="3198"/>
      <c r="AM523" s="3198"/>
      <c r="AN523" s="3198"/>
      <c r="AO523" s="3198"/>
      <c r="AP523" s="3198"/>
      <c r="AQ523" s="3198"/>
      <c r="AR523" s="3198"/>
      <c r="AS523" s="3198"/>
      <c r="AT523" s="3218"/>
      <c r="AU523" s="3219"/>
      <c r="AV523" s="488">
        <f t="shared" si="324"/>
        <v>0</v>
      </c>
      <c r="AW523" s="488">
        <f t="shared" si="325"/>
        <v>0</v>
      </c>
      <c r="AX523" s="488">
        <f t="shared" si="326"/>
        <v>0</v>
      </c>
      <c r="AY523" s="3235">
        <f t="shared" si="330"/>
        <v>0</v>
      </c>
      <c r="AZ523" s="3166">
        <f t="shared" si="331"/>
        <v>0</v>
      </c>
      <c r="BA523" s="3166">
        <f t="shared" si="332"/>
        <v>0</v>
      </c>
      <c r="BB523" s="3166">
        <f t="shared" si="333"/>
        <v>0</v>
      </c>
      <c r="BC523" s="3166">
        <f t="shared" si="334"/>
        <v>0</v>
      </c>
      <c r="BD523" s="3166">
        <f t="shared" si="335"/>
        <v>0</v>
      </c>
      <c r="BE523" s="3166">
        <f t="shared" si="336"/>
        <v>0</v>
      </c>
      <c r="BF523" s="3166">
        <f t="shared" si="337"/>
        <v>0</v>
      </c>
      <c r="BG523" s="3166">
        <f t="shared" si="338"/>
        <v>0</v>
      </c>
      <c r="BH523" s="3166">
        <f t="shared" si="339"/>
        <v>0</v>
      </c>
      <c r="BI523" s="3166">
        <f t="shared" si="340"/>
        <v>0</v>
      </c>
      <c r="BJ523" s="3166">
        <f t="shared" si="341"/>
        <v>0</v>
      </c>
      <c r="BK523" s="3166">
        <f t="shared" si="342"/>
        <v>0</v>
      </c>
      <c r="BL523" s="3166">
        <f t="shared" si="343"/>
        <v>0</v>
      </c>
      <c r="BM523" s="3166">
        <f t="shared" si="344"/>
        <v>0</v>
      </c>
      <c r="BN523" s="3166">
        <f t="shared" si="345"/>
        <v>0</v>
      </c>
      <c r="BO523" s="3166">
        <f t="shared" si="346"/>
        <v>0</v>
      </c>
      <c r="BP523" s="3166">
        <f t="shared" si="347"/>
        <v>0</v>
      </c>
      <c r="BQ523" s="3166">
        <f t="shared" si="348"/>
        <v>0</v>
      </c>
      <c r="BR523" s="3166">
        <f t="shared" si="349"/>
        <v>0</v>
      </c>
      <c r="BS523" s="3166">
        <f t="shared" si="350"/>
        <v>0</v>
      </c>
      <c r="BT523" s="3240">
        <f t="shared" si="351"/>
        <v>0</v>
      </c>
    </row>
    <row r="524" spans="1:72">
      <c r="A524" s="3163"/>
      <c r="B524" s="3164"/>
      <c r="C524" s="3164"/>
      <c r="D524" s="3176"/>
      <c r="E524" s="3166">
        <f t="shared" si="323"/>
        <v>0</v>
      </c>
      <c r="F524" s="3167"/>
      <c r="G524" s="3168">
        <f t="shared" si="327"/>
        <v>0</v>
      </c>
      <c r="H524" s="3169">
        <f t="shared" si="328"/>
        <v>0</v>
      </c>
      <c r="I524" s="3187"/>
      <c r="J524" s="3187"/>
      <c r="K524" s="3187"/>
      <c r="L524" s="3187"/>
      <c r="M524" s="3187"/>
      <c r="N524" s="3187"/>
      <c r="O524" s="3187"/>
      <c r="P524" s="3187"/>
      <c r="Q524" s="3187"/>
      <c r="R524" s="3187"/>
      <c r="S524" s="3187"/>
      <c r="T524" s="3187"/>
      <c r="U524" s="3187"/>
      <c r="V524" s="3187"/>
      <c r="W524" s="3187"/>
      <c r="X524" s="3187"/>
      <c r="Y524" s="3187"/>
      <c r="Z524" s="3187"/>
      <c r="AA524" s="3187"/>
      <c r="AB524" s="3187"/>
      <c r="AC524" s="3166">
        <f t="shared" si="329"/>
        <v>0</v>
      </c>
      <c r="AD524" s="3198"/>
      <c r="AE524" s="3198"/>
      <c r="AF524" s="3198"/>
      <c r="AG524" s="3198"/>
      <c r="AH524" s="3198"/>
      <c r="AI524" s="3198"/>
      <c r="AJ524" s="3198"/>
      <c r="AK524" s="3198"/>
      <c r="AL524" s="3198"/>
      <c r="AM524" s="3198"/>
      <c r="AN524" s="3198"/>
      <c r="AO524" s="3198"/>
      <c r="AP524" s="3198"/>
      <c r="AQ524" s="3198"/>
      <c r="AR524" s="3198"/>
      <c r="AS524" s="3198"/>
      <c r="AT524" s="3218"/>
      <c r="AU524" s="3219"/>
      <c r="AV524" s="488">
        <f t="shared" si="324"/>
        <v>0</v>
      </c>
      <c r="AW524" s="488">
        <f t="shared" si="325"/>
        <v>0</v>
      </c>
      <c r="AX524" s="488">
        <f t="shared" si="326"/>
        <v>0</v>
      </c>
      <c r="AY524" s="3235">
        <f t="shared" si="330"/>
        <v>0</v>
      </c>
      <c r="AZ524" s="3166">
        <f t="shared" si="331"/>
        <v>0</v>
      </c>
      <c r="BA524" s="3166">
        <f t="shared" si="332"/>
        <v>0</v>
      </c>
      <c r="BB524" s="3166">
        <f t="shared" si="333"/>
        <v>0</v>
      </c>
      <c r="BC524" s="3166">
        <f t="shared" si="334"/>
        <v>0</v>
      </c>
      <c r="BD524" s="3166">
        <f t="shared" si="335"/>
        <v>0</v>
      </c>
      <c r="BE524" s="3166">
        <f t="shared" si="336"/>
        <v>0</v>
      </c>
      <c r="BF524" s="3166">
        <f t="shared" si="337"/>
        <v>0</v>
      </c>
      <c r="BG524" s="3166">
        <f t="shared" si="338"/>
        <v>0</v>
      </c>
      <c r="BH524" s="3166">
        <f t="shared" si="339"/>
        <v>0</v>
      </c>
      <c r="BI524" s="3166">
        <f t="shared" si="340"/>
        <v>0</v>
      </c>
      <c r="BJ524" s="3166">
        <f t="shared" si="341"/>
        <v>0</v>
      </c>
      <c r="BK524" s="3166">
        <f t="shared" si="342"/>
        <v>0</v>
      </c>
      <c r="BL524" s="3166">
        <f t="shared" si="343"/>
        <v>0</v>
      </c>
      <c r="BM524" s="3166">
        <f t="shared" si="344"/>
        <v>0</v>
      </c>
      <c r="BN524" s="3166">
        <f t="shared" si="345"/>
        <v>0</v>
      </c>
      <c r="BO524" s="3166">
        <f t="shared" si="346"/>
        <v>0</v>
      </c>
      <c r="BP524" s="3166">
        <f t="shared" si="347"/>
        <v>0</v>
      </c>
      <c r="BQ524" s="3166">
        <f t="shared" si="348"/>
        <v>0</v>
      </c>
      <c r="BR524" s="3166">
        <f t="shared" si="349"/>
        <v>0</v>
      </c>
      <c r="BS524" s="3166">
        <f t="shared" si="350"/>
        <v>0</v>
      </c>
      <c r="BT524" s="3240">
        <f t="shared" si="351"/>
        <v>0</v>
      </c>
    </row>
    <row r="525" spans="1:72">
      <c r="A525" s="3163"/>
      <c r="B525" s="3164"/>
      <c r="C525" s="3164"/>
      <c r="D525" s="3176"/>
      <c r="E525" s="3166">
        <f t="shared" si="323"/>
        <v>0</v>
      </c>
      <c r="F525" s="3167"/>
      <c r="G525" s="3168">
        <f t="shared" si="327"/>
        <v>0</v>
      </c>
      <c r="H525" s="3169">
        <f t="shared" si="328"/>
        <v>0</v>
      </c>
      <c r="I525" s="3187"/>
      <c r="J525" s="3187"/>
      <c r="K525" s="3187"/>
      <c r="L525" s="3187"/>
      <c r="M525" s="3187"/>
      <c r="N525" s="3187"/>
      <c r="O525" s="3187"/>
      <c r="P525" s="3187"/>
      <c r="Q525" s="3187"/>
      <c r="R525" s="3187"/>
      <c r="S525" s="3187"/>
      <c r="T525" s="3187"/>
      <c r="U525" s="3187"/>
      <c r="V525" s="3187"/>
      <c r="W525" s="3187"/>
      <c r="X525" s="3187"/>
      <c r="Y525" s="3187"/>
      <c r="Z525" s="3187"/>
      <c r="AA525" s="3187"/>
      <c r="AB525" s="3187"/>
      <c r="AC525" s="3166">
        <f t="shared" si="329"/>
        <v>0</v>
      </c>
      <c r="AD525" s="3198"/>
      <c r="AE525" s="3198"/>
      <c r="AF525" s="3198"/>
      <c r="AG525" s="3198"/>
      <c r="AH525" s="3198"/>
      <c r="AI525" s="3198"/>
      <c r="AJ525" s="3198"/>
      <c r="AK525" s="3198"/>
      <c r="AL525" s="3198"/>
      <c r="AM525" s="3198"/>
      <c r="AN525" s="3198"/>
      <c r="AO525" s="3198"/>
      <c r="AP525" s="3198"/>
      <c r="AQ525" s="3198"/>
      <c r="AR525" s="3198"/>
      <c r="AS525" s="3198"/>
      <c r="AT525" s="3218"/>
      <c r="AU525" s="3219"/>
      <c r="AV525" s="488">
        <f t="shared" si="324"/>
        <v>0</v>
      </c>
      <c r="AW525" s="488">
        <f t="shared" si="325"/>
        <v>0</v>
      </c>
      <c r="AX525" s="488">
        <f t="shared" si="326"/>
        <v>0</v>
      </c>
      <c r="AY525" s="3235">
        <f t="shared" si="330"/>
        <v>0</v>
      </c>
      <c r="AZ525" s="3166">
        <f t="shared" si="331"/>
        <v>0</v>
      </c>
      <c r="BA525" s="3166">
        <f t="shared" si="332"/>
        <v>0</v>
      </c>
      <c r="BB525" s="3166">
        <f t="shared" si="333"/>
        <v>0</v>
      </c>
      <c r="BC525" s="3166">
        <f t="shared" si="334"/>
        <v>0</v>
      </c>
      <c r="BD525" s="3166">
        <f t="shared" si="335"/>
        <v>0</v>
      </c>
      <c r="BE525" s="3166">
        <f t="shared" si="336"/>
        <v>0</v>
      </c>
      <c r="BF525" s="3166">
        <f t="shared" si="337"/>
        <v>0</v>
      </c>
      <c r="BG525" s="3166">
        <f t="shared" si="338"/>
        <v>0</v>
      </c>
      <c r="BH525" s="3166">
        <f t="shared" si="339"/>
        <v>0</v>
      </c>
      <c r="BI525" s="3166">
        <f t="shared" si="340"/>
        <v>0</v>
      </c>
      <c r="BJ525" s="3166">
        <f t="shared" si="341"/>
        <v>0</v>
      </c>
      <c r="BK525" s="3166">
        <f t="shared" si="342"/>
        <v>0</v>
      </c>
      <c r="BL525" s="3166">
        <f t="shared" si="343"/>
        <v>0</v>
      </c>
      <c r="BM525" s="3166">
        <f t="shared" si="344"/>
        <v>0</v>
      </c>
      <c r="BN525" s="3166">
        <f t="shared" si="345"/>
        <v>0</v>
      </c>
      <c r="BO525" s="3166">
        <f t="shared" si="346"/>
        <v>0</v>
      </c>
      <c r="BP525" s="3166">
        <f t="shared" si="347"/>
        <v>0</v>
      </c>
      <c r="BQ525" s="3166">
        <f t="shared" si="348"/>
        <v>0</v>
      </c>
      <c r="BR525" s="3166">
        <f t="shared" si="349"/>
        <v>0</v>
      </c>
      <c r="BS525" s="3166">
        <f t="shared" si="350"/>
        <v>0</v>
      </c>
      <c r="BT525" s="3240">
        <f t="shared" si="351"/>
        <v>0</v>
      </c>
    </row>
    <row r="526" spans="1:72">
      <c r="A526" s="3163"/>
      <c r="B526" s="3164"/>
      <c r="C526" s="3164"/>
      <c r="D526" s="3176"/>
      <c r="E526" s="3166">
        <f t="shared" si="323"/>
        <v>0</v>
      </c>
      <c r="F526" s="3167"/>
      <c r="G526" s="3168">
        <f t="shared" si="327"/>
        <v>0</v>
      </c>
      <c r="H526" s="3169">
        <f t="shared" si="328"/>
        <v>0</v>
      </c>
      <c r="I526" s="3187"/>
      <c r="J526" s="3187"/>
      <c r="K526" s="3187"/>
      <c r="L526" s="3187"/>
      <c r="M526" s="3187"/>
      <c r="N526" s="3187"/>
      <c r="O526" s="3187"/>
      <c r="P526" s="3187"/>
      <c r="Q526" s="3187"/>
      <c r="R526" s="3187"/>
      <c r="S526" s="3187"/>
      <c r="T526" s="3187"/>
      <c r="U526" s="3187"/>
      <c r="V526" s="3187"/>
      <c r="W526" s="3187"/>
      <c r="X526" s="3187"/>
      <c r="Y526" s="3187"/>
      <c r="Z526" s="3187"/>
      <c r="AA526" s="3187"/>
      <c r="AB526" s="3187"/>
      <c r="AC526" s="3166">
        <f t="shared" si="329"/>
        <v>0</v>
      </c>
      <c r="AD526" s="3198"/>
      <c r="AE526" s="3198"/>
      <c r="AF526" s="3198"/>
      <c r="AG526" s="3198"/>
      <c r="AH526" s="3198"/>
      <c r="AI526" s="3198"/>
      <c r="AJ526" s="3198"/>
      <c r="AK526" s="3198"/>
      <c r="AL526" s="3198"/>
      <c r="AM526" s="3198"/>
      <c r="AN526" s="3198"/>
      <c r="AO526" s="3198"/>
      <c r="AP526" s="3198"/>
      <c r="AQ526" s="3198"/>
      <c r="AR526" s="3198"/>
      <c r="AS526" s="3198"/>
      <c r="AT526" s="3218"/>
      <c r="AU526" s="3219"/>
      <c r="AV526" s="488">
        <f t="shared" si="324"/>
        <v>0</v>
      </c>
      <c r="AW526" s="488">
        <f t="shared" si="325"/>
        <v>0</v>
      </c>
      <c r="AX526" s="488">
        <f t="shared" si="326"/>
        <v>0</v>
      </c>
      <c r="AY526" s="3235">
        <f t="shared" si="330"/>
        <v>0</v>
      </c>
      <c r="AZ526" s="3166">
        <f t="shared" si="331"/>
        <v>0</v>
      </c>
      <c r="BA526" s="3166">
        <f t="shared" si="332"/>
        <v>0</v>
      </c>
      <c r="BB526" s="3166">
        <f t="shared" si="333"/>
        <v>0</v>
      </c>
      <c r="BC526" s="3166">
        <f t="shared" si="334"/>
        <v>0</v>
      </c>
      <c r="BD526" s="3166">
        <f t="shared" si="335"/>
        <v>0</v>
      </c>
      <c r="BE526" s="3166">
        <f t="shared" si="336"/>
        <v>0</v>
      </c>
      <c r="BF526" s="3166">
        <f t="shared" si="337"/>
        <v>0</v>
      </c>
      <c r="BG526" s="3166">
        <f t="shared" si="338"/>
        <v>0</v>
      </c>
      <c r="BH526" s="3166">
        <f t="shared" si="339"/>
        <v>0</v>
      </c>
      <c r="BI526" s="3166">
        <f t="shared" si="340"/>
        <v>0</v>
      </c>
      <c r="BJ526" s="3166">
        <f t="shared" si="341"/>
        <v>0</v>
      </c>
      <c r="BK526" s="3166">
        <f t="shared" si="342"/>
        <v>0</v>
      </c>
      <c r="BL526" s="3166">
        <f t="shared" si="343"/>
        <v>0</v>
      </c>
      <c r="BM526" s="3166">
        <f t="shared" si="344"/>
        <v>0</v>
      </c>
      <c r="BN526" s="3166">
        <f t="shared" si="345"/>
        <v>0</v>
      </c>
      <c r="BO526" s="3166">
        <f t="shared" si="346"/>
        <v>0</v>
      </c>
      <c r="BP526" s="3166">
        <f t="shared" si="347"/>
        <v>0</v>
      </c>
      <c r="BQ526" s="3166">
        <f t="shared" si="348"/>
        <v>0</v>
      </c>
      <c r="BR526" s="3166">
        <f t="shared" si="349"/>
        <v>0</v>
      </c>
      <c r="BS526" s="3166">
        <f t="shared" si="350"/>
        <v>0</v>
      </c>
      <c r="BT526" s="3240">
        <f t="shared" si="351"/>
        <v>0</v>
      </c>
    </row>
    <row r="527" spans="1:72">
      <c r="A527" s="3163"/>
      <c r="B527" s="3164"/>
      <c r="C527" s="3164"/>
      <c r="D527" s="3176"/>
      <c r="E527" s="3166">
        <f t="shared" si="323"/>
        <v>0</v>
      </c>
      <c r="F527" s="3167"/>
      <c r="G527" s="3168">
        <f t="shared" si="327"/>
        <v>0</v>
      </c>
      <c r="H527" s="3169">
        <f t="shared" si="328"/>
        <v>0</v>
      </c>
      <c r="I527" s="3187"/>
      <c r="J527" s="3187"/>
      <c r="K527" s="3187"/>
      <c r="L527" s="3187"/>
      <c r="M527" s="3187"/>
      <c r="N527" s="3187"/>
      <c r="O527" s="3187"/>
      <c r="P527" s="3187"/>
      <c r="Q527" s="3187"/>
      <c r="R527" s="3187"/>
      <c r="S527" s="3187"/>
      <c r="T527" s="3187"/>
      <c r="U527" s="3187"/>
      <c r="V527" s="3187"/>
      <c r="W527" s="3187"/>
      <c r="X527" s="3187"/>
      <c r="Y527" s="3187"/>
      <c r="Z527" s="3187"/>
      <c r="AA527" s="3187"/>
      <c r="AB527" s="3187"/>
      <c r="AC527" s="3166">
        <f t="shared" si="329"/>
        <v>0</v>
      </c>
      <c r="AD527" s="3198"/>
      <c r="AE527" s="3198"/>
      <c r="AF527" s="3198"/>
      <c r="AG527" s="3198"/>
      <c r="AH527" s="3198"/>
      <c r="AI527" s="3198"/>
      <c r="AJ527" s="3198"/>
      <c r="AK527" s="3198"/>
      <c r="AL527" s="3198"/>
      <c r="AM527" s="3198"/>
      <c r="AN527" s="3198"/>
      <c r="AO527" s="3198"/>
      <c r="AP527" s="3198"/>
      <c r="AQ527" s="3198"/>
      <c r="AR527" s="3198"/>
      <c r="AS527" s="3198"/>
      <c r="AT527" s="3218"/>
      <c r="AU527" s="3219"/>
      <c r="AV527" s="488">
        <f t="shared" si="324"/>
        <v>0</v>
      </c>
      <c r="AW527" s="488">
        <f t="shared" si="325"/>
        <v>0</v>
      </c>
      <c r="AX527" s="488">
        <f t="shared" si="326"/>
        <v>0</v>
      </c>
      <c r="AY527" s="3235">
        <f t="shared" si="330"/>
        <v>0</v>
      </c>
      <c r="AZ527" s="3166">
        <f t="shared" si="331"/>
        <v>0</v>
      </c>
      <c r="BA527" s="3166">
        <f t="shared" si="332"/>
        <v>0</v>
      </c>
      <c r="BB527" s="3166">
        <f t="shared" si="333"/>
        <v>0</v>
      </c>
      <c r="BC527" s="3166">
        <f t="shared" si="334"/>
        <v>0</v>
      </c>
      <c r="BD527" s="3166">
        <f t="shared" si="335"/>
        <v>0</v>
      </c>
      <c r="BE527" s="3166">
        <f t="shared" si="336"/>
        <v>0</v>
      </c>
      <c r="BF527" s="3166">
        <f t="shared" si="337"/>
        <v>0</v>
      </c>
      <c r="BG527" s="3166">
        <f t="shared" si="338"/>
        <v>0</v>
      </c>
      <c r="BH527" s="3166">
        <f t="shared" si="339"/>
        <v>0</v>
      </c>
      <c r="BI527" s="3166">
        <f t="shared" si="340"/>
        <v>0</v>
      </c>
      <c r="BJ527" s="3166">
        <f t="shared" si="341"/>
        <v>0</v>
      </c>
      <c r="BK527" s="3166">
        <f t="shared" si="342"/>
        <v>0</v>
      </c>
      <c r="BL527" s="3166">
        <f t="shared" si="343"/>
        <v>0</v>
      </c>
      <c r="BM527" s="3166">
        <f t="shared" si="344"/>
        <v>0</v>
      </c>
      <c r="BN527" s="3166">
        <f t="shared" si="345"/>
        <v>0</v>
      </c>
      <c r="BO527" s="3166">
        <f t="shared" si="346"/>
        <v>0</v>
      </c>
      <c r="BP527" s="3166">
        <f t="shared" si="347"/>
        <v>0</v>
      </c>
      <c r="BQ527" s="3166">
        <f t="shared" si="348"/>
        <v>0</v>
      </c>
      <c r="BR527" s="3166">
        <f t="shared" si="349"/>
        <v>0</v>
      </c>
      <c r="BS527" s="3166">
        <f t="shared" si="350"/>
        <v>0</v>
      </c>
      <c r="BT527" s="3240">
        <f t="shared" si="351"/>
        <v>0</v>
      </c>
    </row>
    <row r="528" spans="1:72">
      <c r="A528" s="3163"/>
      <c r="B528" s="3164"/>
      <c r="C528" s="3164"/>
      <c r="D528" s="3176"/>
      <c r="E528" s="3166">
        <f t="shared" si="323"/>
        <v>0</v>
      </c>
      <c r="F528" s="3167"/>
      <c r="G528" s="3168">
        <f t="shared" si="327"/>
        <v>0</v>
      </c>
      <c r="H528" s="3169">
        <f t="shared" si="328"/>
        <v>0</v>
      </c>
      <c r="I528" s="3187"/>
      <c r="J528" s="3187"/>
      <c r="K528" s="3187"/>
      <c r="L528" s="3187"/>
      <c r="M528" s="3187"/>
      <c r="N528" s="3187"/>
      <c r="O528" s="3187"/>
      <c r="P528" s="3187"/>
      <c r="Q528" s="3187"/>
      <c r="R528" s="3187"/>
      <c r="S528" s="3187"/>
      <c r="T528" s="3187"/>
      <c r="U528" s="3187"/>
      <c r="V528" s="3187"/>
      <c r="W528" s="3187"/>
      <c r="X528" s="3187"/>
      <c r="Y528" s="3187"/>
      <c r="Z528" s="3187"/>
      <c r="AA528" s="3187"/>
      <c r="AB528" s="3187"/>
      <c r="AC528" s="3166">
        <f t="shared" si="329"/>
        <v>0</v>
      </c>
      <c r="AD528" s="3198"/>
      <c r="AE528" s="3198"/>
      <c r="AF528" s="3198"/>
      <c r="AG528" s="3198"/>
      <c r="AH528" s="3198"/>
      <c r="AI528" s="3198"/>
      <c r="AJ528" s="3198"/>
      <c r="AK528" s="3198"/>
      <c r="AL528" s="3198"/>
      <c r="AM528" s="3198"/>
      <c r="AN528" s="3198"/>
      <c r="AO528" s="3198"/>
      <c r="AP528" s="3198"/>
      <c r="AQ528" s="3198"/>
      <c r="AR528" s="3198"/>
      <c r="AS528" s="3198"/>
      <c r="AT528" s="3218"/>
      <c r="AU528" s="3219"/>
      <c r="AV528" s="488">
        <f t="shared" si="324"/>
        <v>0</v>
      </c>
      <c r="AW528" s="488">
        <f t="shared" si="325"/>
        <v>0</v>
      </c>
      <c r="AX528" s="488">
        <f t="shared" si="326"/>
        <v>0</v>
      </c>
      <c r="AY528" s="3235">
        <f t="shared" si="330"/>
        <v>0</v>
      </c>
      <c r="AZ528" s="3166">
        <f t="shared" si="331"/>
        <v>0</v>
      </c>
      <c r="BA528" s="3166">
        <f t="shared" si="332"/>
        <v>0</v>
      </c>
      <c r="BB528" s="3166">
        <f t="shared" si="333"/>
        <v>0</v>
      </c>
      <c r="BC528" s="3166">
        <f t="shared" si="334"/>
        <v>0</v>
      </c>
      <c r="BD528" s="3166">
        <f t="shared" si="335"/>
        <v>0</v>
      </c>
      <c r="BE528" s="3166">
        <f t="shared" si="336"/>
        <v>0</v>
      </c>
      <c r="BF528" s="3166">
        <f t="shared" si="337"/>
        <v>0</v>
      </c>
      <c r="BG528" s="3166">
        <f t="shared" si="338"/>
        <v>0</v>
      </c>
      <c r="BH528" s="3166">
        <f t="shared" si="339"/>
        <v>0</v>
      </c>
      <c r="BI528" s="3166">
        <f t="shared" si="340"/>
        <v>0</v>
      </c>
      <c r="BJ528" s="3166">
        <f t="shared" si="341"/>
        <v>0</v>
      </c>
      <c r="BK528" s="3166">
        <f t="shared" si="342"/>
        <v>0</v>
      </c>
      <c r="BL528" s="3166">
        <f t="shared" si="343"/>
        <v>0</v>
      </c>
      <c r="BM528" s="3166">
        <f t="shared" si="344"/>
        <v>0</v>
      </c>
      <c r="BN528" s="3166">
        <f t="shared" si="345"/>
        <v>0</v>
      </c>
      <c r="BO528" s="3166">
        <f t="shared" si="346"/>
        <v>0</v>
      </c>
      <c r="BP528" s="3166">
        <f t="shared" si="347"/>
        <v>0</v>
      </c>
      <c r="BQ528" s="3166">
        <f t="shared" si="348"/>
        <v>0</v>
      </c>
      <c r="BR528" s="3166">
        <f t="shared" si="349"/>
        <v>0</v>
      </c>
      <c r="BS528" s="3166">
        <f t="shared" si="350"/>
        <v>0</v>
      </c>
      <c r="BT528" s="3240">
        <f t="shared" si="351"/>
        <v>0</v>
      </c>
    </row>
    <row r="529" spans="1:72">
      <c r="A529" s="3163"/>
      <c r="B529" s="3164"/>
      <c r="C529" s="3164"/>
      <c r="D529" s="3176"/>
      <c r="E529" s="3166">
        <f t="shared" si="323"/>
        <v>0</v>
      </c>
      <c r="F529" s="3167"/>
      <c r="G529" s="3168">
        <f t="shared" si="327"/>
        <v>0</v>
      </c>
      <c r="H529" s="3169">
        <f t="shared" si="328"/>
        <v>0</v>
      </c>
      <c r="I529" s="3187"/>
      <c r="J529" s="3187"/>
      <c r="K529" s="3187"/>
      <c r="L529" s="3187"/>
      <c r="M529" s="3187"/>
      <c r="N529" s="3187"/>
      <c r="O529" s="3187"/>
      <c r="P529" s="3187"/>
      <c r="Q529" s="3187"/>
      <c r="R529" s="3187"/>
      <c r="S529" s="3187"/>
      <c r="T529" s="3187"/>
      <c r="U529" s="3187"/>
      <c r="V529" s="3187"/>
      <c r="W529" s="3187"/>
      <c r="X529" s="3187"/>
      <c r="Y529" s="3187"/>
      <c r="Z529" s="3187"/>
      <c r="AA529" s="3187"/>
      <c r="AB529" s="3187"/>
      <c r="AC529" s="3166">
        <f t="shared" si="329"/>
        <v>0</v>
      </c>
      <c r="AD529" s="3198"/>
      <c r="AE529" s="3198"/>
      <c r="AF529" s="3198"/>
      <c r="AG529" s="3198"/>
      <c r="AH529" s="3198"/>
      <c r="AI529" s="3198"/>
      <c r="AJ529" s="3198"/>
      <c r="AK529" s="3198"/>
      <c r="AL529" s="3198"/>
      <c r="AM529" s="3198"/>
      <c r="AN529" s="3198"/>
      <c r="AO529" s="3198"/>
      <c r="AP529" s="3198"/>
      <c r="AQ529" s="3198"/>
      <c r="AR529" s="3198"/>
      <c r="AS529" s="3198"/>
      <c r="AT529" s="3218"/>
      <c r="AU529" s="3219"/>
      <c r="AV529" s="488">
        <f t="shared" si="324"/>
        <v>0</v>
      </c>
      <c r="AW529" s="488">
        <f t="shared" si="325"/>
        <v>0</v>
      </c>
      <c r="AX529" s="488">
        <f t="shared" si="326"/>
        <v>0</v>
      </c>
      <c r="AY529" s="3235">
        <f t="shared" si="330"/>
        <v>0</v>
      </c>
      <c r="AZ529" s="3166">
        <f t="shared" si="331"/>
        <v>0</v>
      </c>
      <c r="BA529" s="3166">
        <f t="shared" si="332"/>
        <v>0</v>
      </c>
      <c r="BB529" s="3166">
        <f t="shared" si="333"/>
        <v>0</v>
      </c>
      <c r="BC529" s="3166">
        <f t="shared" si="334"/>
        <v>0</v>
      </c>
      <c r="BD529" s="3166">
        <f t="shared" si="335"/>
        <v>0</v>
      </c>
      <c r="BE529" s="3166">
        <f t="shared" si="336"/>
        <v>0</v>
      </c>
      <c r="BF529" s="3166">
        <f t="shared" si="337"/>
        <v>0</v>
      </c>
      <c r="BG529" s="3166">
        <f t="shared" si="338"/>
        <v>0</v>
      </c>
      <c r="BH529" s="3166">
        <f t="shared" si="339"/>
        <v>0</v>
      </c>
      <c r="BI529" s="3166">
        <f t="shared" si="340"/>
        <v>0</v>
      </c>
      <c r="BJ529" s="3166">
        <f t="shared" si="341"/>
        <v>0</v>
      </c>
      <c r="BK529" s="3166">
        <f t="shared" si="342"/>
        <v>0</v>
      </c>
      <c r="BL529" s="3166">
        <f t="shared" si="343"/>
        <v>0</v>
      </c>
      <c r="BM529" s="3166">
        <f t="shared" si="344"/>
        <v>0</v>
      </c>
      <c r="BN529" s="3166">
        <f t="shared" si="345"/>
        <v>0</v>
      </c>
      <c r="BO529" s="3166">
        <f t="shared" si="346"/>
        <v>0</v>
      </c>
      <c r="BP529" s="3166">
        <f t="shared" si="347"/>
        <v>0</v>
      </c>
      <c r="BQ529" s="3166">
        <f t="shared" si="348"/>
        <v>0</v>
      </c>
      <c r="BR529" s="3166">
        <f t="shared" si="349"/>
        <v>0</v>
      </c>
      <c r="BS529" s="3166">
        <f t="shared" si="350"/>
        <v>0</v>
      </c>
      <c r="BT529" s="3240">
        <f t="shared" si="351"/>
        <v>0</v>
      </c>
    </row>
    <row r="530" spans="1:72">
      <c r="A530" s="3163"/>
      <c r="B530" s="3164"/>
      <c r="C530" s="3164"/>
      <c r="D530" s="3176"/>
      <c r="E530" s="3166">
        <f t="shared" si="323"/>
        <v>0</v>
      </c>
      <c r="F530" s="3167"/>
      <c r="G530" s="3168">
        <f t="shared" si="327"/>
        <v>0</v>
      </c>
      <c r="H530" s="3169">
        <f t="shared" si="328"/>
        <v>0</v>
      </c>
      <c r="I530" s="3187"/>
      <c r="J530" s="3187"/>
      <c r="K530" s="3187"/>
      <c r="L530" s="3187"/>
      <c r="M530" s="3187"/>
      <c r="N530" s="3187"/>
      <c r="O530" s="3187"/>
      <c r="P530" s="3187"/>
      <c r="Q530" s="3187"/>
      <c r="R530" s="3187"/>
      <c r="S530" s="3187"/>
      <c r="T530" s="3187"/>
      <c r="U530" s="3187"/>
      <c r="V530" s="3187"/>
      <c r="W530" s="3187"/>
      <c r="X530" s="3187"/>
      <c r="Y530" s="3187"/>
      <c r="Z530" s="3187"/>
      <c r="AA530" s="3187"/>
      <c r="AB530" s="3187"/>
      <c r="AC530" s="3166">
        <f t="shared" si="329"/>
        <v>0</v>
      </c>
      <c r="AD530" s="3198"/>
      <c r="AE530" s="3198"/>
      <c r="AF530" s="3198"/>
      <c r="AG530" s="3198"/>
      <c r="AH530" s="3198"/>
      <c r="AI530" s="3198"/>
      <c r="AJ530" s="3198"/>
      <c r="AK530" s="3198"/>
      <c r="AL530" s="3198"/>
      <c r="AM530" s="3198"/>
      <c r="AN530" s="3198"/>
      <c r="AO530" s="3198"/>
      <c r="AP530" s="3198"/>
      <c r="AQ530" s="3198"/>
      <c r="AR530" s="3198"/>
      <c r="AS530" s="3198"/>
      <c r="AT530" s="3218"/>
      <c r="AU530" s="3219"/>
      <c r="AV530" s="488">
        <f t="shared" si="324"/>
        <v>0</v>
      </c>
      <c r="AW530" s="488">
        <f t="shared" si="325"/>
        <v>0</v>
      </c>
      <c r="AX530" s="488">
        <f t="shared" si="326"/>
        <v>0</v>
      </c>
      <c r="AY530" s="3235">
        <f t="shared" si="330"/>
        <v>0</v>
      </c>
      <c r="AZ530" s="3166">
        <f t="shared" si="331"/>
        <v>0</v>
      </c>
      <c r="BA530" s="3166">
        <f t="shared" si="332"/>
        <v>0</v>
      </c>
      <c r="BB530" s="3166">
        <f t="shared" si="333"/>
        <v>0</v>
      </c>
      <c r="BC530" s="3166">
        <f t="shared" si="334"/>
        <v>0</v>
      </c>
      <c r="BD530" s="3166">
        <f t="shared" si="335"/>
        <v>0</v>
      </c>
      <c r="BE530" s="3166">
        <f t="shared" si="336"/>
        <v>0</v>
      </c>
      <c r="BF530" s="3166">
        <f t="shared" si="337"/>
        <v>0</v>
      </c>
      <c r="BG530" s="3166">
        <f t="shared" si="338"/>
        <v>0</v>
      </c>
      <c r="BH530" s="3166">
        <f t="shared" si="339"/>
        <v>0</v>
      </c>
      <c r="BI530" s="3166">
        <f t="shared" si="340"/>
        <v>0</v>
      </c>
      <c r="BJ530" s="3166">
        <f t="shared" si="341"/>
        <v>0</v>
      </c>
      <c r="BK530" s="3166">
        <f t="shared" si="342"/>
        <v>0</v>
      </c>
      <c r="BL530" s="3166">
        <f t="shared" si="343"/>
        <v>0</v>
      </c>
      <c r="BM530" s="3166">
        <f t="shared" si="344"/>
        <v>0</v>
      </c>
      <c r="BN530" s="3166">
        <f t="shared" si="345"/>
        <v>0</v>
      </c>
      <c r="BO530" s="3166">
        <f t="shared" si="346"/>
        <v>0</v>
      </c>
      <c r="BP530" s="3166">
        <f t="shared" si="347"/>
        <v>0</v>
      </c>
      <c r="BQ530" s="3166">
        <f t="shared" si="348"/>
        <v>0</v>
      </c>
      <c r="BR530" s="3166">
        <f t="shared" si="349"/>
        <v>0</v>
      </c>
      <c r="BS530" s="3166">
        <f t="shared" si="350"/>
        <v>0</v>
      </c>
      <c r="BT530" s="3240">
        <f t="shared" si="351"/>
        <v>0</v>
      </c>
    </row>
    <row r="531" spans="1:72">
      <c r="A531" s="3163"/>
      <c r="B531" s="3164"/>
      <c r="C531" s="3164"/>
      <c r="D531" s="3176"/>
      <c r="E531" s="3166">
        <f t="shared" si="323"/>
        <v>0</v>
      </c>
      <c r="F531" s="3167"/>
      <c r="G531" s="3168">
        <f t="shared" si="327"/>
        <v>0</v>
      </c>
      <c r="H531" s="3169">
        <f t="shared" si="328"/>
        <v>0</v>
      </c>
      <c r="I531" s="3187"/>
      <c r="J531" s="3187"/>
      <c r="K531" s="3187"/>
      <c r="L531" s="3187"/>
      <c r="M531" s="3187"/>
      <c r="N531" s="3187"/>
      <c r="O531" s="3187"/>
      <c r="P531" s="3187"/>
      <c r="Q531" s="3187"/>
      <c r="R531" s="3187"/>
      <c r="S531" s="3187"/>
      <c r="T531" s="3187"/>
      <c r="U531" s="3187"/>
      <c r="V531" s="3187"/>
      <c r="W531" s="3187"/>
      <c r="X531" s="3187"/>
      <c r="Y531" s="3187"/>
      <c r="Z531" s="3187"/>
      <c r="AA531" s="3187"/>
      <c r="AB531" s="3187"/>
      <c r="AC531" s="3166">
        <f t="shared" si="329"/>
        <v>0</v>
      </c>
      <c r="AD531" s="3198"/>
      <c r="AE531" s="3198"/>
      <c r="AF531" s="3198"/>
      <c r="AG531" s="3198"/>
      <c r="AH531" s="3198"/>
      <c r="AI531" s="3198"/>
      <c r="AJ531" s="3198"/>
      <c r="AK531" s="3198"/>
      <c r="AL531" s="3198"/>
      <c r="AM531" s="3198"/>
      <c r="AN531" s="3198"/>
      <c r="AO531" s="3198"/>
      <c r="AP531" s="3198"/>
      <c r="AQ531" s="3198"/>
      <c r="AR531" s="3198"/>
      <c r="AS531" s="3198"/>
      <c r="AT531" s="3218"/>
      <c r="AU531" s="3219"/>
      <c r="AV531" s="488">
        <f t="shared" si="324"/>
        <v>0</v>
      </c>
      <c r="AW531" s="488">
        <f t="shared" si="325"/>
        <v>0</v>
      </c>
      <c r="AX531" s="488">
        <f t="shared" si="326"/>
        <v>0</v>
      </c>
      <c r="AY531" s="3235">
        <f t="shared" si="330"/>
        <v>0</v>
      </c>
      <c r="AZ531" s="3166">
        <f t="shared" si="331"/>
        <v>0</v>
      </c>
      <c r="BA531" s="3166">
        <f t="shared" si="332"/>
        <v>0</v>
      </c>
      <c r="BB531" s="3166">
        <f t="shared" si="333"/>
        <v>0</v>
      </c>
      <c r="BC531" s="3166">
        <f t="shared" si="334"/>
        <v>0</v>
      </c>
      <c r="BD531" s="3166">
        <f t="shared" si="335"/>
        <v>0</v>
      </c>
      <c r="BE531" s="3166">
        <f t="shared" si="336"/>
        <v>0</v>
      </c>
      <c r="BF531" s="3166">
        <f t="shared" si="337"/>
        <v>0</v>
      </c>
      <c r="BG531" s="3166">
        <f t="shared" si="338"/>
        <v>0</v>
      </c>
      <c r="BH531" s="3166">
        <f t="shared" si="339"/>
        <v>0</v>
      </c>
      <c r="BI531" s="3166">
        <f t="shared" si="340"/>
        <v>0</v>
      </c>
      <c r="BJ531" s="3166">
        <f t="shared" si="341"/>
        <v>0</v>
      </c>
      <c r="BK531" s="3166">
        <f t="shared" si="342"/>
        <v>0</v>
      </c>
      <c r="BL531" s="3166">
        <f t="shared" si="343"/>
        <v>0</v>
      </c>
      <c r="BM531" s="3166">
        <f t="shared" si="344"/>
        <v>0</v>
      </c>
      <c r="BN531" s="3166">
        <f t="shared" si="345"/>
        <v>0</v>
      </c>
      <c r="BO531" s="3166">
        <f t="shared" si="346"/>
        <v>0</v>
      </c>
      <c r="BP531" s="3166">
        <f t="shared" si="347"/>
        <v>0</v>
      </c>
      <c r="BQ531" s="3166">
        <f t="shared" si="348"/>
        <v>0</v>
      </c>
      <c r="BR531" s="3166">
        <f t="shared" si="349"/>
        <v>0</v>
      </c>
      <c r="BS531" s="3166">
        <f t="shared" si="350"/>
        <v>0</v>
      </c>
      <c r="BT531" s="3240">
        <f t="shared" si="351"/>
        <v>0</v>
      </c>
    </row>
    <row r="532" spans="1:72">
      <c r="A532" s="3163"/>
      <c r="B532" s="3164"/>
      <c r="C532" s="3164"/>
      <c r="D532" s="3176"/>
      <c r="E532" s="3166">
        <f t="shared" si="323"/>
        <v>0</v>
      </c>
      <c r="F532" s="3167"/>
      <c r="G532" s="3168">
        <f t="shared" si="327"/>
        <v>0</v>
      </c>
      <c r="H532" s="3169">
        <f t="shared" si="328"/>
        <v>0</v>
      </c>
      <c r="I532" s="3187"/>
      <c r="J532" s="3187"/>
      <c r="K532" s="3187"/>
      <c r="L532" s="3187"/>
      <c r="M532" s="3187"/>
      <c r="N532" s="3187"/>
      <c r="O532" s="3187"/>
      <c r="P532" s="3187"/>
      <c r="Q532" s="3187"/>
      <c r="R532" s="3187"/>
      <c r="S532" s="3187"/>
      <c r="T532" s="3187"/>
      <c r="U532" s="3187"/>
      <c r="V532" s="3187"/>
      <c r="W532" s="3187"/>
      <c r="X532" s="3187"/>
      <c r="Y532" s="3187"/>
      <c r="Z532" s="3187"/>
      <c r="AA532" s="3187"/>
      <c r="AB532" s="3187"/>
      <c r="AC532" s="3166">
        <f t="shared" si="329"/>
        <v>0</v>
      </c>
      <c r="AD532" s="3198"/>
      <c r="AE532" s="3198"/>
      <c r="AF532" s="3198"/>
      <c r="AG532" s="3198"/>
      <c r="AH532" s="3198"/>
      <c r="AI532" s="3198"/>
      <c r="AJ532" s="3198"/>
      <c r="AK532" s="3198"/>
      <c r="AL532" s="3198"/>
      <c r="AM532" s="3198"/>
      <c r="AN532" s="3198"/>
      <c r="AO532" s="3198"/>
      <c r="AP532" s="3198"/>
      <c r="AQ532" s="3198"/>
      <c r="AR532" s="3198"/>
      <c r="AS532" s="3198"/>
      <c r="AT532" s="3218"/>
      <c r="AU532" s="3219"/>
      <c r="AV532" s="488">
        <f t="shared" si="324"/>
        <v>0</v>
      </c>
      <c r="AW532" s="488">
        <f t="shared" si="325"/>
        <v>0</v>
      </c>
      <c r="AX532" s="488">
        <f t="shared" si="326"/>
        <v>0</v>
      </c>
      <c r="AY532" s="3235">
        <f t="shared" si="330"/>
        <v>0</v>
      </c>
      <c r="AZ532" s="3166">
        <f t="shared" si="331"/>
        <v>0</v>
      </c>
      <c r="BA532" s="3166">
        <f t="shared" si="332"/>
        <v>0</v>
      </c>
      <c r="BB532" s="3166">
        <f t="shared" si="333"/>
        <v>0</v>
      </c>
      <c r="BC532" s="3166">
        <f t="shared" si="334"/>
        <v>0</v>
      </c>
      <c r="BD532" s="3166">
        <f t="shared" si="335"/>
        <v>0</v>
      </c>
      <c r="BE532" s="3166">
        <f t="shared" si="336"/>
        <v>0</v>
      </c>
      <c r="BF532" s="3166">
        <f t="shared" si="337"/>
        <v>0</v>
      </c>
      <c r="BG532" s="3166">
        <f t="shared" si="338"/>
        <v>0</v>
      </c>
      <c r="BH532" s="3166">
        <f t="shared" si="339"/>
        <v>0</v>
      </c>
      <c r="BI532" s="3166">
        <f t="shared" si="340"/>
        <v>0</v>
      </c>
      <c r="BJ532" s="3166">
        <f t="shared" si="341"/>
        <v>0</v>
      </c>
      <c r="BK532" s="3166">
        <f t="shared" si="342"/>
        <v>0</v>
      </c>
      <c r="BL532" s="3166">
        <f t="shared" si="343"/>
        <v>0</v>
      </c>
      <c r="BM532" s="3166">
        <f t="shared" si="344"/>
        <v>0</v>
      </c>
      <c r="BN532" s="3166">
        <f t="shared" si="345"/>
        <v>0</v>
      </c>
      <c r="BO532" s="3166">
        <f t="shared" si="346"/>
        <v>0</v>
      </c>
      <c r="BP532" s="3166">
        <f t="shared" si="347"/>
        <v>0</v>
      </c>
      <c r="BQ532" s="3166">
        <f t="shared" si="348"/>
        <v>0</v>
      </c>
      <c r="BR532" s="3166">
        <f t="shared" si="349"/>
        <v>0</v>
      </c>
      <c r="BS532" s="3166">
        <f t="shared" si="350"/>
        <v>0</v>
      </c>
      <c r="BT532" s="3240">
        <f t="shared" si="351"/>
        <v>0</v>
      </c>
    </row>
    <row r="533" spans="1:72">
      <c r="A533" s="3163"/>
      <c r="B533" s="3164"/>
      <c r="C533" s="3164"/>
      <c r="D533" s="3176"/>
      <c r="E533" s="3166">
        <f t="shared" si="323"/>
        <v>0</v>
      </c>
      <c r="F533" s="3167"/>
      <c r="G533" s="3168">
        <f t="shared" si="327"/>
        <v>0</v>
      </c>
      <c r="H533" s="3169">
        <f t="shared" si="328"/>
        <v>0</v>
      </c>
      <c r="I533" s="3187"/>
      <c r="J533" s="3187"/>
      <c r="K533" s="3187"/>
      <c r="L533" s="3187"/>
      <c r="M533" s="3187"/>
      <c r="N533" s="3187"/>
      <c r="O533" s="3187"/>
      <c r="P533" s="3187"/>
      <c r="Q533" s="3187"/>
      <c r="R533" s="3187"/>
      <c r="S533" s="3187"/>
      <c r="T533" s="3187"/>
      <c r="U533" s="3187"/>
      <c r="V533" s="3187"/>
      <c r="W533" s="3187"/>
      <c r="X533" s="3187"/>
      <c r="Y533" s="3187"/>
      <c r="Z533" s="3187"/>
      <c r="AA533" s="3187"/>
      <c r="AB533" s="3187"/>
      <c r="AC533" s="3166">
        <f t="shared" si="329"/>
        <v>0</v>
      </c>
      <c r="AD533" s="3198"/>
      <c r="AE533" s="3198"/>
      <c r="AF533" s="3198"/>
      <c r="AG533" s="3198"/>
      <c r="AH533" s="3198"/>
      <c r="AI533" s="3198"/>
      <c r="AJ533" s="3198"/>
      <c r="AK533" s="3198"/>
      <c r="AL533" s="3198"/>
      <c r="AM533" s="3198"/>
      <c r="AN533" s="3198"/>
      <c r="AO533" s="3198"/>
      <c r="AP533" s="3198"/>
      <c r="AQ533" s="3198"/>
      <c r="AR533" s="3198"/>
      <c r="AS533" s="3198"/>
      <c r="AT533" s="3218"/>
      <c r="AU533" s="3219"/>
      <c r="AV533" s="488">
        <f t="shared" si="324"/>
        <v>0</v>
      </c>
      <c r="AW533" s="488">
        <f t="shared" si="325"/>
        <v>0</v>
      </c>
      <c r="AX533" s="488">
        <f t="shared" si="326"/>
        <v>0</v>
      </c>
      <c r="AY533" s="3235">
        <f t="shared" si="330"/>
        <v>0</v>
      </c>
      <c r="AZ533" s="3166">
        <f t="shared" si="331"/>
        <v>0</v>
      </c>
      <c r="BA533" s="3166">
        <f t="shared" si="332"/>
        <v>0</v>
      </c>
      <c r="BB533" s="3166">
        <f t="shared" si="333"/>
        <v>0</v>
      </c>
      <c r="BC533" s="3166">
        <f t="shared" si="334"/>
        <v>0</v>
      </c>
      <c r="BD533" s="3166">
        <f t="shared" si="335"/>
        <v>0</v>
      </c>
      <c r="BE533" s="3166">
        <f t="shared" si="336"/>
        <v>0</v>
      </c>
      <c r="BF533" s="3166">
        <f t="shared" si="337"/>
        <v>0</v>
      </c>
      <c r="BG533" s="3166">
        <f t="shared" si="338"/>
        <v>0</v>
      </c>
      <c r="BH533" s="3166">
        <f t="shared" si="339"/>
        <v>0</v>
      </c>
      <c r="BI533" s="3166">
        <f t="shared" si="340"/>
        <v>0</v>
      </c>
      <c r="BJ533" s="3166">
        <f t="shared" si="341"/>
        <v>0</v>
      </c>
      <c r="BK533" s="3166">
        <f t="shared" si="342"/>
        <v>0</v>
      </c>
      <c r="BL533" s="3166">
        <f t="shared" si="343"/>
        <v>0</v>
      </c>
      <c r="BM533" s="3166">
        <f t="shared" si="344"/>
        <v>0</v>
      </c>
      <c r="BN533" s="3166">
        <f t="shared" si="345"/>
        <v>0</v>
      </c>
      <c r="BO533" s="3166">
        <f t="shared" si="346"/>
        <v>0</v>
      </c>
      <c r="BP533" s="3166">
        <f t="shared" si="347"/>
        <v>0</v>
      </c>
      <c r="BQ533" s="3166">
        <f t="shared" si="348"/>
        <v>0</v>
      </c>
      <c r="BR533" s="3166">
        <f t="shared" si="349"/>
        <v>0</v>
      </c>
      <c r="BS533" s="3166">
        <f t="shared" si="350"/>
        <v>0</v>
      </c>
      <c r="BT533" s="3240">
        <f t="shared" si="351"/>
        <v>0</v>
      </c>
    </row>
    <row r="534" spans="1:72">
      <c r="A534" s="3163"/>
      <c r="B534" s="3164"/>
      <c r="C534" s="3164"/>
      <c r="D534" s="3176"/>
      <c r="E534" s="3166">
        <f t="shared" si="323"/>
        <v>0</v>
      </c>
      <c r="F534" s="3167"/>
      <c r="G534" s="3168">
        <f t="shared" si="327"/>
        <v>0</v>
      </c>
      <c r="H534" s="3169">
        <f t="shared" si="328"/>
        <v>0</v>
      </c>
      <c r="I534" s="3187"/>
      <c r="J534" s="3187"/>
      <c r="K534" s="3187"/>
      <c r="L534" s="3187"/>
      <c r="M534" s="3187"/>
      <c r="N534" s="3187"/>
      <c r="O534" s="3187"/>
      <c r="P534" s="3187"/>
      <c r="Q534" s="3187"/>
      <c r="R534" s="3187"/>
      <c r="S534" s="3187"/>
      <c r="T534" s="3187"/>
      <c r="U534" s="3187"/>
      <c r="V534" s="3187"/>
      <c r="W534" s="3187"/>
      <c r="X534" s="3187"/>
      <c r="Y534" s="3187"/>
      <c r="Z534" s="3187"/>
      <c r="AA534" s="3187"/>
      <c r="AB534" s="3187"/>
      <c r="AC534" s="3166">
        <f t="shared" si="329"/>
        <v>0</v>
      </c>
      <c r="AD534" s="3198"/>
      <c r="AE534" s="3198"/>
      <c r="AF534" s="3198"/>
      <c r="AG534" s="3198"/>
      <c r="AH534" s="3198"/>
      <c r="AI534" s="3198"/>
      <c r="AJ534" s="3198"/>
      <c r="AK534" s="3198"/>
      <c r="AL534" s="3198"/>
      <c r="AM534" s="3198"/>
      <c r="AN534" s="3198"/>
      <c r="AO534" s="3198"/>
      <c r="AP534" s="3198"/>
      <c r="AQ534" s="3198"/>
      <c r="AR534" s="3198"/>
      <c r="AS534" s="3198"/>
      <c r="AT534" s="3218"/>
      <c r="AU534" s="3219"/>
      <c r="AV534" s="488">
        <f t="shared" si="324"/>
        <v>0</v>
      </c>
      <c r="AW534" s="488">
        <f t="shared" si="325"/>
        <v>0</v>
      </c>
      <c r="AX534" s="488">
        <f t="shared" si="326"/>
        <v>0</v>
      </c>
      <c r="AY534" s="3235">
        <f t="shared" si="330"/>
        <v>0</v>
      </c>
      <c r="AZ534" s="3166">
        <f t="shared" si="331"/>
        <v>0</v>
      </c>
      <c r="BA534" s="3166">
        <f t="shared" si="332"/>
        <v>0</v>
      </c>
      <c r="BB534" s="3166">
        <f t="shared" si="333"/>
        <v>0</v>
      </c>
      <c r="BC534" s="3166">
        <f t="shared" si="334"/>
        <v>0</v>
      </c>
      <c r="BD534" s="3166">
        <f t="shared" si="335"/>
        <v>0</v>
      </c>
      <c r="BE534" s="3166">
        <f t="shared" si="336"/>
        <v>0</v>
      </c>
      <c r="BF534" s="3166">
        <f t="shared" si="337"/>
        <v>0</v>
      </c>
      <c r="BG534" s="3166">
        <f t="shared" si="338"/>
        <v>0</v>
      </c>
      <c r="BH534" s="3166">
        <f t="shared" si="339"/>
        <v>0</v>
      </c>
      <c r="BI534" s="3166">
        <f t="shared" si="340"/>
        <v>0</v>
      </c>
      <c r="BJ534" s="3166">
        <f t="shared" si="341"/>
        <v>0</v>
      </c>
      <c r="BK534" s="3166">
        <f t="shared" si="342"/>
        <v>0</v>
      </c>
      <c r="BL534" s="3166">
        <f t="shared" si="343"/>
        <v>0</v>
      </c>
      <c r="BM534" s="3166">
        <f t="shared" si="344"/>
        <v>0</v>
      </c>
      <c r="BN534" s="3166">
        <f t="shared" si="345"/>
        <v>0</v>
      </c>
      <c r="BO534" s="3166">
        <f t="shared" si="346"/>
        <v>0</v>
      </c>
      <c r="BP534" s="3166">
        <f t="shared" si="347"/>
        <v>0</v>
      </c>
      <c r="BQ534" s="3166">
        <f t="shared" si="348"/>
        <v>0</v>
      </c>
      <c r="BR534" s="3166">
        <f t="shared" si="349"/>
        <v>0</v>
      </c>
      <c r="BS534" s="3166">
        <f t="shared" si="350"/>
        <v>0</v>
      </c>
      <c r="BT534" s="3240">
        <f t="shared" si="351"/>
        <v>0</v>
      </c>
    </row>
    <row r="535" spans="1:72">
      <c r="A535" s="3163"/>
      <c r="B535" s="3164"/>
      <c r="C535" s="3164"/>
      <c r="D535" s="3176"/>
      <c r="E535" s="3166">
        <f t="shared" si="323"/>
        <v>0</v>
      </c>
      <c r="F535" s="3167"/>
      <c r="G535" s="3168">
        <f t="shared" si="327"/>
        <v>0</v>
      </c>
      <c r="H535" s="3169">
        <f t="shared" si="328"/>
        <v>0</v>
      </c>
      <c r="I535" s="3187"/>
      <c r="J535" s="3187"/>
      <c r="K535" s="3187"/>
      <c r="L535" s="3187"/>
      <c r="M535" s="3187"/>
      <c r="N535" s="3187"/>
      <c r="O535" s="3187"/>
      <c r="P535" s="3187"/>
      <c r="Q535" s="3187"/>
      <c r="R535" s="3187"/>
      <c r="S535" s="3187"/>
      <c r="T535" s="3187"/>
      <c r="U535" s="3187"/>
      <c r="V535" s="3187"/>
      <c r="W535" s="3187"/>
      <c r="X535" s="3187"/>
      <c r="Y535" s="3187"/>
      <c r="Z535" s="3187"/>
      <c r="AA535" s="3187"/>
      <c r="AB535" s="3187"/>
      <c r="AC535" s="3166">
        <f t="shared" si="329"/>
        <v>0</v>
      </c>
      <c r="AD535" s="3198"/>
      <c r="AE535" s="3198"/>
      <c r="AF535" s="3198"/>
      <c r="AG535" s="3198"/>
      <c r="AH535" s="3198"/>
      <c r="AI535" s="3198"/>
      <c r="AJ535" s="3198"/>
      <c r="AK535" s="3198"/>
      <c r="AL535" s="3198"/>
      <c r="AM535" s="3198"/>
      <c r="AN535" s="3198"/>
      <c r="AO535" s="3198"/>
      <c r="AP535" s="3198"/>
      <c r="AQ535" s="3198"/>
      <c r="AR535" s="3198"/>
      <c r="AS535" s="3198"/>
      <c r="AT535" s="3218"/>
      <c r="AU535" s="3219"/>
      <c r="AV535" s="488">
        <f t="shared" si="324"/>
        <v>0</v>
      </c>
      <c r="AW535" s="488">
        <f t="shared" si="325"/>
        <v>0</v>
      </c>
      <c r="AX535" s="488">
        <f t="shared" si="326"/>
        <v>0</v>
      </c>
      <c r="AY535" s="3235">
        <f t="shared" si="330"/>
        <v>0</v>
      </c>
      <c r="AZ535" s="3166">
        <f t="shared" si="331"/>
        <v>0</v>
      </c>
      <c r="BA535" s="3166">
        <f t="shared" si="332"/>
        <v>0</v>
      </c>
      <c r="BB535" s="3166">
        <f t="shared" si="333"/>
        <v>0</v>
      </c>
      <c r="BC535" s="3166">
        <f t="shared" si="334"/>
        <v>0</v>
      </c>
      <c r="BD535" s="3166">
        <f t="shared" si="335"/>
        <v>0</v>
      </c>
      <c r="BE535" s="3166">
        <f t="shared" si="336"/>
        <v>0</v>
      </c>
      <c r="BF535" s="3166">
        <f t="shared" si="337"/>
        <v>0</v>
      </c>
      <c r="BG535" s="3166">
        <f t="shared" si="338"/>
        <v>0</v>
      </c>
      <c r="BH535" s="3166">
        <f t="shared" si="339"/>
        <v>0</v>
      </c>
      <c r="BI535" s="3166">
        <f t="shared" si="340"/>
        <v>0</v>
      </c>
      <c r="BJ535" s="3166">
        <f t="shared" si="341"/>
        <v>0</v>
      </c>
      <c r="BK535" s="3166">
        <f t="shared" si="342"/>
        <v>0</v>
      </c>
      <c r="BL535" s="3166">
        <f t="shared" si="343"/>
        <v>0</v>
      </c>
      <c r="BM535" s="3166">
        <f t="shared" si="344"/>
        <v>0</v>
      </c>
      <c r="BN535" s="3166">
        <f t="shared" si="345"/>
        <v>0</v>
      </c>
      <c r="BO535" s="3166">
        <f t="shared" si="346"/>
        <v>0</v>
      </c>
      <c r="BP535" s="3166">
        <f t="shared" si="347"/>
        <v>0</v>
      </c>
      <c r="BQ535" s="3166">
        <f t="shared" si="348"/>
        <v>0</v>
      </c>
      <c r="BR535" s="3166">
        <f t="shared" si="349"/>
        <v>0</v>
      </c>
      <c r="BS535" s="3166">
        <f t="shared" si="350"/>
        <v>0</v>
      </c>
      <c r="BT535" s="3240">
        <f t="shared" si="351"/>
        <v>0</v>
      </c>
    </row>
    <row r="536" spans="1:72">
      <c r="A536" s="3163"/>
      <c r="B536" s="3164"/>
      <c r="C536" s="3164"/>
      <c r="D536" s="3176"/>
      <c r="E536" s="3166">
        <f t="shared" si="323"/>
        <v>0</v>
      </c>
      <c r="F536" s="3167"/>
      <c r="G536" s="3168">
        <f t="shared" si="327"/>
        <v>0</v>
      </c>
      <c r="H536" s="3169">
        <f t="shared" si="328"/>
        <v>0</v>
      </c>
      <c r="I536" s="3187"/>
      <c r="J536" s="3187"/>
      <c r="K536" s="3187"/>
      <c r="L536" s="3187"/>
      <c r="M536" s="3187"/>
      <c r="N536" s="3187"/>
      <c r="O536" s="3187"/>
      <c r="P536" s="3187"/>
      <c r="Q536" s="3187"/>
      <c r="R536" s="3187"/>
      <c r="S536" s="3187"/>
      <c r="T536" s="3187"/>
      <c r="U536" s="3187"/>
      <c r="V536" s="3187"/>
      <c r="W536" s="3187"/>
      <c r="X536" s="3187"/>
      <c r="Y536" s="3187"/>
      <c r="Z536" s="3187"/>
      <c r="AA536" s="3187"/>
      <c r="AB536" s="3187"/>
      <c r="AC536" s="3166">
        <f t="shared" si="329"/>
        <v>0</v>
      </c>
      <c r="AD536" s="3198"/>
      <c r="AE536" s="3198"/>
      <c r="AF536" s="3198"/>
      <c r="AG536" s="3198"/>
      <c r="AH536" s="3198"/>
      <c r="AI536" s="3198"/>
      <c r="AJ536" s="3198"/>
      <c r="AK536" s="3198"/>
      <c r="AL536" s="3198"/>
      <c r="AM536" s="3198"/>
      <c r="AN536" s="3198"/>
      <c r="AO536" s="3198"/>
      <c r="AP536" s="3198"/>
      <c r="AQ536" s="3198"/>
      <c r="AR536" s="3198"/>
      <c r="AS536" s="3198"/>
      <c r="AT536" s="3218"/>
      <c r="AU536" s="3219"/>
      <c r="AV536" s="488">
        <f t="shared" si="324"/>
        <v>0</v>
      </c>
      <c r="AW536" s="488">
        <f t="shared" si="325"/>
        <v>0</v>
      </c>
      <c r="AX536" s="488">
        <f t="shared" si="326"/>
        <v>0</v>
      </c>
      <c r="AY536" s="3235">
        <f t="shared" si="330"/>
        <v>0</v>
      </c>
      <c r="AZ536" s="3166">
        <f t="shared" si="331"/>
        <v>0</v>
      </c>
      <c r="BA536" s="3166">
        <f t="shared" si="332"/>
        <v>0</v>
      </c>
      <c r="BB536" s="3166">
        <f t="shared" si="333"/>
        <v>0</v>
      </c>
      <c r="BC536" s="3166">
        <f t="shared" si="334"/>
        <v>0</v>
      </c>
      <c r="BD536" s="3166">
        <f t="shared" si="335"/>
        <v>0</v>
      </c>
      <c r="BE536" s="3166">
        <f t="shared" si="336"/>
        <v>0</v>
      </c>
      <c r="BF536" s="3166">
        <f t="shared" si="337"/>
        <v>0</v>
      </c>
      <c r="BG536" s="3166">
        <f t="shared" si="338"/>
        <v>0</v>
      </c>
      <c r="BH536" s="3166">
        <f t="shared" si="339"/>
        <v>0</v>
      </c>
      <c r="BI536" s="3166">
        <f t="shared" si="340"/>
        <v>0</v>
      </c>
      <c r="BJ536" s="3166">
        <f t="shared" si="341"/>
        <v>0</v>
      </c>
      <c r="BK536" s="3166">
        <f t="shared" si="342"/>
        <v>0</v>
      </c>
      <c r="BL536" s="3166">
        <f t="shared" si="343"/>
        <v>0</v>
      </c>
      <c r="BM536" s="3166">
        <f t="shared" si="344"/>
        <v>0</v>
      </c>
      <c r="BN536" s="3166">
        <f t="shared" si="345"/>
        <v>0</v>
      </c>
      <c r="BO536" s="3166">
        <f t="shared" si="346"/>
        <v>0</v>
      </c>
      <c r="BP536" s="3166">
        <f t="shared" si="347"/>
        <v>0</v>
      </c>
      <c r="BQ536" s="3166">
        <f t="shared" si="348"/>
        <v>0</v>
      </c>
      <c r="BR536" s="3166">
        <f t="shared" si="349"/>
        <v>0</v>
      </c>
      <c r="BS536" s="3166">
        <f t="shared" si="350"/>
        <v>0</v>
      </c>
      <c r="BT536" s="3240">
        <f t="shared" si="351"/>
        <v>0</v>
      </c>
    </row>
    <row r="537" spans="1:72">
      <c r="A537" s="3163"/>
      <c r="B537" s="3164"/>
      <c r="C537" s="3164"/>
      <c r="D537" s="3176"/>
      <c r="E537" s="3166">
        <f t="shared" ref="E537:E572" si="352">IF($C$3="是",ROUND($A$3*G537/$B$3,2),ROUND($A$3*(G537-AT537)/$B$3,2))</f>
        <v>0</v>
      </c>
      <c r="F537" s="3167"/>
      <c r="G537" s="3168">
        <f t="shared" si="327"/>
        <v>0</v>
      </c>
      <c r="H537" s="3169">
        <f t="shared" si="328"/>
        <v>0</v>
      </c>
      <c r="I537" s="3187"/>
      <c r="J537" s="3187"/>
      <c r="K537" s="3187"/>
      <c r="L537" s="3187"/>
      <c r="M537" s="3187"/>
      <c r="N537" s="3187"/>
      <c r="O537" s="3187"/>
      <c r="P537" s="3187"/>
      <c r="Q537" s="3187"/>
      <c r="R537" s="3187"/>
      <c r="S537" s="3187"/>
      <c r="T537" s="3187"/>
      <c r="U537" s="3187"/>
      <c r="V537" s="3187"/>
      <c r="W537" s="3187"/>
      <c r="X537" s="3187"/>
      <c r="Y537" s="3187"/>
      <c r="Z537" s="3187"/>
      <c r="AA537" s="3187"/>
      <c r="AB537" s="3187"/>
      <c r="AC537" s="3166">
        <f t="shared" si="329"/>
        <v>0</v>
      </c>
      <c r="AD537" s="3198"/>
      <c r="AE537" s="3198"/>
      <c r="AF537" s="3198"/>
      <c r="AG537" s="3198"/>
      <c r="AH537" s="3198"/>
      <c r="AI537" s="3198"/>
      <c r="AJ537" s="3198"/>
      <c r="AK537" s="3198"/>
      <c r="AL537" s="3198"/>
      <c r="AM537" s="3198"/>
      <c r="AN537" s="3198"/>
      <c r="AO537" s="3198"/>
      <c r="AP537" s="3198"/>
      <c r="AQ537" s="3198"/>
      <c r="AR537" s="3198"/>
      <c r="AS537" s="3198"/>
      <c r="AT537" s="3218"/>
      <c r="AU537" s="3219"/>
      <c r="AV537" s="488">
        <f t="shared" si="324"/>
        <v>0</v>
      </c>
      <c r="AW537" s="488">
        <f t="shared" si="325"/>
        <v>0</v>
      </c>
      <c r="AX537" s="488">
        <f t="shared" si="326"/>
        <v>0</v>
      </c>
      <c r="AY537" s="3235">
        <f t="shared" si="330"/>
        <v>0</v>
      </c>
      <c r="AZ537" s="3166">
        <f t="shared" si="331"/>
        <v>0</v>
      </c>
      <c r="BA537" s="3166">
        <f t="shared" si="332"/>
        <v>0</v>
      </c>
      <c r="BB537" s="3166">
        <f t="shared" si="333"/>
        <v>0</v>
      </c>
      <c r="BC537" s="3166">
        <f t="shared" si="334"/>
        <v>0</v>
      </c>
      <c r="BD537" s="3166">
        <f t="shared" si="335"/>
        <v>0</v>
      </c>
      <c r="BE537" s="3166">
        <f t="shared" si="336"/>
        <v>0</v>
      </c>
      <c r="BF537" s="3166">
        <f t="shared" si="337"/>
        <v>0</v>
      </c>
      <c r="BG537" s="3166">
        <f t="shared" si="338"/>
        <v>0</v>
      </c>
      <c r="BH537" s="3166">
        <f t="shared" si="339"/>
        <v>0</v>
      </c>
      <c r="BI537" s="3166">
        <f t="shared" si="340"/>
        <v>0</v>
      </c>
      <c r="BJ537" s="3166">
        <f t="shared" si="341"/>
        <v>0</v>
      </c>
      <c r="BK537" s="3166">
        <f t="shared" si="342"/>
        <v>0</v>
      </c>
      <c r="BL537" s="3166">
        <f t="shared" si="343"/>
        <v>0</v>
      </c>
      <c r="BM537" s="3166">
        <f t="shared" si="344"/>
        <v>0</v>
      </c>
      <c r="BN537" s="3166">
        <f t="shared" si="345"/>
        <v>0</v>
      </c>
      <c r="BO537" s="3166">
        <f t="shared" si="346"/>
        <v>0</v>
      </c>
      <c r="BP537" s="3166">
        <f t="shared" si="347"/>
        <v>0</v>
      </c>
      <c r="BQ537" s="3166">
        <f t="shared" si="348"/>
        <v>0</v>
      </c>
      <c r="BR537" s="3166">
        <f t="shared" si="349"/>
        <v>0</v>
      </c>
      <c r="BS537" s="3166">
        <f t="shared" si="350"/>
        <v>0</v>
      </c>
      <c r="BT537" s="3240">
        <f t="shared" si="351"/>
        <v>0</v>
      </c>
    </row>
    <row r="538" spans="1:72">
      <c r="A538" s="3163"/>
      <c r="B538" s="3164"/>
      <c r="C538" s="3164"/>
      <c r="D538" s="3176"/>
      <c r="E538" s="3166">
        <f t="shared" si="352"/>
        <v>0</v>
      </c>
      <c r="F538" s="3167"/>
      <c r="G538" s="3168">
        <f t="shared" ref="G538:G572" si="353">H538+AC538+AT538</f>
        <v>0</v>
      </c>
      <c r="H538" s="3169">
        <f t="shared" ref="H538:H572" si="354">SUMIF(I$12:AB$12,"总值",I538:AB538)</f>
        <v>0</v>
      </c>
      <c r="I538" s="3187"/>
      <c r="J538" s="3187"/>
      <c r="K538" s="3187"/>
      <c r="L538" s="3187"/>
      <c r="M538" s="3187"/>
      <c r="N538" s="3187"/>
      <c r="O538" s="3187"/>
      <c r="P538" s="3187"/>
      <c r="Q538" s="3187"/>
      <c r="R538" s="3187"/>
      <c r="S538" s="3187"/>
      <c r="T538" s="3187"/>
      <c r="U538" s="3187"/>
      <c r="V538" s="3187"/>
      <c r="W538" s="3187"/>
      <c r="X538" s="3187"/>
      <c r="Y538" s="3187"/>
      <c r="Z538" s="3187"/>
      <c r="AA538" s="3187"/>
      <c r="AB538" s="3187"/>
      <c r="AC538" s="3166">
        <f t="shared" ref="AC538:AC572" si="355">SUMIF(AD$12:AS$12,"总值",AD538:AS538)</f>
        <v>0</v>
      </c>
      <c r="AD538" s="3198"/>
      <c r="AE538" s="3198"/>
      <c r="AF538" s="3198"/>
      <c r="AG538" s="3198"/>
      <c r="AH538" s="3198"/>
      <c r="AI538" s="3198"/>
      <c r="AJ538" s="3198"/>
      <c r="AK538" s="3198"/>
      <c r="AL538" s="3198"/>
      <c r="AM538" s="3198"/>
      <c r="AN538" s="3198"/>
      <c r="AO538" s="3198"/>
      <c r="AP538" s="3198"/>
      <c r="AQ538" s="3198"/>
      <c r="AR538" s="3198"/>
      <c r="AS538" s="3198"/>
      <c r="AT538" s="3218"/>
      <c r="AU538" s="3219"/>
      <c r="AV538" s="488">
        <f t="shared" ref="AV538:AV572" si="356">A538</f>
        <v>0</v>
      </c>
      <c r="AW538" s="488">
        <f t="shared" ref="AW538:AW572" si="357">B538</f>
        <v>0</v>
      </c>
      <c r="AX538" s="488">
        <f t="shared" ref="AX538:AX572" si="358">C538</f>
        <v>0</v>
      </c>
      <c r="AY538" s="3235">
        <f t="shared" ref="AY538:AY572" si="359">ROUND($AY$6*AZ538/$AZ$5,2)</f>
        <v>0</v>
      </c>
      <c r="AZ538" s="3166">
        <f t="shared" ref="AZ538:AZ572" si="360">BA538+BL538</f>
        <v>0</v>
      </c>
      <c r="BA538" s="3166">
        <f t="shared" ref="BA538:BA572" si="361">SUM(BB538:BK538)</f>
        <v>0</v>
      </c>
      <c r="BB538" s="3166">
        <f t="shared" ref="BB538:BB572" si="362">IF($D538="是",I538-J538,0)</f>
        <v>0</v>
      </c>
      <c r="BC538" s="3166">
        <f t="shared" ref="BC538:BC572" si="363">IF($D538="是",K538-L538,0)</f>
        <v>0</v>
      </c>
      <c r="BD538" s="3166">
        <f t="shared" ref="BD538:BD572" si="364">IF($D538="是",M538-N538,0)</f>
        <v>0</v>
      </c>
      <c r="BE538" s="3166">
        <f t="shared" ref="BE538:BE572" si="365">IF($D538="是",O538-P538,0)</f>
        <v>0</v>
      </c>
      <c r="BF538" s="3166">
        <f t="shared" ref="BF538:BF572" si="366">IF($D538="是",Q538-R538,0)</f>
        <v>0</v>
      </c>
      <c r="BG538" s="3166">
        <f t="shared" ref="BG538:BG572" si="367">IF($D538="是",S538-T538,0)</f>
        <v>0</v>
      </c>
      <c r="BH538" s="3166">
        <f t="shared" ref="BH538:BH572" si="368">IF($D538="是",U538-V538,0)</f>
        <v>0</v>
      </c>
      <c r="BI538" s="3166">
        <f t="shared" ref="BI538:BI572" si="369">IF($D538="是",W538-X538,0)</f>
        <v>0</v>
      </c>
      <c r="BJ538" s="3166">
        <f t="shared" ref="BJ538:BJ572" si="370">IF($D538="是",Y538-Z538,0)</f>
        <v>0</v>
      </c>
      <c r="BK538" s="3166">
        <f t="shared" ref="BK538:BK572" si="371">IF($D538="是",AA538-AB538,0)</f>
        <v>0</v>
      </c>
      <c r="BL538" s="3166">
        <f t="shared" ref="BL538:BL572" si="372">SUM(BM538:BT538)</f>
        <v>0</v>
      </c>
      <c r="BM538" s="3166">
        <f t="shared" ref="BM538:BM572" si="373">IF($D538="是",AD538-AE538,0)</f>
        <v>0</v>
      </c>
      <c r="BN538" s="3166">
        <f t="shared" ref="BN538:BN572" si="374">IF($D538="是",AF538-AG538,0)</f>
        <v>0</v>
      </c>
      <c r="BO538" s="3166">
        <f t="shared" ref="BO538:BO572" si="375">IF($D538="是",AH538-AI538,0)</f>
        <v>0</v>
      </c>
      <c r="BP538" s="3166">
        <f t="shared" ref="BP538:BP572" si="376">IF($D538="是",AJ538-AK538,0)</f>
        <v>0</v>
      </c>
      <c r="BQ538" s="3166">
        <f t="shared" ref="BQ538:BQ572" si="377">IF($D538="是",AL538-AM538,0)</f>
        <v>0</v>
      </c>
      <c r="BR538" s="3166">
        <f t="shared" ref="BR538:BR572" si="378">IF($D538="是",AN538-AO538,0)</f>
        <v>0</v>
      </c>
      <c r="BS538" s="3166">
        <f t="shared" ref="BS538:BS572" si="379">IF($D538="是",AP538-AQ538,0)</f>
        <v>0</v>
      </c>
      <c r="BT538" s="3240">
        <f t="shared" ref="BT538:BT572" si="380">IF($D538="是",AR538-AS538,0)</f>
        <v>0</v>
      </c>
    </row>
    <row r="539" spans="1:72">
      <c r="A539" s="3163"/>
      <c r="B539" s="3164"/>
      <c r="C539" s="3164"/>
      <c r="D539" s="3176"/>
      <c r="E539" s="3166">
        <f t="shared" si="352"/>
        <v>0</v>
      </c>
      <c r="F539" s="3167"/>
      <c r="G539" s="3168">
        <f t="shared" si="353"/>
        <v>0</v>
      </c>
      <c r="H539" s="3169">
        <f t="shared" si="354"/>
        <v>0</v>
      </c>
      <c r="I539" s="3187"/>
      <c r="J539" s="3187"/>
      <c r="K539" s="3187"/>
      <c r="L539" s="3187"/>
      <c r="M539" s="3187"/>
      <c r="N539" s="3187"/>
      <c r="O539" s="3187"/>
      <c r="P539" s="3187"/>
      <c r="Q539" s="3187"/>
      <c r="R539" s="3187"/>
      <c r="S539" s="3187"/>
      <c r="T539" s="3187"/>
      <c r="U539" s="3187"/>
      <c r="V539" s="3187"/>
      <c r="W539" s="3187"/>
      <c r="X539" s="3187"/>
      <c r="Y539" s="3187"/>
      <c r="Z539" s="3187"/>
      <c r="AA539" s="3187"/>
      <c r="AB539" s="3187"/>
      <c r="AC539" s="3166">
        <f t="shared" si="355"/>
        <v>0</v>
      </c>
      <c r="AD539" s="3198"/>
      <c r="AE539" s="3198"/>
      <c r="AF539" s="3198"/>
      <c r="AG539" s="3198"/>
      <c r="AH539" s="3198"/>
      <c r="AI539" s="3198"/>
      <c r="AJ539" s="3198"/>
      <c r="AK539" s="3198"/>
      <c r="AL539" s="3198"/>
      <c r="AM539" s="3198"/>
      <c r="AN539" s="3198"/>
      <c r="AO539" s="3198"/>
      <c r="AP539" s="3198"/>
      <c r="AQ539" s="3198"/>
      <c r="AR539" s="3198"/>
      <c r="AS539" s="3198"/>
      <c r="AT539" s="3218"/>
      <c r="AU539" s="3219"/>
      <c r="AV539" s="488">
        <f t="shared" si="356"/>
        <v>0</v>
      </c>
      <c r="AW539" s="488">
        <f t="shared" si="357"/>
        <v>0</v>
      </c>
      <c r="AX539" s="488">
        <f t="shared" si="358"/>
        <v>0</v>
      </c>
      <c r="AY539" s="3235">
        <f t="shared" si="359"/>
        <v>0</v>
      </c>
      <c r="AZ539" s="3166">
        <f t="shared" si="360"/>
        <v>0</v>
      </c>
      <c r="BA539" s="3166">
        <f t="shared" si="361"/>
        <v>0</v>
      </c>
      <c r="BB539" s="3166">
        <f t="shared" si="362"/>
        <v>0</v>
      </c>
      <c r="BC539" s="3166">
        <f t="shared" si="363"/>
        <v>0</v>
      </c>
      <c r="BD539" s="3166">
        <f t="shared" si="364"/>
        <v>0</v>
      </c>
      <c r="BE539" s="3166">
        <f t="shared" si="365"/>
        <v>0</v>
      </c>
      <c r="BF539" s="3166">
        <f t="shared" si="366"/>
        <v>0</v>
      </c>
      <c r="BG539" s="3166">
        <f t="shared" si="367"/>
        <v>0</v>
      </c>
      <c r="BH539" s="3166">
        <f t="shared" si="368"/>
        <v>0</v>
      </c>
      <c r="BI539" s="3166">
        <f t="shared" si="369"/>
        <v>0</v>
      </c>
      <c r="BJ539" s="3166">
        <f t="shared" si="370"/>
        <v>0</v>
      </c>
      <c r="BK539" s="3166">
        <f t="shared" si="371"/>
        <v>0</v>
      </c>
      <c r="BL539" s="3166">
        <f t="shared" si="372"/>
        <v>0</v>
      </c>
      <c r="BM539" s="3166">
        <f t="shared" si="373"/>
        <v>0</v>
      </c>
      <c r="BN539" s="3166">
        <f t="shared" si="374"/>
        <v>0</v>
      </c>
      <c r="BO539" s="3166">
        <f t="shared" si="375"/>
        <v>0</v>
      </c>
      <c r="BP539" s="3166">
        <f t="shared" si="376"/>
        <v>0</v>
      </c>
      <c r="BQ539" s="3166">
        <f t="shared" si="377"/>
        <v>0</v>
      </c>
      <c r="BR539" s="3166">
        <f t="shared" si="378"/>
        <v>0</v>
      </c>
      <c r="BS539" s="3166">
        <f t="shared" si="379"/>
        <v>0</v>
      </c>
      <c r="BT539" s="3240">
        <f t="shared" si="380"/>
        <v>0</v>
      </c>
    </row>
    <row r="540" spans="1:72">
      <c r="A540" s="3163"/>
      <c r="B540" s="3164"/>
      <c r="C540" s="3164"/>
      <c r="D540" s="3176"/>
      <c r="E540" s="3166">
        <f t="shared" si="352"/>
        <v>0</v>
      </c>
      <c r="F540" s="3167"/>
      <c r="G540" s="3168">
        <f t="shared" si="353"/>
        <v>0</v>
      </c>
      <c r="H540" s="3169">
        <f t="shared" si="354"/>
        <v>0</v>
      </c>
      <c r="I540" s="3187"/>
      <c r="J540" s="3187"/>
      <c r="K540" s="3187"/>
      <c r="L540" s="3187"/>
      <c r="M540" s="3187"/>
      <c r="N540" s="3187"/>
      <c r="O540" s="3187"/>
      <c r="P540" s="3187"/>
      <c r="Q540" s="3187"/>
      <c r="R540" s="3187"/>
      <c r="S540" s="3187"/>
      <c r="T540" s="3187"/>
      <c r="U540" s="3187"/>
      <c r="V540" s="3187"/>
      <c r="W540" s="3187"/>
      <c r="X540" s="3187"/>
      <c r="Y540" s="3187"/>
      <c r="Z540" s="3187"/>
      <c r="AA540" s="3187"/>
      <c r="AB540" s="3187"/>
      <c r="AC540" s="3166">
        <f t="shared" si="355"/>
        <v>0</v>
      </c>
      <c r="AD540" s="3198"/>
      <c r="AE540" s="3198"/>
      <c r="AF540" s="3198"/>
      <c r="AG540" s="3198"/>
      <c r="AH540" s="3198"/>
      <c r="AI540" s="3198"/>
      <c r="AJ540" s="3198"/>
      <c r="AK540" s="3198"/>
      <c r="AL540" s="3198"/>
      <c r="AM540" s="3198"/>
      <c r="AN540" s="3198"/>
      <c r="AO540" s="3198"/>
      <c r="AP540" s="3198"/>
      <c r="AQ540" s="3198"/>
      <c r="AR540" s="3198"/>
      <c r="AS540" s="3198"/>
      <c r="AT540" s="3218"/>
      <c r="AU540" s="3219"/>
      <c r="AV540" s="488">
        <f t="shared" si="356"/>
        <v>0</v>
      </c>
      <c r="AW540" s="488">
        <f t="shared" si="357"/>
        <v>0</v>
      </c>
      <c r="AX540" s="488">
        <f t="shared" si="358"/>
        <v>0</v>
      </c>
      <c r="AY540" s="3235">
        <f t="shared" si="359"/>
        <v>0</v>
      </c>
      <c r="AZ540" s="3166">
        <f t="shared" si="360"/>
        <v>0</v>
      </c>
      <c r="BA540" s="3166">
        <f t="shared" si="361"/>
        <v>0</v>
      </c>
      <c r="BB540" s="3166">
        <f t="shared" si="362"/>
        <v>0</v>
      </c>
      <c r="BC540" s="3166">
        <f t="shared" si="363"/>
        <v>0</v>
      </c>
      <c r="BD540" s="3166">
        <f t="shared" si="364"/>
        <v>0</v>
      </c>
      <c r="BE540" s="3166">
        <f t="shared" si="365"/>
        <v>0</v>
      </c>
      <c r="BF540" s="3166">
        <f t="shared" si="366"/>
        <v>0</v>
      </c>
      <c r="BG540" s="3166">
        <f t="shared" si="367"/>
        <v>0</v>
      </c>
      <c r="BH540" s="3166">
        <f t="shared" si="368"/>
        <v>0</v>
      </c>
      <c r="BI540" s="3166">
        <f t="shared" si="369"/>
        <v>0</v>
      </c>
      <c r="BJ540" s="3166">
        <f t="shared" si="370"/>
        <v>0</v>
      </c>
      <c r="BK540" s="3166">
        <f t="shared" si="371"/>
        <v>0</v>
      </c>
      <c r="BL540" s="3166">
        <f t="shared" si="372"/>
        <v>0</v>
      </c>
      <c r="BM540" s="3166">
        <f t="shared" si="373"/>
        <v>0</v>
      </c>
      <c r="BN540" s="3166">
        <f t="shared" si="374"/>
        <v>0</v>
      </c>
      <c r="BO540" s="3166">
        <f t="shared" si="375"/>
        <v>0</v>
      </c>
      <c r="BP540" s="3166">
        <f t="shared" si="376"/>
        <v>0</v>
      </c>
      <c r="BQ540" s="3166">
        <f t="shared" si="377"/>
        <v>0</v>
      </c>
      <c r="BR540" s="3166">
        <f t="shared" si="378"/>
        <v>0</v>
      </c>
      <c r="BS540" s="3166">
        <f t="shared" si="379"/>
        <v>0</v>
      </c>
      <c r="BT540" s="3240">
        <f t="shared" si="380"/>
        <v>0</v>
      </c>
    </row>
    <row r="541" spans="1:72">
      <c r="A541" s="3163"/>
      <c r="B541" s="3164"/>
      <c r="C541" s="3164"/>
      <c r="D541" s="3176"/>
      <c r="E541" s="3166">
        <f t="shared" si="352"/>
        <v>0</v>
      </c>
      <c r="F541" s="3167"/>
      <c r="G541" s="3168">
        <f t="shared" si="353"/>
        <v>0</v>
      </c>
      <c r="H541" s="3169">
        <f t="shared" si="354"/>
        <v>0</v>
      </c>
      <c r="I541" s="3187"/>
      <c r="J541" s="3187"/>
      <c r="K541" s="3187"/>
      <c r="L541" s="3187"/>
      <c r="M541" s="3187"/>
      <c r="N541" s="3187"/>
      <c r="O541" s="3187"/>
      <c r="P541" s="3187"/>
      <c r="Q541" s="3187"/>
      <c r="R541" s="3187"/>
      <c r="S541" s="3187"/>
      <c r="T541" s="3187"/>
      <c r="U541" s="3187"/>
      <c r="V541" s="3187"/>
      <c r="W541" s="3187"/>
      <c r="X541" s="3187"/>
      <c r="Y541" s="3187"/>
      <c r="Z541" s="3187"/>
      <c r="AA541" s="3187"/>
      <c r="AB541" s="3187"/>
      <c r="AC541" s="3166">
        <f t="shared" si="355"/>
        <v>0</v>
      </c>
      <c r="AD541" s="3198"/>
      <c r="AE541" s="3198"/>
      <c r="AF541" s="3198"/>
      <c r="AG541" s="3198"/>
      <c r="AH541" s="3198"/>
      <c r="AI541" s="3198"/>
      <c r="AJ541" s="3198"/>
      <c r="AK541" s="3198"/>
      <c r="AL541" s="3198"/>
      <c r="AM541" s="3198"/>
      <c r="AN541" s="3198"/>
      <c r="AO541" s="3198"/>
      <c r="AP541" s="3198"/>
      <c r="AQ541" s="3198"/>
      <c r="AR541" s="3198"/>
      <c r="AS541" s="3198"/>
      <c r="AT541" s="3218"/>
      <c r="AU541" s="3219"/>
      <c r="AV541" s="488">
        <f t="shared" si="356"/>
        <v>0</v>
      </c>
      <c r="AW541" s="488">
        <f t="shared" si="357"/>
        <v>0</v>
      </c>
      <c r="AX541" s="488">
        <f t="shared" si="358"/>
        <v>0</v>
      </c>
      <c r="AY541" s="3235">
        <f t="shared" si="359"/>
        <v>0</v>
      </c>
      <c r="AZ541" s="3166">
        <f t="shared" si="360"/>
        <v>0</v>
      </c>
      <c r="BA541" s="3166">
        <f t="shared" si="361"/>
        <v>0</v>
      </c>
      <c r="BB541" s="3166">
        <f t="shared" si="362"/>
        <v>0</v>
      </c>
      <c r="BC541" s="3166">
        <f t="shared" si="363"/>
        <v>0</v>
      </c>
      <c r="BD541" s="3166">
        <f t="shared" si="364"/>
        <v>0</v>
      </c>
      <c r="BE541" s="3166">
        <f t="shared" si="365"/>
        <v>0</v>
      </c>
      <c r="BF541" s="3166">
        <f t="shared" si="366"/>
        <v>0</v>
      </c>
      <c r="BG541" s="3166">
        <f t="shared" si="367"/>
        <v>0</v>
      </c>
      <c r="BH541" s="3166">
        <f t="shared" si="368"/>
        <v>0</v>
      </c>
      <c r="BI541" s="3166">
        <f t="shared" si="369"/>
        <v>0</v>
      </c>
      <c r="BJ541" s="3166">
        <f t="shared" si="370"/>
        <v>0</v>
      </c>
      <c r="BK541" s="3166">
        <f t="shared" si="371"/>
        <v>0</v>
      </c>
      <c r="BL541" s="3166">
        <f t="shared" si="372"/>
        <v>0</v>
      </c>
      <c r="BM541" s="3166">
        <f t="shared" si="373"/>
        <v>0</v>
      </c>
      <c r="BN541" s="3166">
        <f t="shared" si="374"/>
        <v>0</v>
      </c>
      <c r="BO541" s="3166">
        <f t="shared" si="375"/>
        <v>0</v>
      </c>
      <c r="BP541" s="3166">
        <f t="shared" si="376"/>
        <v>0</v>
      </c>
      <c r="BQ541" s="3166">
        <f t="shared" si="377"/>
        <v>0</v>
      </c>
      <c r="BR541" s="3166">
        <f t="shared" si="378"/>
        <v>0</v>
      </c>
      <c r="BS541" s="3166">
        <f t="shared" si="379"/>
        <v>0</v>
      </c>
      <c r="BT541" s="3240">
        <f t="shared" si="380"/>
        <v>0</v>
      </c>
    </row>
    <row r="542" spans="1:72">
      <c r="A542" s="3163"/>
      <c r="B542" s="3164"/>
      <c r="C542" s="3164"/>
      <c r="D542" s="3176"/>
      <c r="E542" s="3166">
        <f t="shared" si="352"/>
        <v>0</v>
      </c>
      <c r="F542" s="3167"/>
      <c r="G542" s="3168">
        <f t="shared" si="353"/>
        <v>0</v>
      </c>
      <c r="H542" s="3169">
        <f t="shared" si="354"/>
        <v>0</v>
      </c>
      <c r="I542" s="3187"/>
      <c r="J542" s="3187"/>
      <c r="K542" s="3187"/>
      <c r="L542" s="3187"/>
      <c r="M542" s="3187"/>
      <c r="N542" s="3187"/>
      <c r="O542" s="3187"/>
      <c r="P542" s="3187"/>
      <c r="Q542" s="3187"/>
      <c r="R542" s="3187"/>
      <c r="S542" s="3187"/>
      <c r="T542" s="3187"/>
      <c r="U542" s="3187"/>
      <c r="V542" s="3187"/>
      <c r="W542" s="3187"/>
      <c r="X542" s="3187"/>
      <c r="Y542" s="3187"/>
      <c r="Z542" s="3187"/>
      <c r="AA542" s="3187"/>
      <c r="AB542" s="3187"/>
      <c r="AC542" s="3166">
        <f t="shared" si="355"/>
        <v>0</v>
      </c>
      <c r="AD542" s="3198"/>
      <c r="AE542" s="3198"/>
      <c r="AF542" s="3198"/>
      <c r="AG542" s="3198"/>
      <c r="AH542" s="3198"/>
      <c r="AI542" s="3198"/>
      <c r="AJ542" s="3198"/>
      <c r="AK542" s="3198"/>
      <c r="AL542" s="3198"/>
      <c r="AM542" s="3198"/>
      <c r="AN542" s="3198"/>
      <c r="AO542" s="3198"/>
      <c r="AP542" s="3198"/>
      <c r="AQ542" s="3198"/>
      <c r="AR542" s="3198"/>
      <c r="AS542" s="3198"/>
      <c r="AT542" s="3218"/>
      <c r="AU542" s="3219"/>
      <c r="AV542" s="488">
        <f t="shared" si="356"/>
        <v>0</v>
      </c>
      <c r="AW542" s="488">
        <f t="shared" si="357"/>
        <v>0</v>
      </c>
      <c r="AX542" s="488">
        <f t="shared" si="358"/>
        <v>0</v>
      </c>
      <c r="AY542" s="3235">
        <f t="shared" si="359"/>
        <v>0</v>
      </c>
      <c r="AZ542" s="3166">
        <f t="shared" si="360"/>
        <v>0</v>
      </c>
      <c r="BA542" s="3166">
        <f t="shared" si="361"/>
        <v>0</v>
      </c>
      <c r="BB542" s="3166">
        <f t="shared" si="362"/>
        <v>0</v>
      </c>
      <c r="BC542" s="3166">
        <f t="shared" si="363"/>
        <v>0</v>
      </c>
      <c r="BD542" s="3166">
        <f t="shared" si="364"/>
        <v>0</v>
      </c>
      <c r="BE542" s="3166">
        <f t="shared" si="365"/>
        <v>0</v>
      </c>
      <c r="BF542" s="3166">
        <f t="shared" si="366"/>
        <v>0</v>
      </c>
      <c r="BG542" s="3166">
        <f t="shared" si="367"/>
        <v>0</v>
      </c>
      <c r="BH542" s="3166">
        <f t="shared" si="368"/>
        <v>0</v>
      </c>
      <c r="BI542" s="3166">
        <f t="shared" si="369"/>
        <v>0</v>
      </c>
      <c r="BJ542" s="3166">
        <f t="shared" si="370"/>
        <v>0</v>
      </c>
      <c r="BK542" s="3166">
        <f t="shared" si="371"/>
        <v>0</v>
      </c>
      <c r="BL542" s="3166">
        <f t="shared" si="372"/>
        <v>0</v>
      </c>
      <c r="BM542" s="3166">
        <f t="shared" si="373"/>
        <v>0</v>
      </c>
      <c r="BN542" s="3166">
        <f t="shared" si="374"/>
        <v>0</v>
      </c>
      <c r="BO542" s="3166">
        <f t="shared" si="375"/>
        <v>0</v>
      </c>
      <c r="BP542" s="3166">
        <f t="shared" si="376"/>
        <v>0</v>
      </c>
      <c r="BQ542" s="3166">
        <f t="shared" si="377"/>
        <v>0</v>
      </c>
      <c r="BR542" s="3166">
        <f t="shared" si="378"/>
        <v>0</v>
      </c>
      <c r="BS542" s="3166">
        <f t="shared" si="379"/>
        <v>0</v>
      </c>
      <c r="BT542" s="3240">
        <f t="shared" si="380"/>
        <v>0</v>
      </c>
    </row>
    <row r="543" spans="1:72">
      <c r="A543" s="3163"/>
      <c r="B543" s="3164"/>
      <c r="C543" s="3164"/>
      <c r="D543" s="3176"/>
      <c r="E543" s="3166">
        <f t="shared" si="352"/>
        <v>0</v>
      </c>
      <c r="F543" s="3167"/>
      <c r="G543" s="3168">
        <f t="shared" si="353"/>
        <v>0</v>
      </c>
      <c r="H543" s="3169">
        <f t="shared" si="354"/>
        <v>0</v>
      </c>
      <c r="I543" s="3187"/>
      <c r="J543" s="3187"/>
      <c r="K543" s="3187"/>
      <c r="L543" s="3187"/>
      <c r="M543" s="3187"/>
      <c r="N543" s="3187"/>
      <c r="O543" s="3187"/>
      <c r="P543" s="3187"/>
      <c r="Q543" s="3187"/>
      <c r="R543" s="3187"/>
      <c r="S543" s="3187"/>
      <c r="T543" s="3187"/>
      <c r="U543" s="3187"/>
      <c r="V543" s="3187"/>
      <c r="W543" s="3187"/>
      <c r="X543" s="3187"/>
      <c r="Y543" s="3187"/>
      <c r="Z543" s="3187"/>
      <c r="AA543" s="3187"/>
      <c r="AB543" s="3187"/>
      <c r="AC543" s="3166">
        <f t="shared" si="355"/>
        <v>0</v>
      </c>
      <c r="AD543" s="3198"/>
      <c r="AE543" s="3198"/>
      <c r="AF543" s="3198"/>
      <c r="AG543" s="3198"/>
      <c r="AH543" s="3198"/>
      <c r="AI543" s="3198"/>
      <c r="AJ543" s="3198"/>
      <c r="AK543" s="3198"/>
      <c r="AL543" s="3198"/>
      <c r="AM543" s="3198"/>
      <c r="AN543" s="3198"/>
      <c r="AO543" s="3198"/>
      <c r="AP543" s="3198"/>
      <c r="AQ543" s="3198"/>
      <c r="AR543" s="3198"/>
      <c r="AS543" s="3198"/>
      <c r="AT543" s="3218"/>
      <c r="AU543" s="3219"/>
      <c r="AV543" s="488">
        <f t="shared" si="356"/>
        <v>0</v>
      </c>
      <c r="AW543" s="488">
        <f t="shared" si="357"/>
        <v>0</v>
      </c>
      <c r="AX543" s="488">
        <f t="shared" si="358"/>
        <v>0</v>
      </c>
      <c r="AY543" s="3235">
        <f t="shared" si="359"/>
        <v>0</v>
      </c>
      <c r="AZ543" s="3166">
        <f t="shared" si="360"/>
        <v>0</v>
      </c>
      <c r="BA543" s="3166">
        <f t="shared" si="361"/>
        <v>0</v>
      </c>
      <c r="BB543" s="3166">
        <f t="shared" si="362"/>
        <v>0</v>
      </c>
      <c r="BC543" s="3166">
        <f t="shared" si="363"/>
        <v>0</v>
      </c>
      <c r="BD543" s="3166">
        <f t="shared" si="364"/>
        <v>0</v>
      </c>
      <c r="BE543" s="3166">
        <f t="shared" si="365"/>
        <v>0</v>
      </c>
      <c r="BF543" s="3166">
        <f t="shared" si="366"/>
        <v>0</v>
      </c>
      <c r="BG543" s="3166">
        <f t="shared" si="367"/>
        <v>0</v>
      </c>
      <c r="BH543" s="3166">
        <f t="shared" si="368"/>
        <v>0</v>
      </c>
      <c r="BI543" s="3166">
        <f t="shared" si="369"/>
        <v>0</v>
      </c>
      <c r="BJ543" s="3166">
        <f t="shared" si="370"/>
        <v>0</v>
      </c>
      <c r="BK543" s="3166">
        <f t="shared" si="371"/>
        <v>0</v>
      </c>
      <c r="BL543" s="3166">
        <f t="shared" si="372"/>
        <v>0</v>
      </c>
      <c r="BM543" s="3166">
        <f t="shared" si="373"/>
        <v>0</v>
      </c>
      <c r="BN543" s="3166">
        <f t="shared" si="374"/>
        <v>0</v>
      </c>
      <c r="BO543" s="3166">
        <f t="shared" si="375"/>
        <v>0</v>
      </c>
      <c r="BP543" s="3166">
        <f t="shared" si="376"/>
        <v>0</v>
      </c>
      <c r="BQ543" s="3166">
        <f t="shared" si="377"/>
        <v>0</v>
      </c>
      <c r="BR543" s="3166">
        <f t="shared" si="378"/>
        <v>0</v>
      </c>
      <c r="BS543" s="3166">
        <f t="shared" si="379"/>
        <v>0</v>
      </c>
      <c r="BT543" s="3240">
        <f t="shared" si="380"/>
        <v>0</v>
      </c>
    </row>
    <row r="544" spans="1:72">
      <c r="A544" s="3163"/>
      <c r="B544" s="3164"/>
      <c r="C544" s="3164"/>
      <c r="D544" s="3176"/>
      <c r="E544" s="3166">
        <f t="shared" si="352"/>
        <v>0</v>
      </c>
      <c r="F544" s="3167"/>
      <c r="G544" s="3168">
        <f t="shared" si="353"/>
        <v>0</v>
      </c>
      <c r="H544" s="3169">
        <f t="shared" si="354"/>
        <v>0</v>
      </c>
      <c r="I544" s="3187"/>
      <c r="J544" s="3187"/>
      <c r="K544" s="3187"/>
      <c r="L544" s="3187"/>
      <c r="M544" s="3187"/>
      <c r="N544" s="3187"/>
      <c r="O544" s="3187"/>
      <c r="P544" s="3187"/>
      <c r="Q544" s="3187"/>
      <c r="R544" s="3187"/>
      <c r="S544" s="3187"/>
      <c r="T544" s="3187"/>
      <c r="U544" s="3187"/>
      <c r="V544" s="3187"/>
      <c r="W544" s="3187"/>
      <c r="X544" s="3187"/>
      <c r="Y544" s="3187"/>
      <c r="Z544" s="3187"/>
      <c r="AA544" s="3187"/>
      <c r="AB544" s="3187"/>
      <c r="AC544" s="3166">
        <f t="shared" si="355"/>
        <v>0</v>
      </c>
      <c r="AD544" s="3198"/>
      <c r="AE544" s="3198"/>
      <c r="AF544" s="3198"/>
      <c r="AG544" s="3198"/>
      <c r="AH544" s="3198"/>
      <c r="AI544" s="3198"/>
      <c r="AJ544" s="3198"/>
      <c r="AK544" s="3198"/>
      <c r="AL544" s="3198"/>
      <c r="AM544" s="3198"/>
      <c r="AN544" s="3198"/>
      <c r="AO544" s="3198"/>
      <c r="AP544" s="3198"/>
      <c r="AQ544" s="3198"/>
      <c r="AR544" s="3198"/>
      <c r="AS544" s="3198"/>
      <c r="AT544" s="3218"/>
      <c r="AU544" s="3219"/>
      <c r="AV544" s="488">
        <f t="shared" si="356"/>
        <v>0</v>
      </c>
      <c r="AW544" s="488">
        <f t="shared" si="357"/>
        <v>0</v>
      </c>
      <c r="AX544" s="488">
        <f t="shared" si="358"/>
        <v>0</v>
      </c>
      <c r="AY544" s="3235">
        <f t="shared" si="359"/>
        <v>0</v>
      </c>
      <c r="AZ544" s="3166">
        <f t="shared" si="360"/>
        <v>0</v>
      </c>
      <c r="BA544" s="3166">
        <f t="shared" si="361"/>
        <v>0</v>
      </c>
      <c r="BB544" s="3166">
        <f t="shared" si="362"/>
        <v>0</v>
      </c>
      <c r="BC544" s="3166">
        <f t="shared" si="363"/>
        <v>0</v>
      </c>
      <c r="BD544" s="3166">
        <f t="shared" si="364"/>
        <v>0</v>
      </c>
      <c r="BE544" s="3166">
        <f t="shared" si="365"/>
        <v>0</v>
      </c>
      <c r="BF544" s="3166">
        <f t="shared" si="366"/>
        <v>0</v>
      </c>
      <c r="BG544" s="3166">
        <f t="shared" si="367"/>
        <v>0</v>
      </c>
      <c r="BH544" s="3166">
        <f t="shared" si="368"/>
        <v>0</v>
      </c>
      <c r="BI544" s="3166">
        <f t="shared" si="369"/>
        <v>0</v>
      </c>
      <c r="BJ544" s="3166">
        <f t="shared" si="370"/>
        <v>0</v>
      </c>
      <c r="BK544" s="3166">
        <f t="shared" si="371"/>
        <v>0</v>
      </c>
      <c r="BL544" s="3166">
        <f t="shared" si="372"/>
        <v>0</v>
      </c>
      <c r="BM544" s="3166">
        <f t="shared" si="373"/>
        <v>0</v>
      </c>
      <c r="BN544" s="3166">
        <f t="shared" si="374"/>
        <v>0</v>
      </c>
      <c r="BO544" s="3166">
        <f t="shared" si="375"/>
        <v>0</v>
      </c>
      <c r="BP544" s="3166">
        <f t="shared" si="376"/>
        <v>0</v>
      </c>
      <c r="BQ544" s="3166">
        <f t="shared" si="377"/>
        <v>0</v>
      </c>
      <c r="BR544" s="3166">
        <f t="shared" si="378"/>
        <v>0</v>
      </c>
      <c r="BS544" s="3166">
        <f t="shared" si="379"/>
        <v>0</v>
      </c>
      <c r="BT544" s="3240">
        <f t="shared" si="380"/>
        <v>0</v>
      </c>
    </row>
    <row r="545" spans="1:72">
      <c r="A545" s="3163"/>
      <c r="B545" s="3164"/>
      <c r="C545" s="3164"/>
      <c r="D545" s="3176"/>
      <c r="E545" s="3166">
        <f t="shared" si="352"/>
        <v>0</v>
      </c>
      <c r="F545" s="3167"/>
      <c r="G545" s="3168">
        <f t="shared" si="353"/>
        <v>0</v>
      </c>
      <c r="H545" s="3169">
        <f t="shared" si="354"/>
        <v>0</v>
      </c>
      <c r="I545" s="3187"/>
      <c r="J545" s="3187"/>
      <c r="K545" s="3187"/>
      <c r="L545" s="3187"/>
      <c r="M545" s="3187"/>
      <c r="N545" s="3187"/>
      <c r="O545" s="3187"/>
      <c r="P545" s="3187"/>
      <c r="Q545" s="3187"/>
      <c r="R545" s="3187"/>
      <c r="S545" s="3187"/>
      <c r="T545" s="3187"/>
      <c r="U545" s="3187"/>
      <c r="V545" s="3187"/>
      <c r="W545" s="3187"/>
      <c r="X545" s="3187"/>
      <c r="Y545" s="3187"/>
      <c r="Z545" s="3187"/>
      <c r="AA545" s="3187"/>
      <c r="AB545" s="3187"/>
      <c r="AC545" s="3166">
        <f t="shared" si="355"/>
        <v>0</v>
      </c>
      <c r="AD545" s="3198"/>
      <c r="AE545" s="3198"/>
      <c r="AF545" s="3198"/>
      <c r="AG545" s="3198"/>
      <c r="AH545" s="3198"/>
      <c r="AI545" s="3198"/>
      <c r="AJ545" s="3198"/>
      <c r="AK545" s="3198"/>
      <c r="AL545" s="3198"/>
      <c r="AM545" s="3198"/>
      <c r="AN545" s="3198"/>
      <c r="AO545" s="3198"/>
      <c r="AP545" s="3198"/>
      <c r="AQ545" s="3198"/>
      <c r="AR545" s="3198"/>
      <c r="AS545" s="3198"/>
      <c r="AT545" s="3218"/>
      <c r="AU545" s="3219"/>
      <c r="AV545" s="488">
        <f t="shared" si="356"/>
        <v>0</v>
      </c>
      <c r="AW545" s="488">
        <f t="shared" si="357"/>
        <v>0</v>
      </c>
      <c r="AX545" s="488">
        <f t="shared" si="358"/>
        <v>0</v>
      </c>
      <c r="AY545" s="3235">
        <f t="shared" si="359"/>
        <v>0</v>
      </c>
      <c r="AZ545" s="3166">
        <f t="shared" si="360"/>
        <v>0</v>
      </c>
      <c r="BA545" s="3166">
        <f t="shared" si="361"/>
        <v>0</v>
      </c>
      <c r="BB545" s="3166">
        <f t="shared" si="362"/>
        <v>0</v>
      </c>
      <c r="BC545" s="3166">
        <f t="shared" si="363"/>
        <v>0</v>
      </c>
      <c r="BD545" s="3166">
        <f t="shared" si="364"/>
        <v>0</v>
      </c>
      <c r="BE545" s="3166">
        <f t="shared" si="365"/>
        <v>0</v>
      </c>
      <c r="BF545" s="3166">
        <f t="shared" si="366"/>
        <v>0</v>
      </c>
      <c r="BG545" s="3166">
        <f t="shared" si="367"/>
        <v>0</v>
      </c>
      <c r="BH545" s="3166">
        <f t="shared" si="368"/>
        <v>0</v>
      </c>
      <c r="BI545" s="3166">
        <f t="shared" si="369"/>
        <v>0</v>
      </c>
      <c r="BJ545" s="3166">
        <f t="shared" si="370"/>
        <v>0</v>
      </c>
      <c r="BK545" s="3166">
        <f t="shared" si="371"/>
        <v>0</v>
      </c>
      <c r="BL545" s="3166">
        <f t="shared" si="372"/>
        <v>0</v>
      </c>
      <c r="BM545" s="3166">
        <f t="shared" si="373"/>
        <v>0</v>
      </c>
      <c r="BN545" s="3166">
        <f t="shared" si="374"/>
        <v>0</v>
      </c>
      <c r="BO545" s="3166">
        <f t="shared" si="375"/>
        <v>0</v>
      </c>
      <c r="BP545" s="3166">
        <f t="shared" si="376"/>
        <v>0</v>
      </c>
      <c r="BQ545" s="3166">
        <f t="shared" si="377"/>
        <v>0</v>
      </c>
      <c r="BR545" s="3166">
        <f t="shared" si="378"/>
        <v>0</v>
      </c>
      <c r="BS545" s="3166">
        <f t="shared" si="379"/>
        <v>0</v>
      </c>
      <c r="BT545" s="3240">
        <f t="shared" si="380"/>
        <v>0</v>
      </c>
    </row>
    <row r="546" spans="1:72">
      <c r="A546" s="3163"/>
      <c r="B546" s="3164"/>
      <c r="C546" s="3164"/>
      <c r="D546" s="3176"/>
      <c r="E546" s="3166">
        <f t="shared" si="352"/>
        <v>0</v>
      </c>
      <c r="F546" s="3167"/>
      <c r="G546" s="3168">
        <f t="shared" si="353"/>
        <v>0</v>
      </c>
      <c r="H546" s="3169">
        <f t="shared" si="354"/>
        <v>0</v>
      </c>
      <c r="I546" s="3187"/>
      <c r="J546" s="3187"/>
      <c r="K546" s="3187"/>
      <c r="L546" s="3187"/>
      <c r="M546" s="3187"/>
      <c r="N546" s="3187"/>
      <c r="O546" s="3187"/>
      <c r="P546" s="3187"/>
      <c r="Q546" s="3187"/>
      <c r="R546" s="3187"/>
      <c r="S546" s="3187"/>
      <c r="T546" s="3187"/>
      <c r="U546" s="3187"/>
      <c r="V546" s="3187"/>
      <c r="W546" s="3187"/>
      <c r="X546" s="3187"/>
      <c r="Y546" s="3187"/>
      <c r="Z546" s="3187"/>
      <c r="AA546" s="3187"/>
      <c r="AB546" s="3187"/>
      <c r="AC546" s="3166">
        <f t="shared" si="355"/>
        <v>0</v>
      </c>
      <c r="AD546" s="3198"/>
      <c r="AE546" s="3198"/>
      <c r="AF546" s="3198"/>
      <c r="AG546" s="3198"/>
      <c r="AH546" s="3198"/>
      <c r="AI546" s="3198"/>
      <c r="AJ546" s="3198"/>
      <c r="AK546" s="3198"/>
      <c r="AL546" s="3198"/>
      <c r="AM546" s="3198"/>
      <c r="AN546" s="3198"/>
      <c r="AO546" s="3198"/>
      <c r="AP546" s="3198"/>
      <c r="AQ546" s="3198"/>
      <c r="AR546" s="3198"/>
      <c r="AS546" s="3198"/>
      <c r="AT546" s="3218"/>
      <c r="AU546" s="3219"/>
      <c r="AV546" s="488">
        <f t="shared" si="356"/>
        <v>0</v>
      </c>
      <c r="AW546" s="488">
        <f t="shared" si="357"/>
        <v>0</v>
      </c>
      <c r="AX546" s="488">
        <f t="shared" si="358"/>
        <v>0</v>
      </c>
      <c r="AY546" s="3235">
        <f t="shared" si="359"/>
        <v>0</v>
      </c>
      <c r="AZ546" s="3166">
        <f t="shared" si="360"/>
        <v>0</v>
      </c>
      <c r="BA546" s="3166">
        <f t="shared" si="361"/>
        <v>0</v>
      </c>
      <c r="BB546" s="3166">
        <f t="shared" si="362"/>
        <v>0</v>
      </c>
      <c r="BC546" s="3166">
        <f t="shared" si="363"/>
        <v>0</v>
      </c>
      <c r="BD546" s="3166">
        <f t="shared" si="364"/>
        <v>0</v>
      </c>
      <c r="BE546" s="3166">
        <f t="shared" si="365"/>
        <v>0</v>
      </c>
      <c r="BF546" s="3166">
        <f t="shared" si="366"/>
        <v>0</v>
      </c>
      <c r="BG546" s="3166">
        <f t="shared" si="367"/>
        <v>0</v>
      </c>
      <c r="BH546" s="3166">
        <f t="shared" si="368"/>
        <v>0</v>
      </c>
      <c r="BI546" s="3166">
        <f t="shared" si="369"/>
        <v>0</v>
      </c>
      <c r="BJ546" s="3166">
        <f t="shared" si="370"/>
        <v>0</v>
      </c>
      <c r="BK546" s="3166">
        <f t="shared" si="371"/>
        <v>0</v>
      </c>
      <c r="BL546" s="3166">
        <f t="shared" si="372"/>
        <v>0</v>
      </c>
      <c r="BM546" s="3166">
        <f t="shared" si="373"/>
        <v>0</v>
      </c>
      <c r="BN546" s="3166">
        <f t="shared" si="374"/>
        <v>0</v>
      </c>
      <c r="BO546" s="3166">
        <f t="shared" si="375"/>
        <v>0</v>
      </c>
      <c r="BP546" s="3166">
        <f t="shared" si="376"/>
        <v>0</v>
      </c>
      <c r="BQ546" s="3166">
        <f t="shared" si="377"/>
        <v>0</v>
      </c>
      <c r="BR546" s="3166">
        <f t="shared" si="378"/>
        <v>0</v>
      </c>
      <c r="BS546" s="3166">
        <f t="shared" si="379"/>
        <v>0</v>
      </c>
      <c r="BT546" s="3240">
        <f t="shared" si="380"/>
        <v>0</v>
      </c>
    </row>
    <row r="547" spans="1:72">
      <c r="A547" s="3163"/>
      <c r="B547" s="3164"/>
      <c r="C547" s="3164"/>
      <c r="D547" s="3176"/>
      <c r="E547" s="3166">
        <f t="shared" si="352"/>
        <v>0</v>
      </c>
      <c r="F547" s="3167"/>
      <c r="G547" s="3168">
        <f t="shared" si="353"/>
        <v>0</v>
      </c>
      <c r="H547" s="3169">
        <f t="shared" si="354"/>
        <v>0</v>
      </c>
      <c r="I547" s="3187"/>
      <c r="J547" s="3187"/>
      <c r="K547" s="3187"/>
      <c r="L547" s="3187"/>
      <c r="M547" s="3187"/>
      <c r="N547" s="3187"/>
      <c r="O547" s="3187"/>
      <c r="P547" s="3187"/>
      <c r="Q547" s="3187"/>
      <c r="R547" s="3187"/>
      <c r="S547" s="3187"/>
      <c r="T547" s="3187"/>
      <c r="U547" s="3187"/>
      <c r="V547" s="3187"/>
      <c r="W547" s="3187"/>
      <c r="X547" s="3187"/>
      <c r="Y547" s="3187"/>
      <c r="Z547" s="3187"/>
      <c r="AA547" s="3187"/>
      <c r="AB547" s="3187"/>
      <c r="AC547" s="3166">
        <f t="shared" si="355"/>
        <v>0</v>
      </c>
      <c r="AD547" s="3198"/>
      <c r="AE547" s="3198"/>
      <c r="AF547" s="3198"/>
      <c r="AG547" s="3198"/>
      <c r="AH547" s="3198"/>
      <c r="AI547" s="3198"/>
      <c r="AJ547" s="3198"/>
      <c r="AK547" s="3198"/>
      <c r="AL547" s="3198"/>
      <c r="AM547" s="3198"/>
      <c r="AN547" s="3198"/>
      <c r="AO547" s="3198"/>
      <c r="AP547" s="3198"/>
      <c r="AQ547" s="3198"/>
      <c r="AR547" s="3198"/>
      <c r="AS547" s="3198"/>
      <c r="AT547" s="3218"/>
      <c r="AU547" s="3219"/>
      <c r="AV547" s="488">
        <f t="shared" si="356"/>
        <v>0</v>
      </c>
      <c r="AW547" s="488">
        <f t="shared" si="357"/>
        <v>0</v>
      </c>
      <c r="AX547" s="488">
        <f t="shared" si="358"/>
        <v>0</v>
      </c>
      <c r="AY547" s="3235">
        <f t="shared" si="359"/>
        <v>0</v>
      </c>
      <c r="AZ547" s="3166">
        <f t="shared" si="360"/>
        <v>0</v>
      </c>
      <c r="BA547" s="3166">
        <f t="shared" si="361"/>
        <v>0</v>
      </c>
      <c r="BB547" s="3166">
        <f t="shared" si="362"/>
        <v>0</v>
      </c>
      <c r="BC547" s="3166">
        <f t="shared" si="363"/>
        <v>0</v>
      </c>
      <c r="BD547" s="3166">
        <f t="shared" si="364"/>
        <v>0</v>
      </c>
      <c r="BE547" s="3166">
        <f t="shared" si="365"/>
        <v>0</v>
      </c>
      <c r="BF547" s="3166">
        <f t="shared" si="366"/>
        <v>0</v>
      </c>
      <c r="BG547" s="3166">
        <f t="shared" si="367"/>
        <v>0</v>
      </c>
      <c r="BH547" s="3166">
        <f t="shared" si="368"/>
        <v>0</v>
      </c>
      <c r="BI547" s="3166">
        <f t="shared" si="369"/>
        <v>0</v>
      </c>
      <c r="BJ547" s="3166">
        <f t="shared" si="370"/>
        <v>0</v>
      </c>
      <c r="BK547" s="3166">
        <f t="shared" si="371"/>
        <v>0</v>
      </c>
      <c r="BL547" s="3166">
        <f t="shared" si="372"/>
        <v>0</v>
      </c>
      <c r="BM547" s="3166">
        <f t="shared" si="373"/>
        <v>0</v>
      </c>
      <c r="BN547" s="3166">
        <f t="shared" si="374"/>
        <v>0</v>
      </c>
      <c r="BO547" s="3166">
        <f t="shared" si="375"/>
        <v>0</v>
      </c>
      <c r="BP547" s="3166">
        <f t="shared" si="376"/>
        <v>0</v>
      </c>
      <c r="BQ547" s="3166">
        <f t="shared" si="377"/>
        <v>0</v>
      </c>
      <c r="BR547" s="3166">
        <f t="shared" si="378"/>
        <v>0</v>
      </c>
      <c r="BS547" s="3166">
        <f t="shared" si="379"/>
        <v>0</v>
      </c>
      <c r="BT547" s="3240">
        <f t="shared" si="380"/>
        <v>0</v>
      </c>
    </row>
    <row r="548" spans="1:72">
      <c r="A548" s="3163"/>
      <c r="B548" s="3164"/>
      <c r="C548" s="3164"/>
      <c r="D548" s="3176"/>
      <c r="E548" s="3166">
        <f t="shared" si="352"/>
        <v>0</v>
      </c>
      <c r="F548" s="3167"/>
      <c r="G548" s="3168">
        <f t="shared" si="353"/>
        <v>0</v>
      </c>
      <c r="H548" s="3169">
        <f t="shared" si="354"/>
        <v>0</v>
      </c>
      <c r="I548" s="3187"/>
      <c r="J548" s="3187"/>
      <c r="K548" s="3187"/>
      <c r="L548" s="3187"/>
      <c r="M548" s="3187"/>
      <c r="N548" s="3187"/>
      <c r="O548" s="3187"/>
      <c r="P548" s="3187"/>
      <c r="Q548" s="3187"/>
      <c r="R548" s="3187"/>
      <c r="S548" s="3187"/>
      <c r="T548" s="3187"/>
      <c r="U548" s="3187"/>
      <c r="V548" s="3187"/>
      <c r="W548" s="3187"/>
      <c r="X548" s="3187"/>
      <c r="Y548" s="3187"/>
      <c r="Z548" s="3187"/>
      <c r="AA548" s="3187"/>
      <c r="AB548" s="3187"/>
      <c r="AC548" s="3166">
        <f t="shared" si="355"/>
        <v>0</v>
      </c>
      <c r="AD548" s="3198"/>
      <c r="AE548" s="3198"/>
      <c r="AF548" s="3198"/>
      <c r="AG548" s="3198"/>
      <c r="AH548" s="3198"/>
      <c r="AI548" s="3198"/>
      <c r="AJ548" s="3198"/>
      <c r="AK548" s="3198"/>
      <c r="AL548" s="3198"/>
      <c r="AM548" s="3198"/>
      <c r="AN548" s="3198"/>
      <c r="AO548" s="3198"/>
      <c r="AP548" s="3198"/>
      <c r="AQ548" s="3198"/>
      <c r="AR548" s="3198"/>
      <c r="AS548" s="3198"/>
      <c r="AT548" s="3218"/>
      <c r="AU548" s="3219"/>
      <c r="AV548" s="488">
        <f t="shared" si="356"/>
        <v>0</v>
      </c>
      <c r="AW548" s="488">
        <f t="shared" si="357"/>
        <v>0</v>
      </c>
      <c r="AX548" s="488">
        <f t="shared" si="358"/>
        <v>0</v>
      </c>
      <c r="AY548" s="3235">
        <f t="shared" si="359"/>
        <v>0</v>
      </c>
      <c r="AZ548" s="3166">
        <f t="shared" si="360"/>
        <v>0</v>
      </c>
      <c r="BA548" s="3166">
        <f t="shared" si="361"/>
        <v>0</v>
      </c>
      <c r="BB548" s="3166">
        <f t="shared" si="362"/>
        <v>0</v>
      </c>
      <c r="BC548" s="3166">
        <f t="shared" si="363"/>
        <v>0</v>
      </c>
      <c r="BD548" s="3166">
        <f t="shared" si="364"/>
        <v>0</v>
      </c>
      <c r="BE548" s="3166">
        <f t="shared" si="365"/>
        <v>0</v>
      </c>
      <c r="BF548" s="3166">
        <f t="shared" si="366"/>
        <v>0</v>
      </c>
      <c r="BG548" s="3166">
        <f t="shared" si="367"/>
        <v>0</v>
      </c>
      <c r="BH548" s="3166">
        <f t="shared" si="368"/>
        <v>0</v>
      </c>
      <c r="BI548" s="3166">
        <f t="shared" si="369"/>
        <v>0</v>
      </c>
      <c r="BJ548" s="3166">
        <f t="shared" si="370"/>
        <v>0</v>
      </c>
      <c r="BK548" s="3166">
        <f t="shared" si="371"/>
        <v>0</v>
      </c>
      <c r="BL548" s="3166">
        <f t="shared" si="372"/>
        <v>0</v>
      </c>
      <c r="BM548" s="3166">
        <f t="shared" si="373"/>
        <v>0</v>
      </c>
      <c r="BN548" s="3166">
        <f t="shared" si="374"/>
        <v>0</v>
      </c>
      <c r="BO548" s="3166">
        <f t="shared" si="375"/>
        <v>0</v>
      </c>
      <c r="BP548" s="3166">
        <f t="shared" si="376"/>
        <v>0</v>
      </c>
      <c r="BQ548" s="3166">
        <f t="shared" si="377"/>
        <v>0</v>
      </c>
      <c r="BR548" s="3166">
        <f t="shared" si="378"/>
        <v>0</v>
      </c>
      <c r="BS548" s="3166">
        <f t="shared" si="379"/>
        <v>0</v>
      </c>
      <c r="BT548" s="3240">
        <f t="shared" si="380"/>
        <v>0</v>
      </c>
    </row>
    <row r="549" spans="1:72">
      <c r="A549" s="3163"/>
      <c r="B549" s="3164"/>
      <c r="C549" s="3164"/>
      <c r="D549" s="3176"/>
      <c r="E549" s="3166">
        <f t="shared" si="352"/>
        <v>0</v>
      </c>
      <c r="F549" s="3167"/>
      <c r="G549" s="3168">
        <f t="shared" si="353"/>
        <v>0</v>
      </c>
      <c r="H549" s="3169">
        <f t="shared" si="354"/>
        <v>0</v>
      </c>
      <c r="I549" s="3187"/>
      <c r="J549" s="3187"/>
      <c r="K549" s="3187"/>
      <c r="L549" s="3187"/>
      <c r="M549" s="3187"/>
      <c r="N549" s="3187"/>
      <c r="O549" s="3187"/>
      <c r="P549" s="3187"/>
      <c r="Q549" s="3187"/>
      <c r="R549" s="3187"/>
      <c r="S549" s="3187"/>
      <c r="T549" s="3187"/>
      <c r="U549" s="3187"/>
      <c r="V549" s="3187"/>
      <c r="W549" s="3187"/>
      <c r="X549" s="3187"/>
      <c r="Y549" s="3187"/>
      <c r="Z549" s="3187"/>
      <c r="AA549" s="3187"/>
      <c r="AB549" s="3187"/>
      <c r="AC549" s="3166">
        <f t="shared" si="355"/>
        <v>0</v>
      </c>
      <c r="AD549" s="3198"/>
      <c r="AE549" s="3198"/>
      <c r="AF549" s="3198"/>
      <c r="AG549" s="3198"/>
      <c r="AH549" s="3198"/>
      <c r="AI549" s="3198"/>
      <c r="AJ549" s="3198"/>
      <c r="AK549" s="3198"/>
      <c r="AL549" s="3198"/>
      <c r="AM549" s="3198"/>
      <c r="AN549" s="3198"/>
      <c r="AO549" s="3198"/>
      <c r="AP549" s="3198"/>
      <c r="AQ549" s="3198"/>
      <c r="AR549" s="3198"/>
      <c r="AS549" s="3198"/>
      <c r="AT549" s="3218"/>
      <c r="AU549" s="3219"/>
      <c r="AV549" s="488">
        <f t="shared" si="356"/>
        <v>0</v>
      </c>
      <c r="AW549" s="488">
        <f t="shared" si="357"/>
        <v>0</v>
      </c>
      <c r="AX549" s="488">
        <f t="shared" si="358"/>
        <v>0</v>
      </c>
      <c r="AY549" s="3235">
        <f t="shared" si="359"/>
        <v>0</v>
      </c>
      <c r="AZ549" s="3166">
        <f t="shared" si="360"/>
        <v>0</v>
      </c>
      <c r="BA549" s="3166">
        <f t="shared" si="361"/>
        <v>0</v>
      </c>
      <c r="BB549" s="3166">
        <f t="shared" si="362"/>
        <v>0</v>
      </c>
      <c r="BC549" s="3166">
        <f t="shared" si="363"/>
        <v>0</v>
      </c>
      <c r="BD549" s="3166">
        <f t="shared" si="364"/>
        <v>0</v>
      </c>
      <c r="BE549" s="3166">
        <f t="shared" si="365"/>
        <v>0</v>
      </c>
      <c r="BF549" s="3166">
        <f t="shared" si="366"/>
        <v>0</v>
      </c>
      <c r="BG549" s="3166">
        <f t="shared" si="367"/>
        <v>0</v>
      </c>
      <c r="BH549" s="3166">
        <f t="shared" si="368"/>
        <v>0</v>
      </c>
      <c r="BI549" s="3166">
        <f t="shared" si="369"/>
        <v>0</v>
      </c>
      <c r="BJ549" s="3166">
        <f t="shared" si="370"/>
        <v>0</v>
      </c>
      <c r="BK549" s="3166">
        <f t="shared" si="371"/>
        <v>0</v>
      </c>
      <c r="BL549" s="3166">
        <f t="shared" si="372"/>
        <v>0</v>
      </c>
      <c r="BM549" s="3166">
        <f t="shared" si="373"/>
        <v>0</v>
      </c>
      <c r="BN549" s="3166">
        <f t="shared" si="374"/>
        <v>0</v>
      </c>
      <c r="BO549" s="3166">
        <f t="shared" si="375"/>
        <v>0</v>
      </c>
      <c r="BP549" s="3166">
        <f t="shared" si="376"/>
        <v>0</v>
      </c>
      <c r="BQ549" s="3166">
        <f t="shared" si="377"/>
        <v>0</v>
      </c>
      <c r="BR549" s="3166">
        <f t="shared" si="378"/>
        <v>0</v>
      </c>
      <c r="BS549" s="3166">
        <f t="shared" si="379"/>
        <v>0</v>
      </c>
      <c r="BT549" s="3240">
        <f t="shared" si="380"/>
        <v>0</v>
      </c>
    </row>
    <row r="550" spans="1:72">
      <c r="A550" s="3163"/>
      <c r="B550" s="3164"/>
      <c r="C550" s="3164"/>
      <c r="D550" s="3176"/>
      <c r="E550" s="3166">
        <f t="shared" si="352"/>
        <v>0</v>
      </c>
      <c r="F550" s="3167"/>
      <c r="G550" s="3168">
        <f t="shared" si="353"/>
        <v>0</v>
      </c>
      <c r="H550" s="3169">
        <f t="shared" si="354"/>
        <v>0</v>
      </c>
      <c r="I550" s="3187"/>
      <c r="J550" s="3187"/>
      <c r="K550" s="3187"/>
      <c r="L550" s="3187"/>
      <c r="M550" s="3187"/>
      <c r="N550" s="3187"/>
      <c r="O550" s="3187"/>
      <c r="P550" s="3187"/>
      <c r="Q550" s="3187"/>
      <c r="R550" s="3187"/>
      <c r="S550" s="3187"/>
      <c r="T550" s="3187"/>
      <c r="U550" s="3187"/>
      <c r="V550" s="3187"/>
      <c r="W550" s="3187"/>
      <c r="X550" s="3187"/>
      <c r="Y550" s="3187"/>
      <c r="Z550" s="3187"/>
      <c r="AA550" s="3187"/>
      <c r="AB550" s="3187"/>
      <c r="AC550" s="3166">
        <f t="shared" si="355"/>
        <v>0</v>
      </c>
      <c r="AD550" s="3198"/>
      <c r="AE550" s="3198"/>
      <c r="AF550" s="3198"/>
      <c r="AG550" s="3198"/>
      <c r="AH550" s="3198"/>
      <c r="AI550" s="3198"/>
      <c r="AJ550" s="3198"/>
      <c r="AK550" s="3198"/>
      <c r="AL550" s="3198"/>
      <c r="AM550" s="3198"/>
      <c r="AN550" s="3198"/>
      <c r="AO550" s="3198"/>
      <c r="AP550" s="3198"/>
      <c r="AQ550" s="3198"/>
      <c r="AR550" s="3198"/>
      <c r="AS550" s="3198"/>
      <c r="AT550" s="3218"/>
      <c r="AU550" s="3219"/>
      <c r="AV550" s="488">
        <f t="shared" si="356"/>
        <v>0</v>
      </c>
      <c r="AW550" s="488">
        <f t="shared" si="357"/>
        <v>0</v>
      </c>
      <c r="AX550" s="488">
        <f t="shared" si="358"/>
        <v>0</v>
      </c>
      <c r="AY550" s="3235">
        <f t="shared" si="359"/>
        <v>0</v>
      </c>
      <c r="AZ550" s="3166">
        <f t="shared" si="360"/>
        <v>0</v>
      </c>
      <c r="BA550" s="3166">
        <f t="shared" si="361"/>
        <v>0</v>
      </c>
      <c r="BB550" s="3166">
        <f t="shared" si="362"/>
        <v>0</v>
      </c>
      <c r="BC550" s="3166">
        <f t="shared" si="363"/>
        <v>0</v>
      </c>
      <c r="BD550" s="3166">
        <f t="shared" si="364"/>
        <v>0</v>
      </c>
      <c r="BE550" s="3166">
        <f t="shared" si="365"/>
        <v>0</v>
      </c>
      <c r="BF550" s="3166">
        <f t="shared" si="366"/>
        <v>0</v>
      </c>
      <c r="BG550" s="3166">
        <f t="shared" si="367"/>
        <v>0</v>
      </c>
      <c r="BH550" s="3166">
        <f t="shared" si="368"/>
        <v>0</v>
      </c>
      <c r="BI550" s="3166">
        <f t="shared" si="369"/>
        <v>0</v>
      </c>
      <c r="BJ550" s="3166">
        <f t="shared" si="370"/>
        <v>0</v>
      </c>
      <c r="BK550" s="3166">
        <f t="shared" si="371"/>
        <v>0</v>
      </c>
      <c r="BL550" s="3166">
        <f t="shared" si="372"/>
        <v>0</v>
      </c>
      <c r="BM550" s="3166">
        <f t="shared" si="373"/>
        <v>0</v>
      </c>
      <c r="BN550" s="3166">
        <f t="shared" si="374"/>
        <v>0</v>
      </c>
      <c r="BO550" s="3166">
        <f t="shared" si="375"/>
        <v>0</v>
      </c>
      <c r="BP550" s="3166">
        <f t="shared" si="376"/>
        <v>0</v>
      </c>
      <c r="BQ550" s="3166">
        <f t="shared" si="377"/>
        <v>0</v>
      </c>
      <c r="BR550" s="3166">
        <f t="shared" si="378"/>
        <v>0</v>
      </c>
      <c r="BS550" s="3166">
        <f t="shared" si="379"/>
        <v>0</v>
      </c>
      <c r="BT550" s="3240">
        <f t="shared" si="380"/>
        <v>0</v>
      </c>
    </row>
    <row r="551" spans="1:72">
      <c r="A551" s="3163"/>
      <c r="B551" s="3164"/>
      <c r="C551" s="3164"/>
      <c r="D551" s="3176"/>
      <c r="E551" s="3166">
        <f t="shared" si="352"/>
        <v>0</v>
      </c>
      <c r="F551" s="3167"/>
      <c r="G551" s="3168">
        <f t="shared" si="353"/>
        <v>0</v>
      </c>
      <c r="H551" s="3169">
        <f t="shared" si="354"/>
        <v>0</v>
      </c>
      <c r="I551" s="3187"/>
      <c r="J551" s="3187"/>
      <c r="K551" s="3187"/>
      <c r="L551" s="3187"/>
      <c r="M551" s="3187"/>
      <c r="N551" s="3187"/>
      <c r="O551" s="3187"/>
      <c r="P551" s="3187"/>
      <c r="Q551" s="3187"/>
      <c r="R551" s="3187"/>
      <c r="S551" s="3187"/>
      <c r="T551" s="3187"/>
      <c r="U551" s="3187"/>
      <c r="V551" s="3187"/>
      <c r="W551" s="3187"/>
      <c r="X551" s="3187"/>
      <c r="Y551" s="3187"/>
      <c r="Z551" s="3187"/>
      <c r="AA551" s="3187"/>
      <c r="AB551" s="3187"/>
      <c r="AC551" s="3166">
        <f t="shared" si="355"/>
        <v>0</v>
      </c>
      <c r="AD551" s="3198"/>
      <c r="AE551" s="3198"/>
      <c r="AF551" s="3198"/>
      <c r="AG551" s="3198"/>
      <c r="AH551" s="3198"/>
      <c r="AI551" s="3198"/>
      <c r="AJ551" s="3198"/>
      <c r="AK551" s="3198"/>
      <c r="AL551" s="3198"/>
      <c r="AM551" s="3198"/>
      <c r="AN551" s="3198"/>
      <c r="AO551" s="3198"/>
      <c r="AP551" s="3198"/>
      <c r="AQ551" s="3198"/>
      <c r="AR551" s="3198"/>
      <c r="AS551" s="3198"/>
      <c r="AT551" s="3218"/>
      <c r="AU551" s="3219"/>
      <c r="AV551" s="488">
        <f t="shared" si="356"/>
        <v>0</v>
      </c>
      <c r="AW551" s="488">
        <f t="shared" si="357"/>
        <v>0</v>
      </c>
      <c r="AX551" s="488">
        <f t="shared" si="358"/>
        <v>0</v>
      </c>
      <c r="AY551" s="3235">
        <f t="shared" si="359"/>
        <v>0</v>
      </c>
      <c r="AZ551" s="3166">
        <f t="shared" si="360"/>
        <v>0</v>
      </c>
      <c r="BA551" s="3166">
        <f t="shared" si="361"/>
        <v>0</v>
      </c>
      <c r="BB551" s="3166">
        <f t="shared" si="362"/>
        <v>0</v>
      </c>
      <c r="BC551" s="3166">
        <f t="shared" si="363"/>
        <v>0</v>
      </c>
      <c r="BD551" s="3166">
        <f t="shared" si="364"/>
        <v>0</v>
      </c>
      <c r="BE551" s="3166">
        <f t="shared" si="365"/>
        <v>0</v>
      </c>
      <c r="BF551" s="3166">
        <f t="shared" si="366"/>
        <v>0</v>
      </c>
      <c r="BG551" s="3166">
        <f t="shared" si="367"/>
        <v>0</v>
      </c>
      <c r="BH551" s="3166">
        <f t="shared" si="368"/>
        <v>0</v>
      </c>
      <c r="BI551" s="3166">
        <f t="shared" si="369"/>
        <v>0</v>
      </c>
      <c r="BJ551" s="3166">
        <f t="shared" si="370"/>
        <v>0</v>
      </c>
      <c r="BK551" s="3166">
        <f t="shared" si="371"/>
        <v>0</v>
      </c>
      <c r="BL551" s="3166">
        <f t="shared" si="372"/>
        <v>0</v>
      </c>
      <c r="BM551" s="3166">
        <f t="shared" si="373"/>
        <v>0</v>
      </c>
      <c r="BN551" s="3166">
        <f t="shared" si="374"/>
        <v>0</v>
      </c>
      <c r="BO551" s="3166">
        <f t="shared" si="375"/>
        <v>0</v>
      </c>
      <c r="BP551" s="3166">
        <f t="shared" si="376"/>
        <v>0</v>
      </c>
      <c r="BQ551" s="3166">
        <f t="shared" si="377"/>
        <v>0</v>
      </c>
      <c r="BR551" s="3166">
        <f t="shared" si="378"/>
        <v>0</v>
      </c>
      <c r="BS551" s="3166">
        <f t="shared" si="379"/>
        <v>0</v>
      </c>
      <c r="BT551" s="3240">
        <f t="shared" si="380"/>
        <v>0</v>
      </c>
    </row>
    <row r="552" spans="1:72">
      <c r="A552" s="3163"/>
      <c r="B552" s="3164"/>
      <c r="C552" s="3164"/>
      <c r="D552" s="3176"/>
      <c r="E552" s="3166">
        <f t="shared" si="352"/>
        <v>0</v>
      </c>
      <c r="F552" s="3167"/>
      <c r="G552" s="3168">
        <f t="shared" si="353"/>
        <v>0</v>
      </c>
      <c r="H552" s="3169">
        <f t="shared" si="354"/>
        <v>0</v>
      </c>
      <c r="I552" s="3187"/>
      <c r="J552" s="3187"/>
      <c r="K552" s="3187"/>
      <c r="L552" s="3187"/>
      <c r="M552" s="3187"/>
      <c r="N552" s="3187"/>
      <c r="O552" s="3187"/>
      <c r="P552" s="3187"/>
      <c r="Q552" s="3187"/>
      <c r="R552" s="3187"/>
      <c r="S552" s="3187"/>
      <c r="T552" s="3187"/>
      <c r="U552" s="3187"/>
      <c r="V552" s="3187"/>
      <c r="W552" s="3187"/>
      <c r="X552" s="3187"/>
      <c r="Y552" s="3187"/>
      <c r="Z552" s="3187"/>
      <c r="AA552" s="3187"/>
      <c r="AB552" s="3187"/>
      <c r="AC552" s="3166">
        <f t="shared" si="355"/>
        <v>0</v>
      </c>
      <c r="AD552" s="3198"/>
      <c r="AE552" s="3198"/>
      <c r="AF552" s="3198"/>
      <c r="AG552" s="3198"/>
      <c r="AH552" s="3198"/>
      <c r="AI552" s="3198"/>
      <c r="AJ552" s="3198"/>
      <c r="AK552" s="3198"/>
      <c r="AL552" s="3198"/>
      <c r="AM552" s="3198"/>
      <c r="AN552" s="3198"/>
      <c r="AO552" s="3198"/>
      <c r="AP552" s="3198"/>
      <c r="AQ552" s="3198"/>
      <c r="AR552" s="3198"/>
      <c r="AS552" s="3198"/>
      <c r="AT552" s="3218"/>
      <c r="AU552" s="3219"/>
      <c r="AV552" s="488">
        <f t="shared" si="356"/>
        <v>0</v>
      </c>
      <c r="AW552" s="488">
        <f t="shared" si="357"/>
        <v>0</v>
      </c>
      <c r="AX552" s="488">
        <f t="shared" si="358"/>
        <v>0</v>
      </c>
      <c r="AY552" s="3235">
        <f t="shared" si="359"/>
        <v>0</v>
      </c>
      <c r="AZ552" s="3166">
        <f t="shared" si="360"/>
        <v>0</v>
      </c>
      <c r="BA552" s="3166">
        <f t="shared" si="361"/>
        <v>0</v>
      </c>
      <c r="BB552" s="3166">
        <f t="shared" si="362"/>
        <v>0</v>
      </c>
      <c r="BC552" s="3166">
        <f t="shared" si="363"/>
        <v>0</v>
      </c>
      <c r="BD552" s="3166">
        <f t="shared" si="364"/>
        <v>0</v>
      </c>
      <c r="BE552" s="3166">
        <f t="shared" si="365"/>
        <v>0</v>
      </c>
      <c r="BF552" s="3166">
        <f t="shared" si="366"/>
        <v>0</v>
      </c>
      <c r="BG552" s="3166">
        <f t="shared" si="367"/>
        <v>0</v>
      </c>
      <c r="BH552" s="3166">
        <f t="shared" si="368"/>
        <v>0</v>
      </c>
      <c r="BI552" s="3166">
        <f t="shared" si="369"/>
        <v>0</v>
      </c>
      <c r="BJ552" s="3166">
        <f t="shared" si="370"/>
        <v>0</v>
      </c>
      <c r="BK552" s="3166">
        <f t="shared" si="371"/>
        <v>0</v>
      </c>
      <c r="BL552" s="3166">
        <f t="shared" si="372"/>
        <v>0</v>
      </c>
      <c r="BM552" s="3166">
        <f t="shared" si="373"/>
        <v>0</v>
      </c>
      <c r="BN552" s="3166">
        <f t="shared" si="374"/>
        <v>0</v>
      </c>
      <c r="BO552" s="3166">
        <f t="shared" si="375"/>
        <v>0</v>
      </c>
      <c r="BP552" s="3166">
        <f t="shared" si="376"/>
        <v>0</v>
      </c>
      <c r="BQ552" s="3166">
        <f t="shared" si="377"/>
        <v>0</v>
      </c>
      <c r="BR552" s="3166">
        <f t="shared" si="378"/>
        <v>0</v>
      </c>
      <c r="BS552" s="3166">
        <f t="shared" si="379"/>
        <v>0</v>
      </c>
      <c r="BT552" s="3240">
        <f t="shared" si="380"/>
        <v>0</v>
      </c>
    </row>
    <row r="553" spans="1:72">
      <c r="A553" s="3163"/>
      <c r="B553" s="3164"/>
      <c r="C553" s="3164"/>
      <c r="D553" s="3176"/>
      <c r="E553" s="3166">
        <f t="shared" si="352"/>
        <v>0</v>
      </c>
      <c r="F553" s="3167"/>
      <c r="G553" s="3168">
        <f t="shared" si="353"/>
        <v>0</v>
      </c>
      <c r="H553" s="3169">
        <f t="shared" si="354"/>
        <v>0</v>
      </c>
      <c r="I553" s="3187"/>
      <c r="J553" s="3187"/>
      <c r="K553" s="3187"/>
      <c r="L553" s="3187"/>
      <c r="M553" s="3187"/>
      <c r="N553" s="3187"/>
      <c r="O553" s="3187"/>
      <c r="P553" s="3187"/>
      <c r="Q553" s="3187"/>
      <c r="R553" s="3187"/>
      <c r="S553" s="3187"/>
      <c r="T553" s="3187"/>
      <c r="U553" s="3187"/>
      <c r="V553" s="3187"/>
      <c r="W553" s="3187"/>
      <c r="X553" s="3187"/>
      <c r="Y553" s="3187"/>
      <c r="Z553" s="3187"/>
      <c r="AA553" s="3187"/>
      <c r="AB553" s="3187"/>
      <c r="AC553" s="3166">
        <f t="shared" si="355"/>
        <v>0</v>
      </c>
      <c r="AD553" s="3198"/>
      <c r="AE553" s="3198"/>
      <c r="AF553" s="3198"/>
      <c r="AG553" s="3198"/>
      <c r="AH553" s="3198"/>
      <c r="AI553" s="3198"/>
      <c r="AJ553" s="3198"/>
      <c r="AK553" s="3198"/>
      <c r="AL553" s="3198"/>
      <c r="AM553" s="3198"/>
      <c r="AN553" s="3198"/>
      <c r="AO553" s="3198"/>
      <c r="AP553" s="3198"/>
      <c r="AQ553" s="3198"/>
      <c r="AR553" s="3198"/>
      <c r="AS553" s="3198"/>
      <c r="AT553" s="3218"/>
      <c r="AU553" s="3219"/>
      <c r="AV553" s="488">
        <f t="shared" si="356"/>
        <v>0</v>
      </c>
      <c r="AW553" s="488">
        <f t="shared" si="357"/>
        <v>0</v>
      </c>
      <c r="AX553" s="488">
        <f t="shared" si="358"/>
        <v>0</v>
      </c>
      <c r="AY553" s="3235">
        <f t="shared" si="359"/>
        <v>0</v>
      </c>
      <c r="AZ553" s="3166">
        <f t="shared" si="360"/>
        <v>0</v>
      </c>
      <c r="BA553" s="3166">
        <f t="shared" si="361"/>
        <v>0</v>
      </c>
      <c r="BB553" s="3166">
        <f t="shared" si="362"/>
        <v>0</v>
      </c>
      <c r="BC553" s="3166">
        <f t="shared" si="363"/>
        <v>0</v>
      </c>
      <c r="BD553" s="3166">
        <f t="shared" si="364"/>
        <v>0</v>
      </c>
      <c r="BE553" s="3166">
        <f t="shared" si="365"/>
        <v>0</v>
      </c>
      <c r="BF553" s="3166">
        <f t="shared" si="366"/>
        <v>0</v>
      </c>
      <c r="BG553" s="3166">
        <f t="shared" si="367"/>
        <v>0</v>
      </c>
      <c r="BH553" s="3166">
        <f t="shared" si="368"/>
        <v>0</v>
      </c>
      <c r="BI553" s="3166">
        <f t="shared" si="369"/>
        <v>0</v>
      </c>
      <c r="BJ553" s="3166">
        <f t="shared" si="370"/>
        <v>0</v>
      </c>
      <c r="BK553" s="3166">
        <f t="shared" si="371"/>
        <v>0</v>
      </c>
      <c r="BL553" s="3166">
        <f t="shared" si="372"/>
        <v>0</v>
      </c>
      <c r="BM553" s="3166">
        <f t="shared" si="373"/>
        <v>0</v>
      </c>
      <c r="BN553" s="3166">
        <f t="shared" si="374"/>
        <v>0</v>
      </c>
      <c r="BO553" s="3166">
        <f t="shared" si="375"/>
        <v>0</v>
      </c>
      <c r="BP553" s="3166">
        <f t="shared" si="376"/>
        <v>0</v>
      </c>
      <c r="BQ553" s="3166">
        <f t="shared" si="377"/>
        <v>0</v>
      </c>
      <c r="BR553" s="3166">
        <f t="shared" si="378"/>
        <v>0</v>
      </c>
      <c r="BS553" s="3166">
        <f t="shared" si="379"/>
        <v>0</v>
      </c>
      <c r="BT553" s="3240">
        <f t="shared" si="380"/>
        <v>0</v>
      </c>
    </row>
    <row r="554" spans="1:72">
      <c r="A554" s="3163"/>
      <c r="B554" s="3164"/>
      <c r="C554" s="3164"/>
      <c r="D554" s="3176"/>
      <c r="E554" s="3166">
        <f t="shared" si="352"/>
        <v>0</v>
      </c>
      <c r="F554" s="3167"/>
      <c r="G554" s="3168">
        <f t="shared" si="353"/>
        <v>0</v>
      </c>
      <c r="H554" s="3169">
        <f t="shared" si="354"/>
        <v>0</v>
      </c>
      <c r="I554" s="3187"/>
      <c r="J554" s="3187"/>
      <c r="K554" s="3187"/>
      <c r="L554" s="3187"/>
      <c r="M554" s="3187"/>
      <c r="N554" s="3187"/>
      <c r="O554" s="3187"/>
      <c r="P554" s="3187"/>
      <c r="Q554" s="3187"/>
      <c r="R554" s="3187"/>
      <c r="S554" s="3187"/>
      <c r="T554" s="3187"/>
      <c r="U554" s="3187"/>
      <c r="V554" s="3187"/>
      <c r="W554" s="3187"/>
      <c r="X554" s="3187"/>
      <c r="Y554" s="3187"/>
      <c r="Z554" s="3187"/>
      <c r="AA554" s="3187"/>
      <c r="AB554" s="3187"/>
      <c r="AC554" s="3166">
        <f t="shared" si="355"/>
        <v>0</v>
      </c>
      <c r="AD554" s="3198"/>
      <c r="AE554" s="3198"/>
      <c r="AF554" s="3198"/>
      <c r="AG554" s="3198"/>
      <c r="AH554" s="3198"/>
      <c r="AI554" s="3198"/>
      <c r="AJ554" s="3198"/>
      <c r="AK554" s="3198"/>
      <c r="AL554" s="3198"/>
      <c r="AM554" s="3198"/>
      <c r="AN554" s="3198"/>
      <c r="AO554" s="3198"/>
      <c r="AP554" s="3198"/>
      <c r="AQ554" s="3198"/>
      <c r="AR554" s="3198"/>
      <c r="AS554" s="3198"/>
      <c r="AT554" s="3218"/>
      <c r="AU554" s="3219"/>
      <c r="AV554" s="488">
        <f t="shared" si="356"/>
        <v>0</v>
      </c>
      <c r="AW554" s="488">
        <f t="shared" si="357"/>
        <v>0</v>
      </c>
      <c r="AX554" s="488">
        <f t="shared" si="358"/>
        <v>0</v>
      </c>
      <c r="AY554" s="3235">
        <f t="shared" si="359"/>
        <v>0</v>
      </c>
      <c r="AZ554" s="3166">
        <f t="shared" si="360"/>
        <v>0</v>
      </c>
      <c r="BA554" s="3166">
        <f t="shared" si="361"/>
        <v>0</v>
      </c>
      <c r="BB554" s="3166">
        <f t="shared" si="362"/>
        <v>0</v>
      </c>
      <c r="BC554" s="3166">
        <f t="shared" si="363"/>
        <v>0</v>
      </c>
      <c r="BD554" s="3166">
        <f t="shared" si="364"/>
        <v>0</v>
      </c>
      <c r="BE554" s="3166">
        <f t="shared" si="365"/>
        <v>0</v>
      </c>
      <c r="BF554" s="3166">
        <f t="shared" si="366"/>
        <v>0</v>
      </c>
      <c r="BG554" s="3166">
        <f t="shared" si="367"/>
        <v>0</v>
      </c>
      <c r="BH554" s="3166">
        <f t="shared" si="368"/>
        <v>0</v>
      </c>
      <c r="BI554" s="3166">
        <f t="shared" si="369"/>
        <v>0</v>
      </c>
      <c r="BJ554" s="3166">
        <f t="shared" si="370"/>
        <v>0</v>
      </c>
      <c r="BK554" s="3166">
        <f t="shared" si="371"/>
        <v>0</v>
      </c>
      <c r="BL554" s="3166">
        <f t="shared" si="372"/>
        <v>0</v>
      </c>
      <c r="BM554" s="3166">
        <f t="shared" si="373"/>
        <v>0</v>
      </c>
      <c r="BN554" s="3166">
        <f t="shared" si="374"/>
        <v>0</v>
      </c>
      <c r="BO554" s="3166">
        <f t="shared" si="375"/>
        <v>0</v>
      </c>
      <c r="BP554" s="3166">
        <f t="shared" si="376"/>
        <v>0</v>
      </c>
      <c r="BQ554" s="3166">
        <f t="shared" si="377"/>
        <v>0</v>
      </c>
      <c r="BR554" s="3166">
        <f t="shared" si="378"/>
        <v>0</v>
      </c>
      <c r="BS554" s="3166">
        <f t="shared" si="379"/>
        <v>0</v>
      </c>
      <c r="BT554" s="3240">
        <f t="shared" si="380"/>
        <v>0</v>
      </c>
    </row>
    <row r="555" spans="1:72">
      <c r="A555" s="3163"/>
      <c r="B555" s="3164"/>
      <c r="C555" s="3164"/>
      <c r="D555" s="3176"/>
      <c r="E555" s="3166">
        <f t="shared" si="352"/>
        <v>0</v>
      </c>
      <c r="F555" s="3167"/>
      <c r="G555" s="3168">
        <f t="shared" si="353"/>
        <v>0</v>
      </c>
      <c r="H555" s="3169">
        <f t="shared" si="354"/>
        <v>0</v>
      </c>
      <c r="I555" s="3187"/>
      <c r="J555" s="3187"/>
      <c r="K555" s="3187"/>
      <c r="L555" s="3187"/>
      <c r="M555" s="3187"/>
      <c r="N555" s="3187"/>
      <c r="O555" s="3187"/>
      <c r="P555" s="3187"/>
      <c r="Q555" s="3187"/>
      <c r="R555" s="3187"/>
      <c r="S555" s="3187"/>
      <c r="T555" s="3187"/>
      <c r="U555" s="3187"/>
      <c r="V555" s="3187"/>
      <c r="W555" s="3187"/>
      <c r="X555" s="3187"/>
      <c r="Y555" s="3187"/>
      <c r="Z555" s="3187"/>
      <c r="AA555" s="3187"/>
      <c r="AB555" s="3187"/>
      <c r="AC555" s="3166">
        <f t="shared" si="355"/>
        <v>0</v>
      </c>
      <c r="AD555" s="3198"/>
      <c r="AE555" s="3198"/>
      <c r="AF555" s="3198"/>
      <c r="AG555" s="3198"/>
      <c r="AH555" s="3198"/>
      <c r="AI555" s="3198"/>
      <c r="AJ555" s="3198"/>
      <c r="AK555" s="3198"/>
      <c r="AL555" s="3198"/>
      <c r="AM555" s="3198"/>
      <c r="AN555" s="3198"/>
      <c r="AO555" s="3198"/>
      <c r="AP555" s="3198"/>
      <c r="AQ555" s="3198"/>
      <c r="AR555" s="3198"/>
      <c r="AS555" s="3198"/>
      <c r="AT555" s="3218"/>
      <c r="AU555" s="3219"/>
      <c r="AV555" s="488">
        <f t="shared" si="356"/>
        <v>0</v>
      </c>
      <c r="AW555" s="488">
        <f t="shared" si="357"/>
        <v>0</v>
      </c>
      <c r="AX555" s="488">
        <f t="shared" si="358"/>
        <v>0</v>
      </c>
      <c r="AY555" s="3235">
        <f t="shared" si="359"/>
        <v>0</v>
      </c>
      <c r="AZ555" s="3166">
        <f t="shared" si="360"/>
        <v>0</v>
      </c>
      <c r="BA555" s="3166">
        <f t="shared" si="361"/>
        <v>0</v>
      </c>
      <c r="BB555" s="3166">
        <f t="shared" si="362"/>
        <v>0</v>
      </c>
      <c r="BC555" s="3166">
        <f t="shared" si="363"/>
        <v>0</v>
      </c>
      <c r="BD555" s="3166">
        <f t="shared" si="364"/>
        <v>0</v>
      </c>
      <c r="BE555" s="3166">
        <f t="shared" si="365"/>
        <v>0</v>
      </c>
      <c r="BF555" s="3166">
        <f t="shared" si="366"/>
        <v>0</v>
      </c>
      <c r="BG555" s="3166">
        <f t="shared" si="367"/>
        <v>0</v>
      </c>
      <c r="BH555" s="3166">
        <f t="shared" si="368"/>
        <v>0</v>
      </c>
      <c r="BI555" s="3166">
        <f t="shared" si="369"/>
        <v>0</v>
      </c>
      <c r="BJ555" s="3166">
        <f t="shared" si="370"/>
        <v>0</v>
      </c>
      <c r="BK555" s="3166">
        <f t="shared" si="371"/>
        <v>0</v>
      </c>
      <c r="BL555" s="3166">
        <f t="shared" si="372"/>
        <v>0</v>
      </c>
      <c r="BM555" s="3166">
        <f t="shared" si="373"/>
        <v>0</v>
      </c>
      <c r="BN555" s="3166">
        <f t="shared" si="374"/>
        <v>0</v>
      </c>
      <c r="BO555" s="3166">
        <f t="shared" si="375"/>
        <v>0</v>
      </c>
      <c r="BP555" s="3166">
        <f t="shared" si="376"/>
        <v>0</v>
      </c>
      <c r="BQ555" s="3166">
        <f t="shared" si="377"/>
        <v>0</v>
      </c>
      <c r="BR555" s="3166">
        <f t="shared" si="378"/>
        <v>0</v>
      </c>
      <c r="BS555" s="3166">
        <f t="shared" si="379"/>
        <v>0</v>
      </c>
      <c r="BT555" s="3240">
        <f t="shared" si="380"/>
        <v>0</v>
      </c>
    </row>
    <row r="556" spans="1:72">
      <c r="A556" s="3163"/>
      <c r="B556" s="3164"/>
      <c r="C556" s="3164"/>
      <c r="D556" s="3176"/>
      <c r="E556" s="3166">
        <f t="shared" si="352"/>
        <v>0</v>
      </c>
      <c r="F556" s="3167"/>
      <c r="G556" s="3168">
        <f t="shared" si="353"/>
        <v>0</v>
      </c>
      <c r="H556" s="3169">
        <f t="shared" si="354"/>
        <v>0</v>
      </c>
      <c r="I556" s="3187"/>
      <c r="J556" s="3187"/>
      <c r="K556" s="3187"/>
      <c r="L556" s="3187"/>
      <c r="M556" s="3187"/>
      <c r="N556" s="3187"/>
      <c r="O556" s="3187"/>
      <c r="P556" s="3187"/>
      <c r="Q556" s="3187"/>
      <c r="R556" s="3187"/>
      <c r="S556" s="3187"/>
      <c r="T556" s="3187"/>
      <c r="U556" s="3187"/>
      <c r="V556" s="3187"/>
      <c r="W556" s="3187"/>
      <c r="X556" s="3187"/>
      <c r="Y556" s="3187"/>
      <c r="Z556" s="3187"/>
      <c r="AA556" s="3187"/>
      <c r="AB556" s="3187"/>
      <c r="AC556" s="3166">
        <f t="shared" si="355"/>
        <v>0</v>
      </c>
      <c r="AD556" s="3198"/>
      <c r="AE556" s="3198"/>
      <c r="AF556" s="3198"/>
      <c r="AG556" s="3198"/>
      <c r="AH556" s="3198"/>
      <c r="AI556" s="3198"/>
      <c r="AJ556" s="3198"/>
      <c r="AK556" s="3198"/>
      <c r="AL556" s="3198"/>
      <c r="AM556" s="3198"/>
      <c r="AN556" s="3198"/>
      <c r="AO556" s="3198"/>
      <c r="AP556" s="3198"/>
      <c r="AQ556" s="3198"/>
      <c r="AR556" s="3198"/>
      <c r="AS556" s="3198"/>
      <c r="AT556" s="3218"/>
      <c r="AU556" s="3219"/>
      <c r="AV556" s="488">
        <f t="shared" si="356"/>
        <v>0</v>
      </c>
      <c r="AW556" s="488">
        <f t="shared" si="357"/>
        <v>0</v>
      </c>
      <c r="AX556" s="488">
        <f t="shared" si="358"/>
        <v>0</v>
      </c>
      <c r="AY556" s="3235">
        <f t="shared" si="359"/>
        <v>0</v>
      </c>
      <c r="AZ556" s="3166">
        <f t="shared" si="360"/>
        <v>0</v>
      </c>
      <c r="BA556" s="3166">
        <f t="shared" si="361"/>
        <v>0</v>
      </c>
      <c r="BB556" s="3166">
        <f t="shared" si="362"/>
        <v>0</v>
      </c>
      <c r="BC556" s="3166">
        <f t="shared" si="363"/>
        <v>0</v>
      </c>
      <c r="BD556" s="3166">
        <f t="shared" si="364"/>
        <v>0</v>
      </c>
      <c r="BE556" s="3166">
        <f t="shared" si="365"/>
        <v>0</v>
      </c>
      <c r="BF556" s="3166">
        <f t="shared" si="366"/>
        <v>0</v>
      </c>
      <c r="BG556" s="3166">
        <f t="shared" si="367"/>
        <v>0</v>
      </c>
      <c r="BH556" s="3166">
        <f t="shared" si="368"/>
        <v>0</v>
      </c>
      <c r="BI556" s="3166">
        <f t="shared" si="369"/>
        <v>0</v>
      </c>
      <c r="BJ556" s="3166">
        <f t="shared" si="370"/>
        <v>0</v>
      </c>
      <c r="BK556" s="3166">
        <f t="shared" si="371"/>
        <v>0</v>
      </c>
      <c r="BL556" s="3166">
        <f t="shared" si="372"/>
        <v>0</v>
      </c>
      <c r="BM556" s="3166">
        <f t="shared" si="373"/>
        <v>0</v>
      </c>
      <c r="BN556" s="3166">
        <f t="shared" si="374"/>
        <v>0</v>
      </c>
      <c r="BO556" s="3166">
        <f t="shared" si="375"/>
        <v>0</v>
      </c>
      <c r="BP556" s="3166">
        <f t="shared" si="376"/>
        <v>0</v>
      </c>
      <c r="BQ556" s="3166">
        <f t="shared" si="377"/>
        <v>0</v>
      </c>
      <c r="BR556" s="3166">
        <f t="shared" si="378"/>
        <v>0</v>
      </c>
      <c r="BS556" s="3166">
        <f t="shared" si="379"/>
        <v>0</v>
      </c>
      <c r="BT556" s="3240">
        <f t="shared" si="380"/>
        <v>0</v>
      </c>
    </row>
    <row r="557" spans="1:72">
      <c r="A557" s="3163"/>
      <c r="B557" s="3164"/>
      <c r="C557" s="3164"/>
      <c r="D557" s="3176"/>
      <c r="E557" s="3166">
        <f t="shared" si="352"/>
        <v>0</v>
      </c>
      <c r="F557" s="3167"/>
      <c r="G557" s="3168">
        <f t="shared" si="353"/>
        <v>0</v>
      </c>
      <c r="H557" s="3169">
        <f t="shared" si="354"/>
        <v>0</v>
      </c>
      <c r="I557" s="3187"/>
      <c r="J557" s="3187"/>
      <c r="K557" s="3187"/>
      <c r="L557" s="3187"/>
      <c r="M557" s="3187"/>
      <c r="N557" s="3187"/>
      <c r="O557" s="3187"/>
      <c r="P557" s="3187"/>
      <c r="Q557" s="3187"/>
      <c r="R557" s="3187"/>
      <c r="S557" s="3187"/>
      <c r="T557" s="3187"/>
      <c r="U557" s="3187"/>
      <c r="V557" s="3187"/>
      <c r="W557" s="3187"/>
      <c r="X557" s="3187"/>
      <c r="Y557" s="3187"/>
      <c r="Z557" s="3187"/>
      <c r="AA557" s="3187"/>
      <c r="AB557" s="3187"/>
      <c r="AC557" s="3166">
        <f t="shared" si="355"/>
        <v>0</v>
      </c>
      <c r="AD557" s="3198"/>
      <c r="AE557" s="3198"/>
      <c r="AF557" s="3198"/>
      <c r="AG557" s="3198"/>
      <c r="AH557" s="3198"/>
      <c r="AI557" s="3198"/>
      <c r="AJ557" s="3198"/>
      <c r="AK557" s="3198"/>
      <c r="AL557" s="3198"/>
      <c r="AM557" s="3198"/>
      <c r="AN557" s="3198"/>
      <c r="AO557" s="3198"/>
      <c r="AP557" s="3198"/>
      <c r="AQ557" s="3198"/>
      <c r="AR557" s="3198"/>
      <c r="AS557" s="3198"/>
      <c r="AT557" s="3218"/>
      <c r="AU557" s="3219"/>
      <c r="AV557" s="488">
        <f t="shared" si="356"/>
        <v>0</v>
      </c>
      <c r="AW557" s="488">
        <f t="shared" si="357"/>
        <v>0</v>
      </c>
      <c r="AX557" s="488">
        <f t="shared" si="358"/>
        <v>0</v>
      </c>
      <c r="AY557" s="3235">
        <f t="shared" si="359"/>
        <v>0</v>
      </c>
      <c r="AZ557" s="3166">
        <f t="shared" si="360"/>
        <v>0</v>
      </c>
      <c r="BA557" s="3166">
        <f t="shared" si="361"/>
        <v>0</v>
      </c>
      <c r="BB557" s="3166">
        <f t="shared" si="362"/>
        <v>0</v>
      </c>
      <c r="BC557" s="3166">
        <f t="shared" si="363"/>
        <v>0</v>
      </c>
      <c r="BD557" s="3166">
        <f t="shared" si="364"/>
        <v>0</v>
      </c>
      <c r="BE557" s="3166">
        <f t="shared" si="365"/>
        <v>0</v>
      </c>
      <c r="BF557" s="3166">
        <f t="shared" si="366"/>
        <v>0</v>
      </c>
      <c r="BG557" s="3166">
        <f t="shared" si="367"/>
        <v>0</v>
      </c>
      <c r="BH557" s="3166">
        <f t="shared" si="368"/>
        <v>0</v>
      </c>
      <c r="BI557" s="3166">
        <f t="shared" si="369"/>
        <v>0</v>
      </c>
      <c r="BJ557" s="3166">
        <f t="shared" si="370"/>
        <v>0</v>
      </c>
      <c r="BK557" s="3166">
        <f t="shared" si="371"/>
        <v>0</v>
      </c>
      <c r="BL557" s="3166">
        <f t="shared" si="372"/>
        <v>0</v>
      </c>
      <c r="BM557" s="3166">
        <f t="shared" si="373"/>
        <v>0</v>
      </c>
      <c r="BN557" s="3166">
        <f t="shared" si="374"/>
        <v>0</v>
      </c>
      <c r="BO557" s="3166">
        <f t="shared" si="375"/>
        <v>0</v>
      </c>
      <c r="BP557" s="3166">
        <f t="shared" si="376"/>
        <v>0</v>
      </c>
      <c r="BQ557" s="3166">
        <f t="shared" si="377"/>
        <v>0</v>
      </c>
      <c r="BR557" s="3166">
        <f t="shared" si="378"/>
        <v>0</v>
      </c>
      <c r="BS557" s="3166">
        <f t="shared" si="379"/>
        <v>0</v>
      </c>
      <c r="BT557" s="3240">
        <f t="shared" si="380"/>
        <v>0</v>
      </c>
    </row>
    <row r="558" spans="1:72">
      <c r="A558" s="3163"/>
      <c r="B558" s="3164"/>
      <c r="C558" s="3164"/>
      <c r="D558" s="3176"/>
      <c r="E558" s="3166">
        <f t="shared" si="352"/>
        <v>0</v>
      </c>
      <c r="F558" s="3167"/>
      <c r="G558" s="3168">
        <f t="shared" si="353"/>
        <v>0</v>
      </c>
      <c r="H558" s="3169">
        <f t="shared" si="354"/>
        <v>0</v>
      </c>
      <c r="I558" s="3187"/>
      <c r="J558" s="3187"/>
      <c r="K558" s="3187"/>
      <c r="L558" s="3187"/>
      <c r="M558" s="3187"/>
      <c r="N558" s="3187"/>
      <c r="O558" s="3187"/>
      <c r="P558" s="3187"/>
      <c r="Q558" s="3187"/>
      <c r="R558" s="3187"/>
      <c r="S558" s="3187"/>
      <c r="T558" s="3187"/>
      <c r="U558" s="3187"/>
      <c r="V558" s="3187"/>
      <c r="W558" s="3187"/>
      <c r="X558" s="3187"/>
      <c r="Y558" s="3187"/>
      <c r="Z558" s="3187"/>
      <c r="AA558" s="3187"/>
      <c r="AB558" s="3187"/>
      <c r="AC558" s="3166">
        <f t="shared" si="355"/>
        <v>0</v>
      </c>
      <c r="AD558" s="3198"/>
      <c r="AE558" s="3198"/>
      <c r="AF558" s="3198"/>
      <c r="AG558" s="3198"/>
      <c r="AH558" s="3198"/>
      <c r="AI558" s="3198"/>
      <c r="AJ558" s="3198"/>
      <c r="AK558" s="3198"/>
      <c r="AL558" s="3198"/>
      <c r="AM558" s="3198"/>
      <c r="AN558" s="3198"/>
      <c r="AO558" s="3198"/>
      <c r="AP558" s="3198"/>
      <c r="AQ558" s="3198"/>
      <c r="AR558" s="3198"/>
      <c r="AS558" s="3198"/>
      <c r="AT558" s="3218"/>
      <c r="AU558" s="3219"/>
      <c r="AV558" s="488">
        <f t="shared" si="356"/>
        <v>0</v>
      </c>
      <c r="AW558" s="488">
        <f t="shared" si="357"/>
        <v>0</v>
      </c>
      <c r="AX558" s="488">
        <f t="shared" si="358"/>
        <v>0</v>
      </c>
      <c r="AY558" s="3235">
        <f t="shared" si="359"/>
        <v>0</v>
      </c>
      <c r="AZ558" s="3166">
        <f t="shared" si="360"/>
        <v>0</v>
      </c>
      <c r="BA558" s="3166">
        <f t="shared" si="361"/>
        <v>0</v>
      </c>
      <c r="BB558" s="3166">
        <f t="shared" si="362"/>
        <v>0</v>
      </c>
      <c r="BC558" s="3166">
        <f t="shared" si="363"/>
        <v>0</v>
      </c>
      <c r="BD558" s="3166">
        <f t="shared" si="364"/>
        <v>0</v>
      </c>
      <c r="BE558" s="3166">
        <f t="shared" si="365"/>
        <v>0</v>
      </c>
      <c r="BF558" s="3166">
        <f t="shared" si="366"/>
        <v>0</v>
      </c>
      <c r="BG558" s="3166">
        <f t="shared" si="367"/>
        <v>0</v>
      </c>
      <c r="BH558" s="3166">
        <f t="shared" si="368"/>
        <v>0</v>
      </c>
      <c r="BI558" s="3166">
        <f t="shared" si="369"/>
        <v>0</v>
      </c>
      <c r="BJ558" s="3166">
        <f t="shared" si="370"/>
        <v>0</v>
      </c>
      <c r="BK558" s="3166">
        <f t="shared" si="371"/>
        <v>0</v>
      </c>
      <c r="BL558" s="3166">
        <f t="shared" si="372"/>
        <v>0</v>
      </c>
      <c r="BM558" s="3166">
        <f t="shared" si="373"/>
        <v>0</v>
      </c>
      <c r="BN558" s="3166">
        <f t="shared" si="374"/>
        <v>0</v>
      </c>
      <c r="BO558" s="3166">
        <f t="shared" si="375"/>
        <v>0</v>
      </c>
      <c r="BP558" s="3166">
        <f t="shared" si="376"/>
        <v>0</v>
      </c>
      <c r="BQ558" s="3166">
        <f t="shared" si="377"/>
        <v>0</v>
      </c>
      <c r="BR558" s="3166">
        <f t="shared" si="378"/>
        <v>0</v>
      </c>
      <c r="BS558" s="3166">
        <f t="shared" si="379"/>
        <v>0</v>
      </c>
      <c r="BT558" s="3240">
        <f t="shared" si="380"/>
        <v>0</v>
      </c>
    </row>
    <row r="559" spans="1:72">
      <c r="A559" s="3163"/>
      <c r="B559" s="3164"/>
      <c r="C559" s="3164"/>
      <c r="D559" s="3176"/>
      <c r="E559" s="3166">
        <f t="shared" si="352"/>
        <v>0</v>
      </c>
      <c r="F559" s="3167"/>
      <c r="G559" s="3168">
        <f t="shared" si="353"/>
        <v>0</v>
      </c>
      <c r="H559" s="3169">
        <f t="shared" si="354"/>
        <v>0</v>
      </c>
      <c r="I559" s="3187"/>
      <c r="J559" s="3187"/>
      <c r="K559" s="3187"/>
      <c r="L559" s="3187"/>
      <c r="M559" s="3187"/>
      <c r="N559" s="3187"/>
      <c r="O559" s="3187"/>
      <c r="P559" s="3187"/>
      <c r="Q559" s="3187"/>
      <c r="R559" s="3187"/>
      <c r="S559" s="3187"/>
      <c r="T559" s="3187"/>
      <c r="U559" s="3187"/>
      <c r="V559" s="3187"/>
      <c r="W559" s="3187"/>
      <c r="X559" s="3187"/>
      <c r="Y559" s="3187"/>
      <c r="Z559" s="3187"/>
      <c r="AA559" s="3187"/>
      <c r="AB559" s="3187"/>
      <c r="AC559" s="3166">
        <f t="shared" si="355"/>
        <v>0</v>
      </c>
      <c r="AD559" s="3198"/>
      <c r="AE559" s="3198"/>
      <c r="AF559" s="3198"/>
      <c r="AG559" s="3198"/>
      <c r="AH559" s="3198"/>
      <c r="AI559" s="3198"/>
      <c r="AJ559" s="3198"/>
      <c r="AK559" s="3198"/>
      <c r="AL559" s="3198"/>
      <c r="AM559" s="3198"/>
      <c r="AN559" s="3198"/>
      <c r="AO559" s="3198"/>
      <c r="AP559" s="3198"/>
      <c r="AQ559" s="3198"/>
      <c r="AR559" s="3198"/>
      <c r="AS559" s="3198"/>
      <c r="AT559" s="3218"/>
      <c r="AU559" s="3219"/>
      <c r="AV559" s="488">
        <f t="shared" si="356"/>
        <v>0</v>
      </c>
      <c r="AW559" s="488">
        <f t="shared" si="357"/>
        <v>0</v>
      </c>
      <c r="AX559" s="488">
        <f t="shared" si="358"/>
        <v>0</v>
      </c>
      <c r="AY559" s="3235">
        <f t="shared" si="359"/>
        <v>0</v>
      </c>
      <c r="AZ559" s="3166">
        <f t="shared" si="360"/>
        <v>0</v>
      </c>
      <c r="BA559" s="3166">
        <f t="shared" si="361"/>
        <v>0</v>
      </c>
      <c r="BB559" s="3166">
        <f t="shared" si="362"/>
        <v>0</v>
      </c>
      <c r="BC559" s="3166">
        <f t="shared" si="363"/>
        <v>0</v>
      </c>
      <c r="BD559" s="3166">
        <f t="shared" si="364"/>
        <v>0</v>
      </c>
      <c r="BE559" s="3166">
        <f t="shared" si="365"/>
        <v>0</v>
      </c>
      <c r="BF559" s="3166">
        <f t="shared" si="366"/>
        <v>0</v>
      </c>
      <c r="BG559" s="3166">
        <f t="shared" si="367"/>
        <v>0</v>
      </c>
      <c r="BH559" s="3166">
        <f t="shared" si="368"/>
        <v>0</v>
      </c>
      <c r="BI559" s="3166">
        <f t="shared" si="369"/>
        <v>0</v>
      </c>
      <c r="BJ559" s="3166">
        <f t="shared" si="370"/>
        <v>0</v>
      </c>
      <c r="BK559" s="3166">
        <f t="shared" si="371"/>
        <v>0</v>
      </c>
      <c r="BL559" s="3166">
        <f t="shared" si="372"/>
        <v>0</v>
      </c>
      <c r="BM559" s="3166">
        <f t="shared" si="373"/>
        <v>0</v>
      </c>
      <c r="BN559" s="3166">
        <f t="shared" si="374"/>
        <v>0</v>
      </c>
      <c r="BO559" s="3166">
        <f t="shared" si="375"/>
        <v>0</v>
      </c>
      <c r="BP559" s="3166">
        <f t="shared" si="376"/>
        <v>0</v>
      </c>
      <c r="BQ559" s="3166">
        <f t="shared" si="377"/>
        <v>0</v>
      </c>
      <c r="BR559" s="3166">
        <f t="shared" si="378"/>
        <v>0</v>
      </c>
      <c r="BS559" s="3166">
        <f t="shared" si="379"/>
        <v>0</v>
      </c>
      <c r="BT559" s="3240">
        <f t="shared" si="380"/>
        <v>0</v>
      </c>
    </row>
    <row r="560" spans="1:72">
      <c r="A560" s="3163"/>
      <c r="B560" s="3164"/>
      <c r="C560" s="3164"/>
      <c r="D560" s="3176"/>
      <c r="E560" s="3166">
        <f t="shared" si="352"/>
        <v>0</v>
      </c>
      <c r="F560" s="3167"/>
      <c r="G560" s="3168">
        <f t="shared" si="353"/>
        <v>0</v>
      </c>
      <c r="H560" s="3169">
        <f t="shared" si="354"/>
        <v>0</v>
      </c>
      <c r="I560" s="3187"/>
      <c r="J560" s="3187"/>
      <c r="K560" s="3187"/>
      <c r="L560" s="3187"/>
      <c r="M560" s="3187"/>
      <c r="N560" s="3187"/>
      <c r="O560" s="3187"/>
      <c r="P560" s="3187"/>
      <c r="Q560" s="3187"/>
      <c r="R560" s="3187"/>
      <c r="S560" s="3187"/>
      <c r="T560" s="3187"/>
      <c r="U560" s="3187"/>
      <c r="V560" s="3187"/>
      <c r="W560" s="3187"/>
      <c r="X560" s="3187"/>
      <c r="Y560" s="3187"/>
      <c r="Z560" s="3187"/>
      <c r="AA560" s="3187"/>
      <c r="AB560" s="3187"/>
      <c r="AC560" s="3166">
        <f t="shared" si="355"/>
        <v>0</v>
      </c>
      <c r="AD560" s="3198"/>
      <c r="AE560" s="3198"/>
      <c r="AF560" s="3198"/>
      <c r="AG560" s="3198"/>
      <c r="AH560" s="3198"/>
      <c r="AI560" s="3198"/>
      <c r="AJ560" s="3198"/>
      <c r="AK560" s="3198"/>
      <c r="AL560" s="3198"/>
      <c r="AM560" s="3198"/>
      <c r="AN560" s="3198"/>
      <c r="AO560" s="3198"/>
      <c r="AP560" s="3198"/>
      <c r="AQ560" s="3198"/>
      <c r="AR560" s="3198"/>
      <c r="AS560" s="3198"/>
      <c r="AT560" s="3218"/>
      <c r="AU560" s="3219"/>
      <c r="AV560" s="488">
        <f t="shared" si="356"/>
        <v>0</v>
      </c>
      <c r="AW560" s="488">
        <f t="shared" si="357"/>
        <v>0</v>
      </c>
      <c r="AX560" s="488">
        <f t="shared" si="358"/>
        <v>0</v>
      </c>
      <c r="AY560" s="3235">
        <f t="shared" si="359"/>
        <v>0</v>
      </c>
      <c r="AZ560" s="3166">
        <f t="shared" si="360"/>
        <v>0</v>
      </c>
      <c r="BA560" s="3166">
        <f t="shared" si="361"/>
        <v>0</v>
      </c>
      <c r="BB560" s="3166">
        <f t="shared" si="362"/>
        <v>0</v>
      </c>
      <c r="BC560" s="3166">
        <f t="shared" si="363"/>
        <v>0</v>
      </c>
      <c r="BD560" s="3166">
        <f t="shared" si="364"/>
        <v>0</v>
      </c>
      <c r="BE560" s="3166">
        <f t="shared" si="365"/>
        <v>0</v>
      </c>
      <c r="BF560" s="3166">
        <f t="shared" si="366"/>
        <v>0</v>
      </c>
      <c r="BG560" s="3166">
        <f t="shared" si="367"/>
        <v>0</v>
      </c>
      <c r="BH560" s="3166">
        <f t="shared" si="368"/>
        <v>0</v>
      </c>
      <c r="BI560" s="3166">
        <f t="shared" si="369"/>
        <v>0</v>
      </c>
      <c r="BJ560" s="3166">
        <f t="shared" si="370"/>
        <v>0</v>
      </c>
      <c r="BK560" s="3166">
        <f t="shared" si="371"/>
        <v>0</v>
      </c>
      <c r="BL560" s="3166">
        <f t="shared" si="372"/>
        <v>0</v>
      </c>
      <c r="BM560" s="3166">
        <f t="shared" si="373"/>
        <v>0</v>
      </c>
      <c r="BN560" s="3166">
        <f t="shared" si="374"/>
        <v>0</v>
      </c>
      <c r="BO560" s="3166">
        <f t="shared" si="375"/>
        <v>0</v>
      </c>
      <c r="BP560" s="3166">
        <f t="shared" si="376"/>
        <v>0</v>
      </c>
      <c r="BQ560" s="3166">
        <f t="shared" si="377"/>
        <v>0</v>
      </c>
      <c r="BR560" s="3166">
        <f t="shared" si="378"/>
        <v>0</v>
      </c>
      <c r="BS560" s="3166">
        <f t="shared" si="379"/>
        <v>0</v>
      </c>
      <c r="BT560" s="3240">
        <f t="shared" si="380"/>
        <v>0</v>
      </c>
    </row>
    <row r="561" spans="1:72">
      <c r="A561" s="3163"/>
      <c r="B561" s="3164"/>
      <c r="C561" s="3164"/>
      <c r="D561" s="3176"/>
      <c r="E561" s="3166">
        <f t="shared" si="352"/>
        <v>0</v>
      </c>
      <c r="F561" s="3167"/>
      <c r="G561" s="3168">
        <f t="shared" si="353"/>
        <v>0</v>
      </c>
      <c r="H561" s="3169">
        <f t="shared" si="354"/>
        <v>0</v>
      </c>
      <c r="I561" s="3187"/>
      <c r="J561" s="3187"/>
      <c r="K561" s="3187"/>
      <c r="L561" s="3187"/>
      <c r="M561" s="3187"/>
      <c r="N561" s="3187"/>
      <c r="O561" s="3187"/>
      <c r="P561" s="3187"/>
      <c r="Q561" s="3187"/>
      <c r="R561" s="3187"/>
      <c r="S561" s="3187"/>
      <c r="T561" s="3187"/>
      <c r="U561" s="3187"/>
      <c r="V561" s="3187"/>
      <c r="W561" s="3187"/>
      <c r="X561" s="3187"/>
      <c r="Y561" s="3187"/>
      <c r="Z561" s="3187"/>
      <c r="AA561" s="3187"/>
      <c r="AB561" s="3187"/>
      <c r="AC561" s="3166">
        <f t="shared" si="355"/>
        <v>0</v>
      </c>
      <c r="AD561" s="3198"/>
      <c r="AE561" s="3198"/>
      <c r="AF561" s="3198"/>
      <c r="AG561" s="3198"/>
      <c r="AH561" s="3198"/>
      <c r="AI561" s="3198"/>
      <c r="AJ561" s="3198"/>
      <c r="AK561" s="3198"/>
      <c r="AL561" s="3198"/>
      <c r="AM561" s="3198"/>
      <c r="AN561" s="3198"/>
      <c r="AO561" s="3198"/>
      <c r="AP561" s="3198"/>
      <c r="AQ561" s="3198"/>
      <c r="AR561" s="3198"/>
      <c r="AS561" s="3198"/>
      <c r="AT561" s="3218"/>
      <c r="AU561" s="3219"/>
      <c r="AV561" s="488">
        <f t="shared" si="356"/>
        <v>0</v>
      </c>
      <c r="AW561" s="488">
        <f t="shared" si="357"/>
        <v>0</v>
      </c>
      <c r="AX561" s="488">
        <f t="shared" si="358"/>
        <v>0</v>
      </c>
      <c r="AY561" s="3235">
        <f t="shared" si="359"/>
        <v>0</v>
      </c>
      <c r="AZ561" s="3166">
        <f t="shared" si="360"/>
        <v>0</v>
      </c>
      <c r="BA561" s="3166">
        <f t="shared" si="361"/>
        <v>0</v>
      </c>
      <c r="BB561" s="3166">
        <f t="shared" si="362"/>
        <v>0</v>
      </c>
      <c r="BC561" s="3166">
        <f t="shared" si="363"/>
        <v>0</v>
      </c>
      <c r="BD561" s="3166">
        <f t="shared" si="364"/>
        <v>0</v>
      </c>
      <c r="BE561" s="3166">
        <f t="shared" si="365"/>
        <v>0</v>
      </c>
      <c r="BF561" s="3166">
        <f t="shared" si="366"/>
        <v>0</v>
      </c>
      <c r="BG561" s="3166">
        <f t="shared" si="367"/>
        <v>0</v>
      </c>
      <c r="BH561" s="3166">
        <f t="shared" si="368"/>
        <v>0</v>
      </c>
      <c r="BI561" s="3166">
        <f t="shared" si="369"/>
        <v>0</v>
      </c>
      <c r="BJ561" s="3166">
        <f t="shared" si="370"/>
        <v>0</v>
      </c>
      <c r="BK561" s="3166">
        <f t="shared" si="371"/>
        <v>0</v>
      </c>
      <c r="BL561" s="3166">
        <f t="shared" si="372"/>
        <v>0</v>
      </c>
      <c r="BM561" s="3166">
        <f t="shared" si="373"/>
        <v>0</v>
      </c>
      <c r="BN561" s="3166">
        <f t="shared" si="374"/>
        <v>0</v>
      </c>
      <c r="BO561" s="3166">
        <f t="shared" si="375"/>
        <v>0</v>
      </c>
      <c r="BP561" s="3166">
        <f t="shared" si="376"/>
        <v>0</v>
      </c>
      <c r="BQ561" s="3166">
        <f t="shared" si="377"/>
        <v>0</v>
      </c>
      <c r="BR561" s="3166">
        <f t="shared" si="378"/>
        <v>0</v>
      </c>
      <c r="BS561" s="3166">
        <f t="shared" si="379"/>
        <v>0</v>
      </c>
      <c r="BT561" s="3240">
        <f t="shared" si="380"/>
        <v>0</v>
      </c>
    </row>
    <row r="562" spans="1:72">
      <c r="A562" s="3163"/>
      <c r="B562" s="3164"/>
      <c r="C562" s="3164"/>
      <c r="D562" s="3176"/>
      <c r="E562" s="3166">
        <f t="shared" si="352"/>
        <v>0</v>
      </c>
      <c r="F562" s="3167"/>
      <c r="G562" s="3168">
        <f t="shared" si="353"/>
        <v>0</v>
      </c>
      <c r="H562" s="3169">
        <f t="shared" si="354"/>
        <v>0</v>
      </c>
      <c r="I562" s="3187"/>
      <c r="J562" s="3187"/>
      <c r="K562" s="3187"/>
      <c r="L562" s="3187"/>
      <c r="M562" s="3187"/>
      <c r="N562" s="3187"/>
      <c r="O562" s="3187"/>
      <c r="P562" s="3187"/>
      <c r="Q562" s="3187"/>
      <c r="R562" s="3187"/>
      <c r="S562" s="3187"/>
      <c r="T562" s="3187"/>
      <c r="U562" s="3187"/>
      <c r="V562" s="3187"/>
      <c r="W562" s="3187"/>
      <c r="X562" s="3187"/>
      <c r="Y562" s="3187"/>
      <c r="Z562" s="3187"/>
      <c r="AA562" s="3187"/>
      <c r="AB562" s="3187"/>
      <c r="AC562" s="3166">
        <f t="shared" si="355"/>
        <v>0</v>
      </c>
      <c r="AD562" s="3198"/>
      <c r="AE562" s="3198"/>
      <c r="AF562" s="3198"/>
      <c r="AG562" s="3198"/>
      <c r="AH562" s="3198"/>
      <c r="AI562" s="3198"/>
      <c r="AJ562" s="3198"/>
      <c r="AK562" s="3198"/>
      <c r="AL562" s="3198"/>
      <c r="AM562" s="3198"/>
      <c r="AN562" s="3198"/>
      <c r="AO562" s="3198"/>
      <c r="AP562" s="3198"/>
      <c r="AQ562" s="3198"/>
      <c r="AR562" s="3198"/>
      <c r="AS562" s="3198"/>
      <c r="AT562" s="3218"/>
      <c r="AU562" s="3219"/>
      <c r="AV562" s="488">
        <f t="shared" si="356"/>
        <v>0</v>
      </c>
      <c r="AW562" s="488">
        <f t="shared" si="357"/>
        <v>0</v>
      </c>
      <c r="AX562" s="488">
        <f t="shared" si="358"/>
        <v>0</v>
      </c>
      <c r="AY562" s="3235">
        <f t="shared" si="359"/>
        <v>0</v>
      </c>
      <c r="AZ562" s="3166">
        <f t="shared" si="360"/>
        <v>0</v>
      </c>
      <c r="BA562" s="3166">
        <f t="shared" si="361"/>
        <v>0</v>
      </c>
      <c r="BB562" s="3166">
        <f t="shared" si="362"/>
        <v>0</v>
      </c>
      <c r="BC562" s="3166">
        <f t="shared" si="363"/>
        <v>0</v>
      </c>
      <c r="BD562" s="3166">
        <f t="shared" si="364"/>
        <v>0</v>
      </c>
      <c r="BE562" s="3166">
        <f t="shared" si="365"/>
        <v>0</v>
      </c>
      <c r="BF562" s="3166">
        <f t="shared" si="366"/>
        <v>0</v>
      </c>
      <c r="BG562" s="3166">
        <f t="shared" si="367"/>
        <v>0</v>
      </c>
      <c r="BH562" s="3166">
        <f t="shared" si="368"/>
        <v>0</v>
      </c>
      <c r="BI562" s="3166">
        <f t="shared" si="369"/>
        <v>0</v>
      </c>
      <c r="BJ562" s="3166">
        <f t="shared" si="370"/>
        <v>0</v>
      </c>
      <c r="BK562" s="3166">
        <f t="shared" si="371"/>
        <v>0</v>
      </c>
      <c r="BL562" s="3166">
        <f t="shared" si="372"/>
        <v>0</v>
      </c>
      <c r="BM562" s="3166">
        <f t="shared" si="373"/>
        <v>0</v>
      </c>
      <c r="BN562" s="3166">
        <f t="shared" si="374"/>
        <v>0</v>
      </c>
      <c r="BO562" s="3166">
        <f t="shared" si="375"/>
        <v>0</v>
      </c>
      <c r="BP562" s="3166">
        <f t="shared" si="376"/>
        <v>0</v>
      </c>
      <c r="BQ562" s="3166">
        <f t="shared" si="377"/>
        <v>0</v>
      </c>
      <c r="BR562" s="3166">
        <f t="shared" si="378"/>
        <v>0</v>
      </c>
      <c r="BS562" s="3166">
        <f t="shared" si="379"/>
        <v>0</v>
      </c>
      <c r="BT562" s="3240">
        <f t="shared" si="380"/>
        <v>0</v>
      </c>
    </row>
    <row r="563" spans="1:72">
      <c r="A563" s="3163"/>
      <c r="B563" s="3164"/>
      <c r="C563" s="3164"/>
      <c r="D563" s="3176"/>
      <c r="E563" s="3166">
        <f t="shared" si="352"/>
        <v>0</v>
      </c>
      <c r="F563" s="3167"/>
      <c r="G563" s="3168">
        <f t="shared" si="353"/>
        <v>0</v>
      </c>
      <c r="H563" s="3169">
        <f t="shared" si="354"/>
        <v>0</v>
      </c>
      <c r="I563" s="3187"/>
      <c r="J563" s="3187"/>
      <c r="K563" s="3187"/>
      <c r="L563" s="3187"/>
      <c r="M563" s="3187"/>
      <c r="N563" s="3187"/>
      <c r="O563" s="3187"/>
      <c r="P563" s="3187"/>
      <c r="Q563" s="3187"/>
      <c r="R563" s="3187"/>
      <c r="S563" s="3187"/>
      <c r="T563" s="3187"/>
      <c r="U563" s="3187"/>
      <c r="V563" s="3187"/>
      <c r="W563" s="3187"/>
      <c r="X563" s="3187"/>
      <c r="Y563" s="3187"/>
      <c r="Z563" s="3187"/>
      <c r="AA563" s="3187"/>
      <c r="AB563" s="3187"/>
      <c r="AC563" s="3166">
        <f t="shared" si="355"/>
        <v>0</v>
      </c>
      <c r="AD563" s="3198"/>
      <c r="AE563" s="3198"/>
      <c r="AF563" s="3198"/>
      <c r="AG563" s="3198"/>
      <c r="AH563" s="3198"/>
      <c r="AI563" s="3198"/>
      <c r="AJ563" s="3198"/>
      <c r="AK563" s="3198"/>
      <c r="AL563" s="3198"/>
      <c r="AM563" s="3198"/>
      <c r="AN563" s="3198"/>
      <c r="AO563" s="3198"/>
      <c r="AP563" s="3198"/>
      <c r="AQ563" s="3198"/>
      <c r="AR563" s="3198"/>
      <c r="AS563" s="3198"/>
      <c r="AT563" s="3218"/>
      <c r="AU563" s="3219"/>
      <c r="AV563" s="488">
        <f t="shared" si="356"/>
        <v>0</v>
      </c>
      <c r="AW563" s="488">
        <f t="shared" si="357"/>
        <v>0</v>
      </c>
      <c r="AX563" s="488">
        <f t="shared" si="358"/>
        <v>0</v>
      </c>
      <c r="AY563" s="3235">
        <f t="shared" si="359"/>
        <v>0</v>
      </c>
      <c r="AZ563" s="3166">
        <f t="shared" si="360"/>
        <v>0</v>
      </c>
      <c r="BA563" s="3166">
        <f t="shared" si="361"/>
        <v>0</v>
      </c>
      <c r="BB563" s="3166">
        <f t="shared" si="362"/>
        <v>0</v>
      </c>
      <c r="BC563" s="3166">
        <f t="shared" si="363"/>
        <v>0</v>
      </c>
      <c r="BD563" s="3166">
        <f t="shared" si="364"/>
        <v>0</v>
      </c>
      <c r="BE563" s="3166">
        <f t="shared" si="365"/>
        <v>0</v>
      </c>
      <c r="BF563" s="3166">
        <f t="shared" si="366"/>
        <v>0</v>
      </c>
      <c r="BG563" s="3166">
        <f t="shared" si="367"/>
        <v>0</v>
      </c>
      <c r="BH563" s="3166">
        <f t="shared" si="368"/>
        <v>0</v>
      </c>
      <c r="BI563" s="3166">
        <f t="shared" si="369"/>
        <v>0</v>
      </c>
      <c r="BJ563" s="3166">
        <f t="shared" si="370"/>
        <v>0</v>
      </c>
      <c r="BK563" s="3166">
        <f t="shared" si="371"/>
        <v>0</v>
      </c>
      <c r="BL563" s="3166">
        <f t="shared" si="372"/>
        <v>0</v>
      </c>
      <c r="BM563" s="3166">
        <f t="shared" si="373"/>
        <v>0</v>
      </c>
      <c r="BN563" s="3166">
        <f t="shared" si="374"/>
        <v>0</v>
      </c>
      <c r="BO563" s="3166">
        <f t="shared" si="375"/>
        <v>0</v>
      </c>
      <c r="BP563" s="3166">
        <f t="shared" si="376"/>
        <v>0</v>
      </c>
      <c r="BQ563" s="3166">
        <f t="shared" si="377"/>
        <v>0</v>
      </c>
      <c r="BR563" s="3166">
        <f t="shared" si="378"/>
        <v>0</v>
      </c>
      <c r="BS563" s="3166">
        <f t="shared" si="379"/>
        <v>0</v>
      </c>
      <c r="BT563" s="3240">
        <f t="shared" si="380"/>
        <v>0</v>
      </c>
    </row>
    <row r="564" spans="1:72">
      <c r="A564" s="3163"/>
      <c r="B564" s="3164"/>
      <c r="C564" s="3164"/>
      <c r="D564" s="3176"/>
      <c r="E564" s="3166">
        <f t="shared" si="352"/>
        <v>0</v>
      </c>
      <c r="F564" s="3167"/>
      <c r="G564" s="3168">
        <f t="shared" si="353"/>
        <v>0</v>
      </c>
      <c r="H564" s="3169">
        <f t="shared" si="354"/>
        <v>0</v>
      </c>
      <c r="I564" s="3187"/>
      <c r="J564" s="3187"/>
      <c r="K564" s="3187"/>
      <c r="L564" s="3187"/>
      <c r="M564" s="3187"/>
      <c r="N564" s="3187"/>
      <c r="O564" s="3187"/>
      <c r="P564" s="3187"/>
      <c r="Q564" s="3187"/>
      <c r="R564" s="3187"/>
      <c r="S564" s="3187"/>
      <c r="T564" s="3187"/>
      <c r="U564" s="3187"/>
      <c r="V564" s="3187"/>
      <c r="W564" s="3187"/>
      <c r="X564" s="3187"/>
      <c r="Y564" s="3187"/>
      <c r="Z564" s="3187"/>
      <c r="AA564" s="3187"/>
      <c r="AB564" s="3187"/>
      <c r="AC564" s="3166">
        <f t="shared" si="355"/>
        <v>0</v>
      </c>
      <c r="AD564" s="3198"/>
      <c r="AE564" s="3198"/>
      <c r="AF564" s="3198"/>
      <c r="AG564" s="3198"/>
      <c r="AH564" s="3198"/>
      <c r="AI564" s="3198"/>
      <c r="AJ564" s="3198"/>
      <c r="AK564" s="3198"/>
      <c r="AL564" s="3198"/>
      <c r="AM564" s="3198"/>
      <c r="AN564" s="3198"/>
      <c r="AO564" s="3198"/>
      <c r="AP564" s="3198"/>
      <c r="AQ564" s="3198"/>
      <c r="AR564" s="3198"/>
      <c r="AS564" s="3198"/>
      <c r="AT564" s="3218"/>
      <c r="AU564" s="3219"/>
      <c r="AV564" s="488">
        <f t="shared" si="356"/>
        <v>0</v>
      </c>
      <c r="AW564" s="488">
        <f t="shared" si="357"/>
        <v>0</v>
      </c>
      <c r="AX564" s="488">
        <f t="shared" si="358"/>
        <v>0</v>
      </c>
      <c r="AY564" s="3235">
        <f t="shared" si="359"/>
        <v>0</v>
      </c>
      <c r="AZ564" s="3166">
        <f t="shared" si="360"/>
        <v>0</v>
      </c>
      <c r="BA564" s="3166">
        <f t="shared" si="361"/>
        <v>0</v>
      </c>
      <c r="BB564" s="3166">
        <f t="shared" si="362"/>
        <v>0</v>
      </c>
      <c r="BC564" s="3166">
        <f t="shared" si="363"/>
        <v>0</v>
      </c>
      <c r="BD564" s="3166">
        <f t="shared" si="364"/>
        <v>0</v>
      </c>
      <c r="BE564" s="3166">
        <f t="shared" si="365"/>
        <v>0</v>
      </c>
      <c r="BF564" s="3166">
        <f t="shared" si="366"/>
        <v>0</v>
      </c>
      <c r="BG564" s="3166">
        <f t="shared" si="367"/>
        <v>0</v>
      </c>
      <c r="BH564" s="3166">
        <f t="shared" si="368"/>
        <v>0</v>
      </c>
      <c r="BI564" s="3166">
        <f t="shared" si="369"/>
        <v>0</v>
      </c>
      <c r="BJ564" s="3166">
        <f t="shared" si="370"/>
        <v>0</v>
      </c>
      <c r="BK564" s="3166">
        <f t="shared" si="371"/>
        <v>0</v>
      </c>
      <c r="BL564" s="3166">
        <f t="shared" si="372"/>
        <v>0</v>
      </c>
      <c r="BM564" s="3166">
        <f t="shared" si="373"/>
        <v>0</v>
      </c>
      <c r="BN564" s="3166">
        <f t="shared" si="374"/>
        <v>0</v>
      </c>
      <c r="BO564" s="3166">
        <f t="shared" si="375"/>
        <v>0</v>
      </c>
      <c r="BP564" s="3166">
        <f t="shared" si="376"/>
        <v>0</v>
      </c>
      <c r="BQ564" s="3166">
        <f t="shared" si="377"/>
        <v>0</v>
      </c>
      <c r="BR564" s="3166">
        <f t="shared" si="378"/>
        <v>0</v>
      </c>
      <c r="BS564" s="3166">
        <f t="shared" si="379"/>
        <v>0</v>
      </c>
      <c r="BT564" s="3240">
        <f t="shared" si="380"/>
        <v>0</v>
      </c>
    </row>
    <row r="565" spans="1:72">
      <c r="A565" s="3163"/>
      <c r="B565" s="3164"/>
      <c r="C565" s="3164"/>
      <c r="D565" s="3176"/>
      <c r="E565" s="3166">
        <f t="shared" si="352"/>
        <v>0</v>
      </c>
      <c r="F565" s="3167"/>
      <c r="G565" s="3168">
        <f t="shared" si="353"/>
        <v>0</v>
      </c>
      <c r="H565" s="3169">
        <f t="shared" si="354"/>
        <v>0</v>
      </c>
      <c r="I565" s="3187"/>
      <c r="J565" s="3187"/>
      <c r="K565" s="3187"/>
      <c r="L565" s="3187"/>
      <c r="M565" s="3187"/>
      <c r="N565" s="3187"/>
      <c r="O565" s="3187"/>
      <c r="P565" s="3187"/>
      <c r="Q565" s="3187"/>
      <c r="R565" s="3187"/>
      <c r="S565" s="3187"/>
      <c r="T565" s="3187"/>
      <c r="U565" s="3187"/>
      <c r="V565" s="3187"/>
      <c r="W565" s="3187"/>
      <c r="X565" s="3187"/>
      <c r="Y565" s="3187"/>
      <c r="Z565" s="3187"/>
      <c r="AA565" s="3187"/>
      <c r="AB565" s="3187"/>
      <c r="AC565" s="3166">
        <f t="shared" si="355"/>
        <v>0</v>
      </c>
      <c r="AD565" s="3198"/>
      <c r="AE565" s="3198"/>
      <c r="AF565" s="3198"/>
      <c r="AG565" s="3198"/>
      <c r="AH565" s="3198"/>
      <c r="AI565" s="3198"/>
      <c r="AJ565" s="3198"/>
      <c r="AK565" s="3198"/>
      <c r="AL565" s="3198"/>
      <c r="AM565" s="3198"/>
      <c r="AN565" s="3198"/>
      <c r="AO565" s="3198"/>
      <c r="AP565" s="3198"/>
      <c r="AQ565" s="3198"/>
      <c r="AR565" s="3198"/>
      <c r="AS565" s="3198"/>
      <c r="AT565" s="3218"/>
      <c r="AU565" s="3219"/>
      <c r="AV565" s="488">
        <f t="shared" si="356"/>
        <v>0</v>
      </c>
      <c r="AW565" s="488">
        <f t="shared" si="357"/>
        <v>0</v>
      </c>
      <c r="AX565" s="488">
        <f t="shared" si="358"/>
        <v>0</v>
      </c>
      <c r="AY565" s="3235">
        <f t="shared" si="359"/>
        <v>0</v>
      </c>
      <c r="AZ565" s="3166">
        <f t="shared" si="360"/>
        <v>0</v>
      </c>
      <c r="BA565" s="3166">
        <f t="shared" si="361"/>
        <v>0</v>
      </c>
      <c r="BB565" s="3166">
        <f t="shared" si="362"/>
        <v>0</v>
      </c>
      <c r="BC565" s="3166">
        <f t="shared" si="363"/>
        <v>0</v>
      </c>
      <c r="BD565" s="3166">
        <f t="shared" si="364"/>
        <v>0</v>
      </c>
      <c r="BE565" s="3166">
        <f t="shared" si="365"/>
        <v>0</v>
      </c>
      <c r="BF565" s="3166">
        <f t="shared" si="366"/>
        <v>0</v>
      </c>
      <c r="BG565" s="3166">
        <f t="shared" si="367"/>
        <v>0</v>
      </c>
      <c r="BH565" s="3166">
        <f t="shared" si="368"/>
        <v>0</v>
      </c>
      <c r="BI565" s="3166">
        <f t="shared" si="369"/>
        <v>0</v>
      </c>
      <c r="BJ565" s="3166">
        <f t="shared" si="370"/>
        <v>0</v>
      </c>
      <c r="BK565" s="3166">
        <f t="shared" si="371"/>
        <v>0</v>
      </c>
      <c r="BL565" s="3166">
        <f t="shared" si="372"/>
        <v>0</v>
      </c>
      <c r="BM565" s="3166">
        <f t="shared" si="373"/>
        <v>0</v>
      </c>
      <c r="BN565" s="3166">
        <f t="shared" si="374"/>
        <v>0</v>
      </c>
      <c r="BO565" s="3166">
        <f t="shared" si="375"/>
        <v>0</v>
      </c>
      <c r="BP565" s="3166">
        <f t="shared" si="376"/>
        <v>0</v>
      </c>
      <c r="BQ565" s="3166">
        <f t="shared" si="377"/>
        <v>0</v>
      </c>
      <c r="BR565" s="3166">
        <f t="shared" si="378"/>
        <v>0</v>
      </c>
      <c r="BS565" s="3166">
        <f t="shared" si="379"/>
        <v>0</v>
      </c>
      <c r="BT565" s="3240">
        <f t="shared" si="380"/>
        <v>0</v>
      </c>
    </row>
    <row r="566" spans="1:72">
      <c r="A566" s="3163"/>
      <c r="B566" s="3164"/>
      <c r="C566" s="3164"/>
      <c r="D566" s="3176"/>
      <c r="E566" s="3166">
        <f t="shared" si="352"/>
        <v>0</v>
      </c>
      <c r="F566" s="3167"/>
      <c r="G566" s="3168">
        <f t="shared" si="353"/>
        <v>0</v>
      </c>
      <c r="H566" s="3169">
        <f t="shared" si="354"/>
        <v>0</v>
      </c>
      <c r="I566" s="3187"/>
      <c r="J566" s="3187"/>
      <c r="K566" s="3187"/>
      <c r="L566" s="3187"/>
      <c r="M566" s="3187"/>
      <c r="N566" s="3187"/>
      <c r="O566" s="3187"/>
      <c r="P566" s="3187"/>
      <c r="Q566" s="3187"/>
      <c r="R566" s="3187"/>
      <c r="S566" s="3187"/>
      <c r="T566" s="3187"/>
      <c r="U566" s="3187"/>
      <c r="V566" s="3187"/>
      <c r="W566" s="3187"/>
      <c r="X566" s="3187"/>
      <c r="Y566" s="3187"/>
      <c r="Z566" s="3187"/>
      <c r="AA566" s="3187"/>
      <c r="AB566" s="3187"/>
      <c r="AC566" s="3166">
        <f t="shared" si="355"/>
        <v>0</v>
      </c>
      <c r="AD566" s="3198"/>
      <c r="AE566" s="3198"/>
      <c r="AF566" s="3198"/>
      <c r="AG566" s="3198"/>
      <c r="AH566" s="3198"/>
      <c r="AI566" s="3198"/>
      <c r="AJ566" s="3198"/>
      <c r="AK566" s="3198"/>
      <c r="AL566" s="3198"/>
      <c r="AM566" s="3198"/>
      <c r="AN566" s="3198"/>
      <c r="AO566" s="3198"/>
      <c r="AP566" s="3198"/>
      <c r="AQ566" s="3198"/>
      <c r="AR566" s="3198"/>
      <c r="AS566" s="3198"/>
      <c r="AT566" s="3218"/>
      <c r="AU566" s="3219"/>
      <c r="AV566" s="488">
        <f t="shared" si="356"/>
        <v>0</v>
      </c>
      <c r="AW566" s="488">
        <f t="shared" si="357"/>
        <v>0</v>
      </c>
      <c r="AX566" s="488">
        <f t="shared" si="358"/>
        <v>0</v>
      </c>
      <c r="AY566" s="3235">
        <f t="shared" si="359"/>
        <v>0</v>
      </c>
      <c r="AZ566" s="3166">
        <f t="shared" si="360"/>
        <v>0</v>
      </c>
      <c r="BA566" s="3166">
        <f t="shared" si="361"/>
        <v>0</v>
      </c>
      <c r="BB566" s="3166">
        <f t="shared" si="362"/>
        <v>0</v>
      </c>
      <c r="BC566" s="3166">
        <f t="shared" si="363"/>
        <v>0</v>
      </c>
      <c r="BD566" s="3166">
        <f t="shared" si="364"/>
        <v>0</v>
      </c>
      <c r="BE566" s="3166">
        <f t="shared" si="365"/>
        <v>0</v>
      </c>
      <c r="BF566" s="3166">
        <f t="shared" si="366"/>
        <v>0</v>
      </c>
      <c r="BG566" s="3166">
        <f t="shared" si="367"/>
        <v>0</v>
      </c>
      <c r="BH566" s="3166">
        <f t="shared" si="368"/>
        <v>0</v>
      </c>
      <c r="BI566" s="3166">
        <f t="shared" si="369"/>
        <v>0</v>
      </c>
      <c r="BJ566" s="3166">
        <f t="shared" si="370"/>
        <v>0</v>
      </c>
      <c r="BK566" s="3166">
        <f t="shared" si="371"/>
        <v>0</v>
      </c>
      <c r="BL566" s="3166">
        <f t="shared" si="372"/>
        <v>0</v>
      </c>
      <c r="BM566" s="3166">
        <f t="shared" si="373"/>
        <v>0</v>
      </c>
      <c r="BN566" s="3166">
        <f t="shared" si="374"/>
        <v>0</v>
      </c>
      <c r="BO566" s="3166">
        <f t="shared" si="375"/>
        <v>0</v>
      </c>
      <c r="BP566" s="3166">
        <f t="shared" si="376"/>
        <v>0</v>
      </c>
      <c r="BQ566" s="3166">
        <f t="shared" si="377"/>
        <v>0</v>
      </c>
      <c r="BR566" s="3166">
        <f t="shared" si="378"/>
        <v>0</v>
      </c>
      <c r="BS566" s="3166">
        <f t="shared" si="379"/>
        <v>0</v>
      </c>
      <c r="BT566" s="3240">
        <f t="shared" si="380"/>
        <v>0</v>
      </c>
    </row>
    <row r="567" spans="1:72">
      <c r="A567" s="3163"/>
      <c r="B567" s="3164"/>
      <c r="C567" s="3164"/>
      <c r="D567" s="3176"/>
      <c r="E567" s="3166">
        <f t="shared" si="352"/>
        <v>0</v>
      </c>
      <c r="F567" s="3167"/>
      <c r="G567" s="3168">
        <f t="shared" si="353"/>
        <v>0</v>
      </c>
      <c r="H567" s="3169">
        <f t="shared" si="354"/>
        <v>0</v>
      </c>
      <c r="I567" s="3187"/>
      <c r="J567" s="3187"/>
      <c r="K567" s="3187"/>
      <c r="L567" s="3187"/>
      <c r="M567" s="3187"/>
      <c r="N567" s="3187"/>
      <c r="O567" s="3187"/>
      <c r="P567" s="3187"/>
      <c r="Q567" s="3187"/>
      <c r="R567" s="3187"/>
      <c r="S567" s="3187"/>
      <c r="T567" s="3187"/>
      <c r="U567" s="3187"/>
      <c r="V567" s="3187"/>
      <c r="W567" s="3187"/>
      <c r="X567" s="3187"/>
      <c r="Y567" s="3187"/>
      <c r="Z567" s="3187"/>
      <c r="AA567" s="3187"/>
      <c r="AB567" s="3187"/>
      <c r="AC567" s="3166">
        <f t="shared" si="355"/>
        <v>0</v>
      </c>
      <c r="AD567" s="3198"/>
      <c r="AE567" s="3198"/>
      <c r="AF567" s="3198"/>
      <c r="AG567" s="3198"/>
      <c r="AH567" s="3198"/>
      <c r="AI567" s="3198"/>
      <c r="AJ567" s="3198"/>
      <c r="AK567" s="3198"/>
      <c r="AL567" s="3198"/>
      <c r="AM567" s="3198"/>
      <c r="AN567" s="3198"/>
      <c r="AO567" s="3198"/>
      <c r="AP567" s="3198"/>
      <c r="AQ567" s="3198"/>
      <c r="AR567" s="3198"/>
      <c r="AS567" s="3198"/>
      <c r="AT567" s="3218"/>
      <c r="AU567" s="3219"/>
      <c r="AV567" s="488">
        <f t="shared" si="356"/>
        <v>0</v>
      </c>
      <c r="AW567" s="488">
        <f t="shared" si="357"/>
        <v>0</v>
      </c>
      <c r="AX567" s="488">
        <f t="shared" si="358"/>
        <v>0</v>
      </c>
      <c r="AY567" s="3235">
        <f t="shared" si="359"/>
        <v>0</v>
      </c>
      <c r="AZ567" s="3166">
        <f t="shared" si="360"/>
        <v>0</v>
      </c>
      <c r="BA567" s="3166">
        <f t="shared" si="361"/>
        <v>0</v>
      </c>
      <c r="BB567" s="3166">
        <f t="shared" si="362"/>
        <v>0</v>
      </c>
      <c r="BC567" s="3166">
        <f t="shared" si="363"/>
        <v>0</v>
      </c>
      <c r="BD567" s="3166">
        <f t="shared" si="364"/>
        <v>0</v>
      </c>
      <c r="BE567" s="3166">
        <f t="shared" si="365"/>
        <v>0</v>
      </c>
      <c r="BF567" s="3166">
        <f t="shared" si="366"/>
        <v>0</v>
      </c>
      <c r="BG567" s="3166">
        <f t="shared" si="367"/>
        <v>0</v>
      </c>
      <c r="BH567" s="3166">
        <f t="shared" si="368"/>
        <v>0</v>
      </c>
      <c r="BI567" s="3166">
        <f t="shared" si="369"/>
        <v>0</v>
      </c>
      <c r="BJ567" s="3166">
        <f t="shared" si="370"/>
        <v>0</v>
      </c>
      <c r="BK567" s="3166">
        <f t="shared" si="371"/>
        <v>0</v>
      </c>
      <c r="BL567" s="3166">
        <f t="shared" si="372"/>
        <v>0</v>
      </c>
      <c r="BM567" s="3166">
        <f t="shared" si="373"/>
        <v>0</v>
      </c>
      <c r="BN567" s="3166">
        <f t="shared" si="374"/>
        <v>0</v>
      </c>
      <c r="BO567" s="3166">
        <f t="shared" si="375"/>
        <v>0</v>
      </c>
      <c r="BP567" s="3166">
        <f t="shared" si="376"/>
        <v>0</v>
      </c>
      <c r="BQ567" s="3166">
        <f t="shared" si="377"/>
        <v>0</v>
      </c>
      <c r="BR567" s="3166">
        <f t="shared" si="378"/>
        <v>0</v>
      </c>
      <c r="BS567" s="3166">
        <f t="shared" si="379"/>
        <v>0</v>
      </c>
      <c r="BT567" s="3240">
        <f t="shared" si="380"/>
        <v>0</v>
      </c>
    </row>
    <row r="568" spans="1:72">
      <c r="A568" s="3163"/>
      <c r="B568" s="3164"/>
      <c r="C568" s="3164"/>
      <c r="D568" s="3176"/>
      <c r="E568" s="3166">
        <f t="shared" si="352"/>
        <v>0</v>
      </c>
      <c r="F568" s="3167"/>
      <c r="G568" s="3168">
        <f t="shared" si="353"/>
        <v>0</v>
      </c>
      <c r="H568" s="3169">
        <f t="shared" si="354"/>
        <v>0</v>
      </c>
      <c r="I568" s="3187"/>
      <c r="J568" s="3187"/>
      <c r="K568" s="3187"/>
      <c r="L568" s="3187"/>
      <c r="M568" s="3187"/>
      <c r="N568" s="3187"/>
      <c r="O568" s="3187"/>
      <c r="P568" s="3187"/>
      <c r="Q568" s="3187"/>
      <c r="R568" s="3187"/>
      <c r="S568" s="3187"/>
      <c r="T568" s="3187"/>
      <c r="U568" s="3187"/>
      <c r="V568" s="3187"/>
      <c r="W568" s="3187"/>
      <c r="X568" s="3187"/>
      <c r="Y568" s="3187"/>
      <c r="Z568" s="3187"/>
      <c r="AA568" s="3187"/>
      <c r="AB568" s="3187"/>
      <c r="AC568" s="3166">
        <f t="shared" si="355"/>
        <v>0</v>
      </c>
      <c r="AD568" s="3198"/>
      <c r="AE568" s="3198"/>
      <c r="AF568" s="3198"/>
      <c r="AG568" s="3198"/>
      <c r="AH568" s="3198"/>
      <c r="AI568" s="3198"/>
      <c r="AJ568" s="3198"/>
      <c r="AK568" s="3198"/>
      <c r="AL568" s="3198"/>
      <c r="AM568" s="3198"/>
      <c r="AN568" s="3198"/>
      <c r="AO568" s="3198"/>
      <c r="AP568" s="3198"/>
      <c r="AQ568" s="3198"/>
      <c r="AR568" s="3198"/>
      <c r="AS568" s="3198"/>
      <c r="AT568" s="3218"/>
      <c r="AU568" s="3219"/>
      <c r="AV568" s="488">
        <f t="shared" si="356"/>
        <v>0</v>
      </c>
      <c r="AW568" s="488">
        <f t="shared" si="357"/>
        <v>0</v>
      </c>
      <c r="AX568" s="488">
        <f t="shared" si="358"/>
        <v>0</v>
      </c>
      <c r="AY568" s="3235">
        <f t="shared" si="359"/>
        <v>0</v>
      </c>
      <c r="AZ568" s="3166">
        <f t="shared" si="360"/>
        <v>0</v>
      </c>
      <c r="BA568" s="3166">
        <f t="shared" si="361"/>
        <v>0</v>
      </c>
      <c r="BB568" s="3166">
        <f t="shared" si="362"/>
        <v>0</v>
      </c>
      <c r="BC568" s="3166">
        <f t="shared" si="363"/>
        <v>0</v>
      </c>
      <c r="BD568" s="3166">
        <f t="shared" si="364"/>
        <v>0</v>
      </c>
      <c r="BE568" s="3166">
        <f t="shared" si="365"/>
        <v>0</v>
      </c>
      <c r="BF568" s="3166">
        <f t="shared" si="366"/>
        <v>0</v>
      </c>
      <c r="BG568" s="3166">
        <f t="shared" si="367"/>
        <v>0</v>
      </c>
      <c r="BH568" s="3166">
        <f t="shared" si="368"/>
        <v>0</v>
      </c>
      <c r="BI568" s="3166">
        <f t="shared" si="369"/>
        <v>0</v>
      </c>
      <c r="BJ568" s="3166">
        <f t="shared" si="370"/>
        <v>0</v>
      </c>
      <c r="BK568" s="3166">
        <f t="shared" si="371"/>
        <v>0</v>
      </c>
      <c r="BL568" s="3166">
        <f t="shared" si="372"/>
        <v>0</v>
      </c>
      <c r="BM568" s="3166">
        <f t="shared" si="373"/>
        <v>0</v>
      </c>
      <c r="BN568" s="3166">
        <f t="shared" si="374"/>
        <v>0</v>
      </c>
      <c r="BO568" s="3166">
        <f t="shared" si="375"/>
        <v>0</v>
      </c>
      <c r="BP568" s="3166">
        <f t="shared" si="376"/>
        <v>0</v>
      </c>
      <c r="BQ568" s="3166">
        <f t="shared" si="377"/>
        <v>0</v>
      </c>
      <c r="BR568" s="3166">
        <f t="shared" si="378"/>
        <v>0</v>
      </c>
      <c r="BS568" s="3166">
        <f t="shared" si="379"/>
        <v>0</v>
      </c>
      <c r="BT568" s="3240">
        <f t="shared" si="380"/>
        <v>0</v>
      </c>
    </row>
    <row r="569" spans="1:72">
      <c r="A569" s="3163"/>
      <c r="B569" s="3164"/>
      <c r="C569" s="3164"/>
      <c r="D569" s="3176"/>
      <c r="E569" s="3166">
        <f t="shared" si="352"/>
        <v>0</v>
      </c>
      <c r="F569" s="3167"/>
      <c r="G569" s="3168">
        <f t="shared" si="353"/>
        <v>0</v>
      </c>
      <c r="H569" s="3169">
        <f t="shared" si="354"/>
        <v>0</v>
      </c>
      <c r="I569" s="3187"/>
      <c r="J569" s="3187"/>
      <c r="K569" s="3187"/>
      <c r="L569" s="3187"/>
      <c r="M569" s="3187"/>
      <c r="N569" s="3187"/>
      <c r="O569" s="3187"/>
      <c r="P569" s="3187"/>
      <c r="Q569" s="3187"/>
      <c r="R569" s="3187"/>
      <c r="S569" s="3187"/>
      <c r="T569" s="3187"/>
      <c r="U569" s="3187"/>
      <c r="V569" s="3187"/>
      <c r="W569" s="3187"/>
      <c r="X569" s="3187"/>
      <c r="Y569" s="3187"/>
      <c r="Z569" s="3187"/>
      <c r="AA569" s="3187"/>
      <c r="AB569" s="3187"/>
      <c r="AC569" s="3166">
        <f t="shared" si="355"/>
        <v>0</v>
      </c>
      <c r="AD569" s="3198"/>
      <c r="AE569" s="3198"/>
      <c r="AF569" s="3198"/>
      <c r="AG569" s="3198"/>
      <c r="AH569" s="3198"/>
      <c r="AI569" s="3198"/>
      <c r="AJ569" s="3198"/>
      <c r="AK569" s="3198"/>
      <c r="AL569" s="3198"/>
      <c r="AM569" s="3198"/>
      <c r="AN569" s="3198"/>
      <c r="AO569" s="3198"/>
      <c r="AP569" s="3198"/>
      <c r="AQ569" s="3198"/>
      <c r="AR569" s="3198"/>
      <c r="AS569" s="3198"/>
      <c r="AT569" s="3218"/>
      <c r="AU569" s="3219"/>
      <c r="AV569" s="488">
        <f t="shared" si="356"/>
        <v>0</v>
      </c>
      <c r="AW569" s="488">
        <f t="shared" si="357"/>
        <v>0</v>
      </c>
      <c r="AX569" s="488">
        <f t="shared" si="358"/>
        <v>0</v>
      </c>
      <c r="AY569" s="3235">
        <f t="shared" si="359"/>
        <v>0</v>
      </c>
      <c r="AZ569" s="3166">
        <f t="shared" si="360"/>
        <v>0</v>
      </c>
      <c r="BA569" s="3166">
        <f t="shared" si="361"/>
        <v>0</v>
      </c>
      <c r="BB569" s="3166">
        <f t="shared" si="362"/>
        <v>0</v>
      </c>
      <c r="BC569" s="3166">
        <f t="shared" si="363"/>
        <v>0</v>
      </c>
      <c r="BD569" s="3166">
        <f t="shared" si="364"/>
        <v>0</v>
      </c>
      <c r="BE569" s="3166">
        <f t="shared" si="365"/>
        <v>0</v>
      </c>
      <c r="BF569" s="3166">
        <f t="shared" si="366"/>
        <v>0</v>
      </c>
      <c r="BG569" s="3166">
        <f t="shared" si="367"/>
        <v>0</v>
      </c>
      <c r="BH569" s="3166">
        <f t="shared" si="368"/>
        <v>0</v>
      </c>
      <c r="BI569" s="3166">
        <f t="shared" si="369"/>
        <v>0</v>
      </c>
      <c r="BJ569" s="3166">
        <f t="shared" si="370"/>
        <v>0</v>
      </c>
      <c r="BK569" s="3166">
        <f t="shared" si="371"/>
        <v>0</v>
      </c>
      <c r="BL569" s="3166">
        <f t="shared" si="372"/>
        <v>0</v>
      </c>
      <c r="BM569" s="3166">
        <f t="shared" si="373"/>
        <v>0</v>
      </c>
      <c r="BN569" s="3166">
        <f t="shared" si="374"/>
        <v>0</v>
      </c>
      <c r="BO569" s="3166">
        <f t="shared" si="375"/>
        <v>0</v>
      </c>
      <c r="BP569" s="3166">
        <f t="shared" si="376"/>
        <v>0</v>
      </c>
      <c r="BQ569" s="3166">
        <f t="shared" si="377"/>
        <v>0</v>
      </c>
      <c r="BR569" s="3166">
        <f t="shared" si="378"/>
        <v>0</v>
      </c>
      <c r="BS569" s="3166">
        <f t="shared" si="379"/>
        <v>0</v>
      </c>
      <c r="BT569" s="3240">
        <f t="shared" si="380"/>
        <v>0</v>
      </c>
    </row>
    <row r="570" spans="1:72">
      <c r="A570" s="3163"/>
      <c r="B570" s="3163"/>
      <c r="C570" s="3163"/>
      <c r="D570" s="3176"/>
      <c r="E570" s="3166">
        <f t="shared" si="352"/>
        <v>0</v>
      </c>
      <c r="F570" s="3241"/>
      <c r="G570" s="3168">
        <f t="shared" si="353"/>
        <v>0</v>
      </c>
      <c r="H570" s="3169">
        <f t="shared" si="354"/>
        <v>0</v>
      </c>
      <c r="I570" s="3242"/>
      <c r="J570" s="3242"/>
      <c r="K570" s="3187"/>
      <c r="L570" s="3187"/>
      <c r="M570" s="3187"/>
      <c r="N570" s="3187"/>
      <c r="O570" s="3187"/>
      <c r="P570" s="3187"/>
      <c r="Q570" s="3187"/>
      <c r="R570" s="3187"/>
      <c r="S570" s="3187"/>
      <c r="T570" s="3187"/>
      <c r="U570" s="3187"/>
      <c r="V570" s="3187"/>
      <c r="W570" s="3187"/>
      <c r="X570" s="3187"/>
      <c r="Y570" s="3187"/>
      <c r="Z570" s="3187"/>
      <c r="AA570" s="3187"/>
      <c r="AB570" s="3187"/>
      <c r="AC570" s="3166">
        <f t="shared" si="355"/>
        <v>0</v>
      </c>
      <c r="AD570" s="3198"/>
      <c r="AE570" s="3198"/>
      <c r="AF570" s="3198"/>
      <c r="AG570" s="3198"/>
      <c r="AH570" s="3198"/>
      <c r="AI570" s="3198"/>
      <c r="AJ570" s="3198"/>
      <c r="AK570" s="3198"/>
      <c r="AL570" s="3198"/>
      <c r="AM570" s="3198"/>
      <c r="AN570" s="3198"/>
      <c r="AO570" s="3198"/>
      <c r="AP570" s="3198"/>
      <c r="AQ570" s="3198"/>
      <c r="AR570" s="3198"/>
      <c r="AS570" s="3198"/>
      <c r="AT570" s="3198"/>
      <c r="AU570" s="3243"/>
      <c r="AV570" s="488">
        <f t="shared" si="356"/>
        <v>0</v>
      </c>
      <c r="AW570" s="488">
        <f t="shared" si="357"/>
        <v>0</v>
      </c>
      <c r="AX570" s="488">
        <f t="shared" si="358"/>
        <v>0</v>
      </c>
      <c r="AY570" s="3235">
        <f t="shared" si="359"/>
        <v>0</v>
      </c>
      <c r="AZ570" s="3166">
        <f t="shared" si="360"/>
        <v>0</v>
      </c>
      <c r="BA570" s="3166">
        <f t="shared" si="361"/>
        <v>0</v>
      </c>
      <c r="BB570" s="3166">
        <f t="shared" si="362"/>
        <v>0</v>
      </c>
      <c r="BC570" s="3166">
        <f t="shared" si="363"/>
        <v>0</v>
      </c>
      <c r="BD570" s="3166">
        <f t="shared" si="364"/>
        <v>0</v>
      </c>
      <c r="BE570" s="3166">
        <f t="shared" si="365"/>
        <v>0</v>
      </c>
      <c r="BF570" s="3166">
        <f t="shared" si="366"/>
        <v>0</v>
      </c>
      <c r="BG570" s="3166">
        <f t="shared" si="367"/>
        <v>0</v>
      </c>
      <c r="BH570" s="3166">
        <f t="shared" si="368"/>
        <v>0</v>
      </c>
      <c r="BI570" s="3166">
        <f t="shared" si="369"/>
        <v>0</v>
      </c>
      <c r="BJ570" s="3166">
        <f t="shared" si="370"/>
        <v>0</v>
      </c>
      <c r="BK570" s="3166">
        <f t="shared" si="371"/>
        <v>0</v>
      </c>
      <c r="BL570" s="3166">
        <f t="shared" si="372"/>
        <v>0</v>
      </c>
      <c r="BM570" s="3166">
        <f t="shared" si="373"/>
        <v>0</v>
      </c>
      <c r="BN570" s="3166">
        <f t="shared" si="374"/>
        <v>0</v>
      </c>
      <c r="BO570" s="3166">
        <f t="shared" si="375"/>
        <v>0</v>
      </c>
      <c r="BP570" s="3166">
        <f t="shared" si="376"/>
        <v>0</v>
      </c>
      <c r="BQ570" s="3166">
        <f t="shared" si="377"/>
        <v>0</v>
      </c>
      <c r="BR570" s="3166">
        <f t="shared" si="378"/>
        <v>0</v>
      </c>
      <c r="BS570" s="3166">
        <f t="shared" si="379"/>
        <v>0</v>
      </c>
      <c r="BT570" s="3240">
        <f t="shared" si="380"/>
        <v>0</v>
      </c>
    </row>
    <row r="571" spans="1:72">
      <c r="A571" s="3163"/>
      <c r="B571" s="3163"/>
      <c r="C571" s="3163"/>
      <c r="D571" s="3176"/>
      <c r="E571" s="3166">
        <f t="shared" si="352"/>
        <v>0</v>
      </c>
      <c r="F571" s="3241"/>
      <c r="G571" s="3168">
        <f t="shared" si="353"/>
        <v>0</v>
      </c>
      <c r="H571" s="3169">
        <f t="shared" si="354"/>
        <v>0</v>
      </c>
      <c r="I571" s="3187"/>
      <c r="J571" s="3187"/>
      <c r="K571" s="3187"/>
      <c r="L571" s="3187"/>
      <c r="M571" s="3187"/>
      <c r="N571" s="3187"/>
      <c r="O571" s="3187"/>
      <c r="P571" s="3187"/>
      <c r="Q571" s="3187"/>
      <c r="R571" s="3187"/>
      <c r="S571" s="3187"/>
      <c r="T571" s="3187"/>
      <c r="U571" s="3187"/>
      <c r="V571" s="3187"/>
      <c r="W571" s="3187"/>
      <c r="X571" s="3187"/>
      <c r="Y571" s="3187"/>
      <c r="Z571" s="3187"/>
      <c r="AA571" s="3187"/>
      <c r="AB571" s="3187"/>
      <c r="AC571" s="3166">
        <f t="shared" si="355"/>
        <v>0</v>
      </c>
      <c r="AD571" s="3198"/>
      <c r="AE571" s="3198"/>
      <c r="AF571" s="3198"/>
      <c r="AG571" s="3198"/>
      <c r="AH571" s="3198"/>
      <c r="AI571" s="3198"/>
      <c r="AJ571" s="3198"/>
      <c r="AK571" s="3198"/>
      <c r="AL571" s="3198"/>
      <c r="AM571" s="3198"/>
      <c r="AN571" s="3198"/>
      <c r="AO571" s="3198"/>
      <c r="AP571" s="3198"/>
      <c r="AQ571" s="3198"/>
      <c r="AR571" s="3198"/>
      <c r="AS571" s="3198"/>
      <c r="AT571" s="3198"/>
      <c r="AU571" s="3243"/>
      <c r="AV571" s="488">
        <f t="shared" si="356"/>
        <v>0</v>
      </c>
      <c r="AW571" s="488">
        <f t="shared" si="357"/>
        <v>0</v>
      </c>
      <c r="AX571" s="488">
        <f t="shared" si="358"/>
        <v>0</v>
      </c>
      <c r="AY571" s="3235">
        <f t="shared" si="359"/>
        <v>0</v>
      </c>
      <c r="AZ571" s="3166">
        <f t="shared" si="360"/>
        <v>0</v>
      </c>
      <c r="BA571" s="3166">
        <f t="shared" si="361"/>
        <v>0</v>
      </c>
      <c r="BB571" s="3166">
        <f t="shared" si="362"/>
        <v>0</v>
      </c>
      <c r="BC571" s="3166">
        <f t="shared" si="363"/>
        <v>0</v>
      </c>
      <c r="BD571" s="3166">
        <f t="shared" si="364"/>
        <v>0</v>
      </c>
      <c r="BE571" s="3166">
        <f t="shared" si="365"/>
        <v>0</v>
      </c>
      <c r="BF571" s="3166">
        <f t="shared" si="366"/>
        <v>0</v>
      </c>
      <c r="BG571" s="3166">
        <f t="shared" si="367"/>
        <v>0</v>
      </c>
      <c r="BH571" s="3166">
        <f t="shared" si="368"/>
        <v>0</v>
      </c>
      <c r="BI571" s="3166">
        <f t="shared" si="369"/>
        <v>0</v>
      </c>
      <c r="BJ571" s="3166">
        <f t="shared" si="370"/>
        <v>0</v>
      </c>
      <c r="BK571" s="3166">
        <f t="shared" si="371"/>
        <v>0</v>
      </c>
      <c r="BL571" s="3166">
        <f t="shared" si="372"/>
        <v>0</v>
      </c>
      <c r="BM571" s="3166">
        <f t="shared" si="373"/>
        <v>0</v>
      </c>
      <c r="BN571" s="3166">
        <f t="shared" si="374"/>
        <v>0</v>
      </c>
      <c r="BO571" s="3166">
        <f t="shared" si="375"/>
        <v>0</v>
      </c>
      <c r="BP571" s="3166">
        <f t="shared" si="376"/>
        <v>0</v>
      </c>
      <c r="BQ571" s="3166">
        <f t="shared" si="377"/>
        <v>0</v>
      </c>
      <c r="BR571" s="3166">
        <f t="shared" si="378"/>
        <v>0</v>
      </c>
      <c r="BS571" s="3166">
        <f t="shared" si="379"/>
        <v>0</v>
      </c>
      <c r="BT571" s="3240">
        <f t="shared" si="380"/>
        <v>0</v>
      </c>
    </row>
    <row r="572" spans="1:72">
      <c r="A572" s="3163"/>
      <c r="B572" s="3163"/>
      <c r="C572" s="3163"/>
      <c r="D572" s="3176"/>
      <c r="E572" s="3166">
        <f t="shared" si="352"/>
        <v>0</v>
      </c>
      <c r="F572" s="3241"/>
      <c r="G572" s="3168">
        <f t="shared" si="353"/>
        <v>0</v>
      </c>
      <c r="H572" s="3169">
        <f t="shared" si="354"/>
        <v>0</v>
      </c>
      <c r="I572" s="3187"/>
      <c r="J572" s="3187"/>
      <c r="K572" s="3187"/>
      <c r="L572" s="3187"/>
      <c r="M572" s="3187"/>
      <c r="N572" s="3187"/>
      <c r="O572" s="3187"/>
      <c r="P572" s="3187"/>
      <c r="Q572" s="3187"/>
      <c r="R572" s="3187"/>
      <c r="S572" s="3187"/>
      <c r="T572" s="3187"/>
      <c r="U572" s="3187"/>
      <c r="V572" s="3187"/>
      <c r="W572" s="3187"/>
      <c r="X572" s="3187"/>
      <c r="Y572" s="3187"/>
      <c r="Z572" s="3187"/>
      <c r="AA572" s="3187"/>
      <c r="AB572" s="3187"/>
      <c r="AC572" s="3166">
        <f t="shared" si="355"/>
        <v>0</v>
      </c>
      <c r="AD572" s="3198"/>
      <c r="AE572" s="3198"/>
      <c r="AF572" s="3198"/>
      <c r="AG572" s="3198"/>
      <c r="AH572" s="3198"/>
      <c r="AI572" s="3198"/>
      <c r="AJ572" s="3198"/>
      <c r="AK572" s="3198"/>
      <c r="AL572" s="3198"/>
      <c r="AM572" s="3198"/>
      <c r="AN572" s="3198"/>
      <c r="AO572" s="3198"/>
      <c r="AP572" s="3198"/>
      <c r="AQ572" s="3198"/>
      <c r="AR572" s="3198"/>
      <c r="AS572" s="3198"/>
      <c r="AT572" s="3198"/>
      <c r="AU572" s="3243"/>
      <c r="AV572" s="488">
        <f t="shared" si="356"/>
        <v>0</v>
      </c>
      <c r="AW572" s="488">
        <f t="shared" si="357"/>
        <v>0</v>
      </c>
      <c r="AX572" s="488">
        <f t="shared" si="358"/>
        <v>0</v>
      </c>
      <c r="AY572" s="3235">
        <f t="shared" si="359"/>
        <v>0</v>
      </c>
      <c r="AZ572" s="3166">
        <f t="shared" si="360"/>
        <v>0</v>
      </c>
      <c r="BA572" s="3166">
        <f t="shared" si="361"/>
        <v>0</v>
      </c>
      <c r="BB572" s="3166">
        <f t="shared" si="362"/>
        <v>0</v>
      </c>
      <c r="BC572" s="3166">
        <f t="shared" si="363"/>
        <v>0</v>
      </c>
      <c r="BD572" s="3166">
        <f t="shared" si="364"/>
        <v>0</v>
      </c>
      <c r="BE572" s="3166">
        <f t="shared" si="365"/>
        <v>0</v>
      </c>
      <c r="BF572" s="3166">
        <f t="shared" si="366"/>
        <v>0</v>
      </c>
      <c r="BG572" s="3166">
        <f t="shared" si="367"/>
        <v>0</v>
      </c>
      <c r="BH572" s="3166">
        <f t="shared" si="368"/>
        <v>0</v>
      </c>
      <c r="BI572" s="3166">
        <f t="shared" si="369"/>
        <v>0</v>
      </c>
      <c r="BJ572" s="3166">
        <f t="shared" si="370"/>
        <v>0</v>
      </c>
      <c r="BK572" s="3166">
        <f t="shared" si="371"/>
        <v>0</v>
      </c>
      <c r="BL572" s="3166">
        <f t="shared" si="372"/>
        <v>0</v>
      </c>
      <c r="BM572" s="3166">
        <f t="shared" si="373"/>
        <v>0</v>
      </c>
      <c r="BN572" s="3166">
        <f t="shared" si="374"/>
        <v>0</v>
      </c>
      <c r="BO572" s="3166">
        <f t="shared" si="375"/>
        <v>0</v>
      </c>
      <c r="BP572" s="3166">
        <f t="shared" si="376"/>
        <v>0</v>
      </c>
      <c r="BQ572" s="3166">
        <f t="shared" si="377"/>
        <v>0</v>
      </c>
      <c r="BR572" s="3166">
        <f t="shared" si="378"/>
        <v>0</v>
      </c>
      <c r="BS572" s="3166">
        <f t="shared" si="379"/>
        <v>0</v>
      </c>
      <c r="BT572" s="3240">
        <f t="shared" si="380"/>
        <v>0</v>
      </c>
    </row>
    <row r="573" s="3132" customFormat="1" spans="1:50">
      <c r="A573" s="3244"/>
      <c r="B573" s="3244"/>
      <c r="C573" s="3244"/>
      <c r="D573" s="3244"/>
      <c r="E573" s="3245"/>
      <c r="F573" s="3245"/>
      <c r="G573" s="3244"/>
      <c r="H573" s="3245"/>
      <c r="I573" s="3245"/>
      <c r="J573" s="3245"/>
      <c r="K573" s="3245"/>
      <c r="L573" s="3245"/>
      <c r="M573" s="3245"/>
      <c r="N573" s="3245"/>
      <c r="O573" s="3245"/>
      <c r="P573" s="3245"/>
      <c r="Q573" s="3245"/>
      <c r="R573" s="3245"/>
      <c r="S573" s="3245"/>
      <c r="T573" s="3245"/>
      <c r="U573" s="3245"/>
      <c r="V573" s="3245"/>
      <c r="W573" s="3245"/>
      <c r="X573" s="3245"/>
      <c r="Y573" s="3245"/>
      <c r="Z573" s="3245"/>
      <c r="AA573" s="3245"/>
      <c r="AB573" s="3245"/>
      <c r="AC573" s="3245"/>
      <c r="AD573" s="3245"/>
      <c r="AE573" s="3245"/>
      <c r="AF573" s="3245"/>
      <c r="AG573" s="3245"/>
      <c r="AH573" s="3245"/>
      <c r="AI573" s="3245"/>
      <c r="AJ573" s="3245"/>
      <c r="AK573" s="3245"/>
      <c r="AL573" s="3245"/>
      <c r="AM573" s="3245"/>
      <c r="AN573" s="3245"/>
      <c r="AO573" s="3245"/>
      <c r="AP573" s="3245"/>
      <c r="AQ573" s="3245"/>
      <c r="AR573" s="3245"/>
      <c r="AS573" s="3245"/>
      <c r="AT573" s="3245"/>
      <c r="AU573" s="3244"/>
      <c r="AV573" s="3244"/>
      <c r="AW573" s="3244"/>
      <c r="AX573" s="3244"/>
    </row>
    <row r="574" s="3133" customFormat="1" spans="3:4">
      <c r="C574" s="3246"/>
      <c r="D574" s="3246"/>
    </row>
    <row r="575" s="3133" customFormat="1" spans="3:4">
      <c r="C575" s="3246"/>
      <c r="D575" s="3246"/>
    </row>
    <row r="578" spans="2:2">
      <c r="B578" s="3246"/>
    </row>
  </sheetData>
  <sheetProtection password="C66D" sheet="1" formatCells="0" formatColumns="0" formatRows="0" objects="1" scenarios="1"/>
  <dataValidations count="4">
    <dataValidation type="list" allowBlank="1" showInputMessage="1" showErrorMessage="1" sqref="C3 D13:D17 D18:D572">
      <formula1>判定</formula1>
    </dataValidation>
    <dataValidation type="list" allowBlank="1" showInputMessage="1" showErrorMessage="1" sqref="I9 K9 M9 O9 Q9 S9 U9 W9 Y9 AA9" errorStyle="warning">
      <formula1>位置</formula1>
    </dataValidation>
    <dataValidation type="list" allowBlank="1" showErrorMessage="1" sqref="I10 K10 M10 O10 Q10 S10 U10 W10 Y10 AA10">
      <formula1>主用途</formula1>
    </dataValidation>
    <dataValidation type="list" allowBlank="1" showInputMessage="1" showErrorMessage="1" sqref="I11 K11 M11 O11 Q11 S11 U11 W11 Y11 AA11">
      <formula1>用途类型</formula1>
    </dataValidation>
  </dataValidations>
  <pageMargins left="0.7" right="0.7" top="0.75" bottom="0.75" header="0.3" footer="0.3"/>
  <pageSetup paperSize="9" scale="19"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126" customWidth="1"/>
    <col min="2" max="2" width="10.625" style="3126" customWidth="1"/>
    <col min="3" max="3" width="15.75" style="3126" customWidth="1"/>
    <col min="4" max="7" width="9.5" style="3126" customWidth="1"/>
    <col min="8" max="13" width="9.125" style="3126" customWidth="1"/>
    <col min="14" max="16384" width="9" style="3126"/>
  </cols>
  <sheetData>
    <row r="1" ht="14.25" spans="1:13">
      <c r="A1" s="3127" t="s">
        <v>508</v>
      </c>
      <c r="B1" s="3127" t="s">
        <v>509</v>
      </c>
      <c r="C1" s="3127" t="s">
        <v>429</v>
      </c>
      <c r="D1" s="3128" t="s">
        <v>510</v>
      </c>
      <c r="E1" s="3128" t="s">
        <v>389</v>
      </c>
      <c r="F1" s="3128"/>
      <c r="G1" s="3128"/>
      <c r="H1" s="3128"/>
      <c r="I1" s="3128"/>
      <c r="J1" s="3128"/>
      <c r="K1" s="3128"/>
      <c r="L1" s="3128"/>
      <c r="M1" s="3128"/>
    </row>
    <row r="2" ht="27" customHeight="1" spans="1:13">
      <c r="A2" s="3127"/>
      <c r="B2" s="3127"/>
      <c r="C2" s="3127"/>
      <c r="D2" s="3128"/>
      <c r="E2" s="3128" t="s">
        <v>511</v>
      </c>
      <c r="F2" s="3128" t="s">
        <v>512</v>
      </c>
      <c r="G2" s="3128"/>
      <c r="H2" s="3128"/>
      <c r="I2" s="3128"/>
      <c r="J2" s="3128" t="s">
        <v>513</v>
      </c>
      <c r="K2" s="3128"/>
      <c r="L2" s="3128"/>
      <c r="M2" s="3128"/>
    </row>
    <row r="3" ht="28.5" spans="1:13">
      <c r="A3" s="3127"/>
      <c r="B3" s="3127"/>
      <c r="C3" s="3127"/>
      <c r="D3" s="3128"/>
      <c r="E3" s="3128"/>
      <c r="F3" s="3129" t="s">
        <v>514</v>
      </c>
      <c r="G3" s="3129" t="s">
        <v>515</v>
      </c>
      <c r="H3" s="3129" t="s">
        <v>516</v>
      </c>
      <c r="I3" s="3129" t="s">
        <v>383</v>
      </c>
      <c r="J3" s="3129" t="s">
        <v>514</v>
      </c>
      <c r="K3" s="3129" t="s">
        <v>517</v>
      </c>
      <c r="L3" s="3129" t="s">
        <v>518</v>
      </c>
      <c r="M3" s="3129" t="s">
        <v>519</v>
      </c>
    </row>
    <row r="4" ht="42.75" spans="1:13">
      <c r="A4" s="3129" t="s">
        <v>520</v>
      </c>
      <c r="B4" s="3129" t="s">
        <v>521</v>
      </c>
      <c r="C4" s="3129" t="s">
        <v>522</v>
      </c>
      <c r="D4" s="3128">
        <v>3807.94</v>
      </c>
      <c r="E4" s="3128">
        <v>20666.91</v>
      </c>
      <c r="F4" s="3128">
        <v>19673</v>
      </c>
      <c r="G4" s="3128">
        <v>0</v>
      </c>
      <c r="H4" s="3128">
        <v>19673</v>
      </c>
      <c r="I4" s="3128">
        <v>0</v>
      </c>
      <c r="J4" s="3128">
        <v>993.91</v>
      </c>
      <c r="K4" s="3128">
        <v>0</v>
      </c>
      <c r="L4" s="3128">
        <v>0</v>
      </c>
      <c r="M4" s="3128">
        <v>993.91</v>
      </c>
    </row>
    <row r="5" ht="42.75" spans="1:13">
      <c r="A5" s="3129" t="s">
        <v>520</v>
      </c>
      <c r="B5" s="3129" t="s">
        <v>523</v>
      </c>
      <c r="C5" s="3129" t="s">
        <v>524</v>
      </c>
      <c r="D5" s="3128">
        <v>3667.86</v>
      </c>
      <c r="E5" s="3128">
        <v>19906.61</v>
      </c>
      <c r="F5" s="3128">
        <v>18792.87</v>
      </c>
      <c r="G5" s="3128">
        <v>18792.87</v>
      </c>
      <c r="H5" s="3128">
        <v>0</v>
      </c>
      <c r="I5" s="3128">
        <v>0</v>
      </c>
      <c r="J5" s="3128">
        <v>1113.74</v>
      </c>
      <c r="K5" s="3128">
        <v>55.59</v>
      </c>
      <c r="L5" s="3128">
        <v>0</v>
      </c>
      <c r="M5" s="3128">
        <v>1058.15</v>
      </c>
    </row>
    <row r="6" ht="42.75" spans="1:13">
      <c r="A6" s="3129" t="s">
        <v>520</v>
      </c>
      <c r="B6" s="3129" t="s">
        <v>523</v>
      </c>
      <c r="C6" s="3129" t="s">
        <v>525</v>
      </c>
      <c r="D6" s="3128">
        <v>2067.52</v>
      </c>
      <c r="E6" s="3128">
        <v>11221.06</v>
      </c>
      <c r="F6" s="3128">
        <v>9934.13</v>
      </c>
      <c r="G6" s="3128">
        <v>9934.13</v>
      </c>
      <c r="H6" s="3128">
        <v>0</v>
      </c>
      <c r="I6" s="3128">
        <v>0</v>
      </c>
      <c r="J6" s="3128">
        <v>1286.93</v>
      </c>
      <c r="K6" s="3128">
        <v>0</v>
      </c>
      <c r="L6" s="3128">
        <v>0</v>
      </c>
      <c r="M6" s="3128">
        <v>1286.93</v>
      </c>
    </row>
    <row r="7" ht="42.75" spans="1:13">
      <c r="A7" s="3129" t="s">
        <v>520</v>
      </c>
      <c r="B7" s="3129" t="s">
        <v>523</v>
      </c>
      <c r="C7" s="3129" t="s">
        <v>526</v>
      </c>
      <c r="D7" s="3128">
        <v>8.18</v>
      </c>
      <c r="E7" s="3128">
        <v>44.41</v>
      </c>
      <c r="F7" s="3128">
        <v>0</v>
      </c>
      <c r="G7" s="3128">
        <v>0</v>
      </c>
      <c r="H7" s="3128">
        <v>0</v>
      </c>
      <c r="I7" s="3128">
        <v>0</v>
      </c>
      <c r="J7" s="3128">
        <v>44.41</v>
      </c>
      <c r="K7" s="3128">
        <v>44.41</v>
      </c>
      <c r="L7" s="3128">
        <v>0</v>
      </c>
      <c r="M7" s="3128">
        <v>0</v>
      </c>
    </row>
    <row r="8" ht="42.75" spans="1:13">
      <c r="A8" s="3129" t="s">
        <v>520</v>
      </c>
      <c r="B8" s="3129" t="s">
        <v>523</v>
      </c>
      <c r="C8" s="3129" t="s">
        <v>383</v>
      </c>
      <c r="D8" s="3128">
        <v>2455.53</v>
      </c>
      <c r="E8" s="3128">
        <v>13326.96</v>
      </c>
      <c r="F8" s="3128">
        <v>9231.05</v>
      </c>
      <c r="G8" s="3128">
        <v>0</v>
      </c>
      <c r="H8" s="3128">
        <v>0</v>
      </c>
      <c r="I8" s="3128">
        <v>9231.05</v>
      </c>
      <c r="J8" s="3128">
        <v>4095.91</v>
      </c>
      <c r="K8" s="3128">
        <v>0</v>
      </c>
      <c r="L8" s="3128">
        <v>3320.79</v>
      </c>
      <c r="M8" s="3128">
        <v>775.12</v>
      </c>
    </row>
    <row r="9" ht="27" customHeight="1" spans="1:13">
      <c r="A9" s="3128" t="s">
        <v>527</v>
      </c>
      <c r="B9" s="3128"/>
      <c r="C9" s="3128"/>
      <c r="D9" s="3128">
        <v>12007.03</v>
      </c>
      <c r="E9" s="3128">
        <v>65165.95</v>
      </c>
      <c r="F9" s="3128">
        <v>57631.05</v>
      </c>
      <c r="G9" s="3128">
        <v>28727</v>
      </c>
      <c r="H9" s="3128">
        <v>19673</v>
      </c>
      <c r="I9" s="3128">
        <v>9231.05</v>
      </c>
      <c r="J9" s="3128">
        <v>7534.9</v>
      </c>
      <c r="K9" s="3128">
        <v>100</v>
      </c>
      <c r="L9" s="3128">
        <v>3320.79</v>
      </c>
      <c r="M9" s="312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70" workbookViewId="0">
      <selection activeCell="F19" sqref="F19"/>
    </sheetView>
  </sheetViews>
  <sheetFormatPr defaultColWidth="9.25" defaultRowHeight="14.25"/>
  <cols>
    <col min="1" max="1" width="8.25" style="3024" customWidth="1"/>
    <col min="2" max="2" width="10.25" style="3024" customWidth="1"/>
    <col min="3" max="3" width="18.5" style="3024" customWidth="1"/>
    <col min="4" max="4" width="11.125" style="3024" customWidth="1"/>
    <col min="5" max="5" width="13.375" style="3024" customWidth="1"/>
    <col min="6" max="8" width="11.5" style="3024" customWidth="1"/>
    <col min="9" max="9" width="10.375" style="3024" customWidth="1"/>
    <col min="10" max="10" width="3.125" style="3024" customWidth="1"/>
    <col min="11" max="16" width="11.625" style="3024" customWidth="1"/>
    <col min="17" max="17" width="3.375" style="3024" customWidth="1"/>
    <col min="18" max="16384" width="9.25" style="3024"/>
  </cols>
  <sheetData>
    <row r="1" ht="18.75" spans="1:16">
      <c r="A1" s="2309" t="s">
        <v>528</v>
      </c>
      <c r="B1" s="3025"/>
      <c r="C1" s="3025"/>
      <c r="D1" s="3025"/>
      <c r="E1" s="3025"/>
      <c r="F1" s="3025"/>
      <c r="G1" s="3025"/>
      <c r="H1" s="3025"/>
      <c r="I1" s="3025"/>
      <c r="J1" s="3025"/>
      <c r="K1" s="3025"/>
      <c r="L1" s="3025"/>
      <c r="M1" s="3025"/>
      <c r="N1" s="3025"/>
      <c r="O1" s="3025"/>
      <c r="P1" s="3025"/>
    </row>
    <row r="2" spans="1:16">
      <c r="A2" s="2140" t="s">
        <v>529</v>
      </c>
      <c r="B2" s="2140"/>
      <c r="C2" s="2140"/>
      <c r="D2" s="2140" t="s">
        <v>530</v>
      </c>
      <c r="E2" s="3026" t="s">
        <v>531</v>
      </c>
      <c r="F2" s="3027"/>
      <c r="G2" s="3028"/>
      <c r="H2" s="3029"/>
      <c r="I2" s="3094" t="s">
        <v>532</v>
      </c>
      <c r="J2" s="3027"/>
      <c r="K2" s="3027"/>
      <c r="L2" s="3027"/>
      <c r="M2" s="3027"/>
      <c r="N2" s="3027"/>
      <c r="O2" s="3027"/>
      <c r="P2" s="3027"/>
    </row>
    <row r="3" ht="15.75" spans="1:16">
      <c r="A3" s="3030" t="s">
        <v>533</v>
      </c>
      <c r="B3" s="3030"/>
      <c r="C3" s="3030"/>
      <c r="D3" s="3031">
        <f>'数据-基础表'!AY6</f>
        <v>20468.06</v>
      </c>
      <c r="E3" s="3031">
        <f>'数据-基础表'!AZ5</f>
        <v>57817.58</v>
      </c>
      <c r="F3" s="3027"/>
      <c r="G3" s="2253" t="s">
        <v>534</v>
      </c>
      <c r="H3" s="2249" t="s">
        <v>535</v>
      </c>
      <c r="I3" s="509">
        <f>ROUND('数据-基础表'!B3/'数据-基础表'!A3,2)</f>
        <v>2.82</v>
      </c>
      <c r="J3" s="3027"/>
      <c r="K3" s="3027"/>
      <c r="L3" s="3027"/>
      <c r="M3" s="3027"/>
      <c r="N3" s="3027"/>
      <c r="O3" s="3027"/>
      <c r="P3" s="3027"/>
    </row>
    <row r="4" ht="15" spans="1:16">
      <c r="A4" s="3032"/>
      <c r="B4" s="3033"/>
      <c r="C4" s="3034"/>
      <c r="D4" s="3035" t="s">
        <v>530</v>
      </c>
      <c r="E4" s="3036" t="s">
        <v>531</v>
      </c>
      <c r="F4" s="3027"/>
      <c r="G4" s="3037"/>
      <c r="H4" s="2249" t="s">
        <v>536</v>
      </c>
      <c r="I4" s="509">
        <f>ROUND(SUMIF('数据-基础表'!I9:AS9,"地上",'数据-基础表'!I5:AS5)/'数据-基础表'!A3,2)</f>
        <v>1.22</v>
      </c>
      <c r="J4" s="3027"/>
      <c r="K4" s="3027"/>
      <c r="L4" s="3027"/>
      <c r="M4" s="3027"/>
      <c r="N4" s="3027"/>
      <c r="O4" s="3027"/>
      <c r="P4" s="3027"/>
    </row>
    <row r="5" spans="1:16">
      <c r="A5" s="3038" t="s">
        <v>537</v>
      </c>
      <c r="B5" s="509" t="s">
        <v>243</v>
      </c>
      <c r="C5" s="509"/>
      <c r="D5" s="3039">
        <f>ROUND($D$3*E5/$E$3,2)</f>
        <v>0</v>
      </c>
      <c r="E5" s="3040">
        <f>SUMIF('数据-基础表'!$11:$11,"住宅",'数据-基础表'!$5:$5)</f>
        <v>0</v>
      </c>
      <c r="F5" s="3027"/>
      <c r="G5" s="2253" t="s">
        <v>538</v>
      </c>
      <c r="H5" s="2249" t="s">
        <v>535</v>
      </c>
      <c r="I5" s="509">
        <f>ROUND(E31/D31,2)</f>
        <v>2.82</v>
      </c>
      <c r="J5" s="3027"/>
      <c r="K5" s="3027"/>
      <c r="L5" s="3027"/>
      <c r="M5" s="3027"/>
      <c r="N5" s="3027"/>
      <c r="O5" s="3027"/>
      <c r="P5" s="3027"/>
    </row>
    <row r="6" ht="15" spans="1:16">
      <c r="A6" s="3041"/>
      <c r="B6" s="509" t="s">
        <v>539</v>
      </c>
      <c r="C6" s="509"/>
      <c r="D6" s="3039">
        <f>ROUND($D$3*E6/$E$3,2)</f>
        <v>20468.06</v>
      </c>
      <c r="E6" s="3040">
        <f>E3-E5</f>
        <v>57817.58</v>
      </c>
      <c r="F6" s="3027"/>
      <c r="G6" s="3037"/>
      <c r="H6" s="2249" t="s">
        <v>536</v>
      </c>
      <c r="I6" s="509">
        <f>ROUND(F31/D31,2)</f>
        <v>1.22</v>
      </c>
      <c r="J6" s="3027"/>
      <c r="K6" s="3027"/>
      <c r="L6" s="3027"/>
      <c r="M6" s="3027"/>
      <c r="N6" s="3027"/>
      <c r="O6" s="3027"/>
      <c r="P6" s="3027"/>
    </row>
    <row r="7" spans="1:16">
      <c r="A7" s="3042"/>
      <c r="B7" s="3043"/>
      <c r="C7" s="3044"/>
      <c r="D7" s="3035" t="s">
        <v>530</v>
      </c>
      <c r="E7" s="3045" t="s">
        <v>540</v>
      </c>
      <c r="F7" s="3027"/>
      <c r="G7" s="3046" t="s">
        <v>541</v>
      </c>
      <c r="H7" s="3047"/>
      <c r="I7" s="3095">
        <v>2</v>
      </c>
      <c r="J7" s="3027"/>
      <c r="K7" s="3027"/>
      <c r="L7" s="3027"/>
      <c r="M7" s="3027"/>
      <c r="N7" s="3027"/>
      <c r="O7" s="3027"/>
      <c r="P7" s="3027"/>
    </row>
    <row r="8" spans="1:16">
      <c r="A8" s="3038" t="s">
        <v>542</v>
      </c>
      <c r="B8" s="3048" t="s">
        <v>543</v>
      </c>
      <c r="C8" s="3039" t="s">
        <v>544</v>
      </c>
      <c r="D8" s="3039">
        <f t="shared" ref="D8:D15" si="0">ROUND($D$3*E8/$E$3,2)</f>
        <v>8858.31</v>
      </c>
      <c r="E8" s="3049">
        <f>SUMIF('数据-基础表'!BB10:BK10,"地上",'数据-基础表'!BB5:BK5)</f>
        <v>25022.71</v>
      </c>
      <c r="F8" s="3027"/>
      <c r="G8" s="3050"/>
      <c r="H8" s="3050"/>
      <c r="I8" s="3027"/>
      <c r="J8" s="3027"/>
      <c r="K8" s="3027"/>
      <c r="L8" s="3027"/>
      <c r="M8" s="3027"/>
      <c r="N8" s="3027"/>
      <c r="O8" s="3027"/>
      <c r="P8" s="3027"/>
    </row>
    <row r="9" spans="1:16">
      <c r="A9" s="3051"/>
      <c r="B9" s="3052"/>
      <c r="C9" s="3039" t="s">
        <v>545</v>
      </c>
      <c r="D9" s="3039">
        <f t="shared" si="0"/>
        <v>0</v>
      </c>
      <c r="E9" s="3053">
        <v>0</v>
      </c>
      <c r="F9" s="3027"/>
      <c r="G9" s="3050"/>
      <c r="H9" s="3050"/>
      <c r="I9" s="3027"/>
      <c r="J9" s="3027"/>
      <c r="K9" s="3027"/>
      <c r="L9" s="3027"/>
      <c r="M9" s="3027"/>
      <c r="N9" s="3027"/>
      <c r="O9" s="3027"/>
      <c r="P9" s="3027"/>
    </row>
    <row r="10" spans="1:16">
      <c r="A10" s="3051"/>
      <c r="B10" s="3052"/>
      <c r="C10" s="3039" t="s">
        <v>546</v>
      </c>
      <c r="D10" s="3039">
        <f t="shared" si="0"/>
        <v>0</v>
      </c>
      <c r="E10" s="3049">
        <f>SUMPRODUCT(('数据-基础表'!BB10:BK10="地下")*('数据-基础表'!BB11:BK11="商业")*('数据-基础表'!BB5:BK5))</f>
        <v>0</v>
      </c>
      <c r="F10" s="3027"/>
      <c r="G10" s="3050"/>
      <c r="H10" s="3050"/>
      <c r="I10" s="3027"/>
      <c r="J10" s="3027"/>
      <c r="K10" s="3027"/>
      <c r="L10" s="3027"/>
      <c r="M10" s="3027"/>
      <c r="N10" s="3027"/>
      <c r="O10" s="3027"/>
      <c r="P10" s="3027"/>
    </row>
    <row r="11" spans="1:16">
      <c r="A11" s="3051"/>
      <c r="B11" s="3052"/>
      <c r="C11" s="3054" t="s">
        <v>547</v>
      </c>
      <c r="D11" s="3039">
        <f t="shared" si="0"/>
        <v>9356.39</v>
      </c>
      <c r="E11" s="3049">
        <f>SUMPRODUCT(('数据-基础表'!BB10:BK10="地下")*('数据-基础表'!BB11:BK11="办公")*('数据-基础表'!BB5:BK5))+'数据-基础表'!AJ5</f>
        <v>26429.67</v>
      </c>
      <c r="F11" s="3027"/>
      <c r="G11" s="3050"/>
      <c r="H11" s="3050"/>
      <c r="I11" s="3027"/>
      <c r="J11" s="3027"/>
      <c r="K11" s="3027"/>
      <c r="L11" s="3027"/>
      <c r="M11" s="3027"/>
      <c r="N11" s="3027"/>
      <c r="O11" s="3027"/>
      <c r="P11" s="3027"/>
    </row>
    <row r="12" spans="1:16">
      <c r="A12" s="3051"/>
      <c r="B12" s="3052"/>
      <c r="C12" s="3039" t="s">
        <v>548</v>
      </c>
      <c r="D12" s="3039">
        <f t="shared" si="0"/>
        <v>0</v>
      </c>
      <c r="E12" s="3049">
        <f>SUMPRODUCT(('数据-基础表'!BB10:BK10="地下")*('数据-基础表'!BB11:BK11="仓储")*('数据-基础表'!BB5:BK5))</f>
        <v>0</v>
      </c>
      <c r="F12" s="3027"/>
      <c r="G12" s="3050"/>
      <c r="H12" s="3050"/>
      <c r="I12" s="3027"/>
      <c r="J12" s="3027"/>
      <c r="K12" s="3027"/>
      <c r="L12" s="3027"/>
      <c r="M12" s="3027"/>
      <c r="N12" s="3027"/>
      <c r="O12" s="3027"/>
      <c r="P12" s="3027"/>
    </row>
    <row r="13" spans="1:16">
      <c r="A13" s="3051"/>
      <c r="B13" s="3052"/>
      <c r="C13" s="3054" t="s">
        <v>549</v>
      </c>
      <c r="D13" s="3039">
        <f t="shared" si="0"/>
        <v>777.76</v>
      </c>
      <c r="E13" s="3049">
        <f>SUMPRODUCT(('数据-基础表'!BB10:BK10="地下")*('数据-基础表'!BB11:BK11="车库")*('数据-基础表'!BB5:BK5))</f>
        <v>2196.98</v>
      </c>
      <c r="F13" s="3027"/>
      <c r="G13" s="3050"/>
      <c r="H13" s="3050"/>
      <c r="I13" s="3027"/>
      <c r="J13" s="3027"/>
      <c r="K13" s="3027"/>
      <c r="L13" s="3027"/>
      <c r="M13" s="3027"/>
      <c r="N13" s="3027"/>
      <c r="O13" s="3027"/>
      <c r="P13" s="3027"/>
    </row>
    <row r="14" spans="1:16">
      <c r="A14" s="3051"/>
      <c r="B14" s="3052"/>
      <c r="C14" s="3039" t="s">
        <v>550</v>
      </c>
      <c r="D14" s="3039">
        <f t="shared" si="0"/>
        <v>0</v>
      </c>
      <c r="E14" s="3049">
        <f>SUMPRODUCT(('数据-基础表'!BB10:BK10="地下")*('数据-基础表'!BB11:BK11="车库—商业")*('数据-基础表'!BB5:BK5))</f>
        <v>0</v>
      </c>
      <c r="F14" s="3027"/>
      <c r="G14" s="3050"/>
      <c r="H14" s="3050"/>
      <c r="I14" s="3027"/>
      <c r="J14" s="3027"/>
      <c r="K14" s="3027"/>
      <c r="L14" s="3027"/>
      <c r="M14" s="3027"/>
      <c r="N14" s="3027"/>
      <c r="O14" s="3027"/>
      <c r="P14" s="3027"/>
    </row>
    <row r="15" ht="15" spans="1:16">
      <c r="A15" s="3051"/>
      <c r="B15" s="3052"/>
      <c r="C15" s="3039" t="s">
        <v>551</v>
      </c>
      <c r="D15" s="3039">
        <f t="shared" si="0"/>
        <v>0</v>
      </c>
      <c r="E15" s="3049">
        <f>SUMPRODUCT(('数据-基础表'!BB10:BK10="地下")*('数据-基础表'!BB11:BK11="车库—办公")*('数据-基础表'!BB5:BK5))</f>
        <v>0</v>
      </c>
      <c r="F15" s="3027"/>
      <c r="G15" s="3050"/>
      <c r="H15" s="3050"/>
      <c r="I15" s="3027"/>
      <c r="J15" s="3027"/>
      <c r="K15" s="3027"/>
      <c r="L15" s="3027"/>
      <c r="M15" s="3027"/>
      <c r="N15" s="3027"/>
      <c r="O15" s="3027"/>
      <c r="P15" s="3027"/>
    </row>
    <row r="16" ht="15" spans="1:16">
      <c r="A16" s="3041"/>
      <c r="B16" s="3052"/>
      <c r="C16" s="3048" t="s">
        <v>552</v>
      </c>
      <c r="D16" s="3048">
        <f>SUM(D8:D15)</f>
        <v>18992.46</v>
      </c>
      <c r="E16" s="3055">
        <f>SUM(E8:E15)</f>
        <v>53649.36</v>
      </c>
      <c r="F16" s="3027"/>
      <c r="G16" s="3050"/>
      <c r="H16" s="3056" t="s">
        <v>553</v>
      </c>
      <c r="I16" s="3096"/>
      <c r="J16" s="3025"/>
      <c r="K16" s="3097" t="s">
        <v>554</v>
      </c>
      <c r="L16" s="3098"/>
      <c r="M16" s="3098"/>
      <c r="N16" s="3098"/>
      <c r="O16" s="3098"/>
      <c r="P16" s="3099"/>
    </row>
    <row r="17" ht="15" spans="1:19">
      <c r="A17" s="2989" t="s">
        <v>555</v>
      </c>
      <c r="B17" s="3057" t="s">
        <v>224</v>
      </c>
      <c r="C17" s="3058" t="s">
        <v>409</v>
      </c>
      <c r="D17" s="3035" t="s">
        <v>530</v>
      </c>
      <c r="E17" s="3059" t="s">
        <v>531</v>
      </c>
      <c r="F17" s="3060"/>
      <c r="G17" s="3061"/>
      <c r="H17" s="3062" t="s">
        <v>556</v>
      </c>
      <c r="I17" s="3100" t="s">
        <v>557</v>
      </c>
      <c r="J17" s="3025"/>
      <c r="K17" s="3101" t="s">
        <v>558</v>
      </c>
      <c r="L17" s="3102"/>
      <c r="M17" s="3103"/>
      <c r="N17" s="3101" t="s">
        <v>559</v>
      </c>
      <c r="O17" s="3102"/>
      <c r="P17" s="3103"/>
      <c r="R17" s="3122" t="s">
        <v>560</v>
      </c>
      <c r="S17" s="2235"/>
    </row>
    <row r="18" ht="15" spans="1:19">
      <c r="A18" s="3051"/>
      <c r="B18" s="3063"/>
      <c r="C18" s="3064"/>
      <c r="D18" s="2140"/>
      <c r="E18" s="3065" t="s">
        <v>561</v>
      </c>
      <c r="F18" s="3066" t="s">
        <v>242</v>
      </c>
      <c r="G18" s="3067" t="s">
        <v>266</v>
      </c>
      <c r="H18" s="2996" t="s">
        <v>562</v>
      </c>
      <c r="I18" s="3104" t="s">
        <v>563</v>
      </c>
      <c r="J18" s="3025"/>
      <c r="K18" s="3105" t="s">
        <v>564</v>
      </c>
      <c r="L18" s="3106" t="s">
        <v>565</v>
      </c>
      <c r="M18" s="3107" t="s">
        <v>566</v>
      </c>
      <c r="N18" s="3105" t="s">
        <v>564</v>
      </c>
      <c r="O18" s="3106" t="s">
        <v>565</v>
      </c>
      <c r="P18" s="3107" t="s">
        <v>566</v>
      </c>
      <c r="R18" s="3123" t="s">
        <v>392</v>
      </c>
      <c r="S18" s="3123" t="s">
        <v>389</v>
      </c>
    </row>
    <row r="19" spans="1:19">
      <c r="A19" s="3068"/>
      <c r="B19" s="3048" t="s">
        <v>245</v>
      </c>
      <c r="C19" s="3069" t="s">
        <v>567</v>
      </c>
      <c r="D19" s="3039">
        <f t="shared" ref="D19:D26" si="1">ROUND($D$3*E19/$E$3,2)</f>
        <v>8858.31</v>
      </c>
      <c r="E19" s="3070">
        <f t="shared" ref="E19:E26" si="2">SUM(F19:G19)</f>
        <v>25022.71</v>
      </c>
      <c r="F19" s="3071">
        <f>'数据-基础表'!I5</f>
        <v>25022.71</v>
      </c>
      <c r="G19" s="3072"/>
      <c r="H19" s="2979">
        <f>ROUND($D$3*I19/$E$3,2)</f>
        <v>688.24</v>
      </c>
      <c r="I19" s="3049">
        <f>IF($I$17="自定义",P19,M19)</f>
        <v>1944.11</v>
      </c>
      <c r="J19" s="3025"/>
      <c r="K19" s="3108">
        <f t="shared" ref="K19:K26" si="3">ROUND(E$28*E19/E$27,2)</f>
        <v>1944.11</v>
      </c>
      <c r="L19" s="2249">
        <f t="shared" ref="L19:L26" si="4">ROUND(IF(COUNTIF(C19,"*住宅*")&gt;0,E$29*E19/E$32,0),2)</f>
        <v>0</v>
      </c>
      <c r="M19" s="3109">
        <f>K19+L19</f>
        <v>1944.11</v>
      </c>
      <c r="N19" s="3110"/>
      <c r="O19" s="3111"/>
      <c r="P19" s="3112">
        <f>N19+O19</f>
        <v>0</v>
      </c>
      <c r="R19" s="2249">
        <f t="shared" ref="R19:S26" si="5">D19+H19</f>
        <v>9546.55</v>
      </c>
      <c r="S19" s="3124">
        <f t="shared" si="5"/>
        <v>26966.82</v>
      </c>
    </row>
    <row r="20" spans="1:19">
      <c r="A20" s="3073"/>
      <c r="B20" s="3048" t="s">
        <v>245</v>
      </c>
      <c r="C20" s="3069" t="s">
        <v>568</v>
      </c>
      <c r="D20" s="3039">
        <f t="shared" si="1"/>
        <v>9356.39</v>
      </c>
      <c r="E20" s="3070">
        <f t="shared" si="2"/>
        <v>26429.67</v>
      </c>
      <c r="F20" s="3071"/>
      <c r="G20" s="3072">
        <f>'数据-基础表'!K5</f>
        <v>26429.67</v>
      </c>
      <c r="H20" s="2979">
        <f t="shared" ref="H20:H26" si="6">ROUND($D$3*I20/$E$3,2)</f>
        <v>726.93</v>
      </c>
      <c r="I20" s="3049">
        <f t="shared" ref="I20:I26" si="7">IF($I$17="自定义",P20,M20)</f>
        <v>2053.42</v>
      </c>
      <c r="J20" s="3025"/>
      <c r="K20" s="3108">
        <f t="shared" si="3"/>
        <v>2053.42</v>
      </c>
      <c r="L20" s="2249">
        <f t="shared" si="4"/>
        <v>0</v>
      </c>
      <c r="M20" s="3109">
        <f t="shared" ref="M20:M26" si="8">K20+L20</f>
        <v>2053.42</v>
      </c>
      <c r="N20" s="3110"/>
      <c r="O20" s="3111"/>
      <c r="P20" s="3112">
        <f t="shared" ref="P20:P26" si="9">N20+O20</f>
        <v>0</v>
      </c>
      <c r="R20" s="2249">
        <f t="shared" si="5"/>
        <v>10083.32</v>
      </c>
      <c r="S20" s="3124">
        <f t="shared" si="5"/>
        <v>28483.09</v>
      </c>
    </row>
    <row r="21" spans="1:19">
      <c r="A21" s="3073"/>
      <c r="B21" s="3048" t="s">
        <v>245</v>
      </c>
      <c r="C21" s="3069" t="s">
        <v>383</v>
      </c>
      <c r="D21" s="3039">
        <f t="shared" si="1"/>
        <v>777.76</v>
      </c>
      <c r="E21" s="3070">
        <f t="shared" si="2"/>
        <v>2196.98</v>
      </c>
      <c r="F21" s="3071"/>
      <c r="G21" s="3072">
        <f>'数据-基础表'!M5</f>
        <v>2196.98</v>
      </c>
      <c r="H21" s="2979">
        <f t="shared" si="6"/>
        <v>60.43</v>
      </c>
      <c r="I21" s="3049">
        <f t="shared" si="7"/>
        <v>170.69</v>
      </c>
      <c r="J21" s="3025"/>
      <c r="K21" s="3108">
        <f t="shared" si="3"/>
        <v>170.69</v>
      </c>
      <c r="L21" s="2249">
        <f t="shared" si="4"/>
        <v>0</v>
      </c>
      <c r="M21" s="3109">
        <f t="shared" si="8"/>
        <v>170.69</v>
      </c>
      <c r="N21" s="3110"/>
      <c r="O21" s="3111"/>
      <c r="P21" s="3112">
        <f t="shared" si="9"/>
        <v>0</v>
      </c>
      <c r="R21" s="2249">
        <f t="shared" si="5"/>
        <v>838.19</v>
      </c>
      <c r="S21" s="3124">
        <f t="shared" si="5"/>
        <v>2367.67</v>
      </c>
    </row>
    <row r="22" spans="1:19">
      <c r="A22" s="3073"/>
      <c r="B22" s="3048" t="s">
        <v>245</v>
      </c>
      <c r="C22" s="3074"/>
      <c r="D22" s="3039">
        <f t="shared" si="1"/>
        <v>0</v>
      </c>
      <c r="E22" s="3070">
        <f t="shared" si="2"/>
        <v>0</v>
      </c>
      <c r="F22" s="3075"/>
      <c r="G22" s="3076"/>
      <c r="H22" s="2979">
        <f t="shared" si="6"/>
        <v>0</v>
      </c>
      <c r="I22" s="3049">
        <f t="shared" si="7"/>
        <v>0</v>
      </c>
      <c r="J22" s="3025"/>
      <c r="K22" s="3108">
        <f t="shared" si="3"/>
        <v>0</v>
      </c>
      <c r="L22" s="2249">
        <f t="shared" si="4"/>
        <v>0</v>
      </c>
      <c r="M22" s="3109">
        <f t="shared" si="8"/>
        <v>0</v>
      </c>
      <c r="N22" s="3110"/>
      <c r="O22" s="3111"/>
      <c r="P22" s="3112">
        <f t="shared" si="9"/>
        <v>0</v>
      </c>
      <c r="R22" s="2249">
        <f t="shared" si="5"/>
        <v>0</v>
      </c>
      <c r="S22" s="3124">
        <f t="shared" si="5"/>
        <v>0</v>
      </c>
    </row>
    <row r="23" spans="1:19">
      <c r="A23" s="3073"/>
      <c r="B23" s="3048" t="s">
        <v>245</v>
      </c>
      <c r="C23" s="3077"/>
      <c r="D23" s="3039">
        <f t="shared" si="1"/>
        <v>0</v>
      </c>
      <c r="E23" s="3070">
        <f t="shared" si="2"/>
        <v>0</v>
      </c>
      <c r="F23" s="3075"/>
      <c r="G23" s="3076"/>
      <c r="H23" s="2979">
        <f t="shared" si="6"/>
        <v>0</v>
      </c>
      <c r="I23" s="3049">
        <f t="shared" si="7"/>
        <v>0</v>
      </c>
      <c r="J23" s="3025"/>
      <c r="K23" s="3108">
        <f t="shared" si="3"/>
        <v>0</v>
      </c>
      <c r="L23" s="2249">
        <f t="shared" si="4"/>
        <v>0</v>
      </c>
      <c r="M23" s="3109">
        <f t="shared" si="8"/>
        <v>0</v>
      </c>
      <c r="N23" s="3110"/>
      <c r="O23" s="3111"/>
      <c r="P23" s="3112">
        <f t="shared" si="9"/>
        <v>0</v>
      </c>
      <c r="R23" s="2249">
        <f t="shared" si="5"/>
        <v>0</v>
      </c>
      <c r="S23" s="3124">
        <f t="shared" si="5"/>
        <v>0</v>
      </c>
    </row>
    <row r="24" spans="1:19">
      <c r="A24" s="3073"/>
      <c r="B24" s="3048" t="s">
        <v>245</v>
      </c>
      <c r="C24" s="3077"/>
      <c r="D24" s="3039">
        <f t="shared" si="1"/>
        <v>0</v>
      </c>
      <c r="E24" s="3070">
        <f t="shared" si="2"/>
        <v>0</v>
      </c>
      <c r="F24" s="3075"/>
      <c r="G24" s="3076"/>
      <c r="H24" s="2979">
        <f t="shared" si="6"/>
        <v>0</v>
      </c>
      <c r="I24" s="3049">
        <f t="shared" si="7"/>
        <v>0</v>
      </c>
      <c r="J24" s="3025"/>
      <c r="K24" s="3108">
        <f t="shared" si="3"/>
        <v>0</v>
      </c>
      <c r="L24" s="2249">
        <f t="shared" si="4"/>
        <v>0</v>
      </c>
      <c r="M24" s="3109">
        <f t="shared" si="8"/>
        <v>0</v>
      </c>
      <c r="N24" s="3110"/>
      <c r="O24" s="3111"/>
      <c r="P24" s="3112">
        <f t="shared" si="9"/>
        <v>0</v>
      </c>
      <c r="R24" s="2249">
        <f t="shared" si="5"/>
        <v>0</v>
      </c>
      <c r="S24" s="3124">
        <f t="shared" si="5"/>
        <v>0</v>
      </c>
    </row>
    <row r="25" spans="1:19">
      <c r="A25" s="3073"/>
      <c r="B25" s="3048" t="s">
        <v>245</v>
      </c>
      <c r="C25" s="3077"/>
      <c r="D25" s="3039">
        <f t="shared" si="1"/>
        <v>0</v>
      </c>
      <c r="E25" s="3070">
        <f t="shared" si="2"/>
        <v>0</v>
      </c>
      <c r="F25" s="3075"/>
      <c r="G25" s="3076"/>
      <c r="H25" s="3038">
        <f t="shared" si="6"/>
        <v>0</v>
      </c>
      <c r="I25" s="3049">
        <f t="shared" si="7"/>
        <v>0</v>
      </c>
      <c r="J25" s="3025"/>
      <c r="K25" s="3108">
        <f t="shared" si="3"/>
        <v>0</v>
      </c>
      <c r="L25" s="2249">
        <f t="shared" si="4"/>
        <v>0</v>
      </c>
      <c r="M25" s="3109">
        <f t="shared" si="8"/>
        <v>0</v>
      </c>
      <c r="N25" s="3110"/>
      <c r="O25" s="3111"/>
      <c r="P25" s="3112">
        <f t="shared" si="9"/>
        <v>0</v>
      </c>
      <c r="R25" s="2249">
        <f t="shared" si="5"/>
        <v>0</v>
      </c>
      <c r="S25" s="3124">
        <f t="shared" si="5"/>
        <v>0</v>
      </c>
    </row>
    <row r="26" spans="1:19">
      <c r="A26" s="3073"/>
      <c r="B26" s="3048" t="s">
        <v>245</v>
      </c>
      <c r="C26" s="3078"/>
      <c r="D26" s="3039">
        <f t="shared" si="1"/>
        <v>0</v>
      </c>
      <c r="E26" s="3070">
        <f t="shared" si="2"/>
        <v>0</v>
      </c>
      <c r="F26" s="3075"/>
      <c r="G26" s="3076"/>
      <c r="H26" s="3038">
        <f t="shared" si="6"/>
        <v>0</v>
      </c>
      <c r="I26" s="3049">
        <f t="shared" si="7"/>
        <v>0</v>
      </c>
      <c r="J26" s="3025"/>
      <c r="K26" s="3113">
        <f t="shared" si="3"/>
        <v>0</v>
      </c>
      <c r="L26" s="2253">
        <f t="shared" si="4"/>
        <v>0</v>
      </c>
      <c r="M26" s="3083">
        <f t="shared" si="8"/>
        <v>0</v>
      </c>
      <c r="N26" s="3114"/>
      <c r="O26" s="3115"/>
      <c r="P26" s="3116">
        <f t="shared" si="9"/>
        <v>0</v>
      </c>
      <c r="R26" s="2249">
        <f t="shared" si="5"/>
        <v>0</v>
      </c>
      <c r="S26" s="3124">
        <f t="shared" si="5"/>
        <v>0</v>
      </c>
    </row>
    <row r="27" ht="15.75" spans="1:19">
      <c r="A27" s="3073"/>
      <c r="B27" s="3039"/>
      <c r="C27" s="2292" t="s">
        <v>552</v>
      </c>
      <c r="D27" s="3070">
        <f>SUM(D19:D26)</f>
        <v>18992.46</v>
      </c>
      <c r="E27" s="3079">
        <f>IF(SUM(E19:E26)='数据-基础表'!BA5,SUM(E19:E26),IF(F27="地上面积有误","面积有误","地下面积有误"))</f>
        <v>53649.36</v>
      </c>
      <c r="F27" s="3070">
        <f>IF(SUM(F19:F26)=E8,SUM(F19:F26),"地上面积有误")</f>
        <v>25022.71</v>
      </c>
      <c r="G27" s="3040">
        <f>SUM(G19:G26)</f>
        <v>28626.65</v>
      </c>
      <c r="H27" s="3080">
        <f>SUM(H19:H26)</f>
        <v>1475.6</v>
      </c>
      <c r="I27" s="3117">
        <f>SUM(I19:I26)</f>
        <v>4168.22</v>
      </c>
      <c r="J27" s="3025"/>
      <c r="K27" s="3118">
        <f>SUM(K19:K26)</f>
        <v>4168.22</v>
      </c>
      <c r="L27" s="3119">
        <f>SUM(L19:L26)</f>
        <v>0</v>
      </c>
      <c r="M27" s="3120">
        <f>SUM(M19:M26)</f>
        <v>4168.22</v>
      </c>
      <c r="N27" s="3118">
        <f t="shared" ref="N27:P27" si="10">SUM(N19:N26)</f>
        <v>0</v>
      </c>
      <c r="O27" s="3119">
        <f t="shared" si="10"/>
        <v>0</v>
      </c>
      <c r="P27" s="3121">
        <f t="shared" si="10"/>
        <v>0</v>
      </c>
      <c r="R27" s="3125">
        <f>IF(SUM(R19:R26)=$D$3,SUM(R19:R26),SUM(R19:R26)&amp;"误差"&amp;ROUND(SUM(R19:R26)-$D$3,2))</f>
        <v>20468.06</v>
      </c>
      <c r="S27" s="2249">
        <f>IF(SUM(S19:S26)=$E$3,SUM(S19:S26),SUM(S19:S26)&amp;"误差"&amp;ROUND(SUM(S19:S26)-E3,2))</f>
        <v>57817.58</v>
      </c>
    </row>
    <row r="28" spans="1:16">
      <c r="A28" s="3073"/>
      <c r="B28" s="3048" t="s">
        <v>257</v>
      </c>
      <c r="C28" s="2999" t="s">
        <v>569</v>
      </c>
      <c r="D28" s="3039">
        <f>ROUND($D$3*E28/$E$3,2)</f>
        <v>1475.6</v>
      </c>
      <c r="E28" s="3070">
        <f>SUM(F28:G28)</f>
        <v>4168.22</v>
      </c>
      <c r="F28" s="2235">
        <f>'数据-基础表'!BQ5+'数据-基础表'!BS5</f>
        <v>0</v>
      </c>
      <c r="G28" s="3081">
        <f>'数据-基础表'!BR5+'数据-基础表'!BT5</f>
        <v>4168.22</v>
      </c>
      <c r="H28" s="3027"/>
      <c r="I28" s="3027"/>
      <c r="J28" s="3027"/>
      <c r="K28" s="3027"/>
      <c r="L28" s="3027"/>
      <c r="M28" s="3027"/>
      <c r="N28" s="3027"/>
      <c r="O28" s="3027"/>
      <c r="P28" s="3027"/>
    </row>
    <row r="29" spans="1:16">
      <c r="A29" s="3073"/>
      <c r="B29" s="3048" t="s">
        <v>257</v>
      </c>
      <c r="C29" s="3082" t="s">
        <v>570</v>
      </c>
      <c r="D29" s="3039">
        <f>ROUND($D$3*E29/$E$3,2)</f>
        <v>0</v>
      </c>
      <c r="E29" s="3070">
        <f>SUM(F29:G29)</f>
        <v>0</v>
      </c>
      <c r="F29" s="2235">
        <f>'数据-基础表'!BM5+'数据-基础表'!BO5</f>
        <v>0</v>
      </c>
      <c r="G29" s="3083">
        <f>'数据-基础表'!BN5+'数据-基础表'!BP5</f>
        <v>0</v>
      </c>
      <c r="H29" s="3027"/>
      <c r="I29" s="3027"/>
      <c r="J29" s="3027"/>
      <c r="K29" s="3027"/>
      <c r="L29" s="3027"/>
      <c r="M29" s="3027"/>
      <c r="N29" s="3027"/>
      <c r="O29" s="3027"/>
      <c r="P29" s="3027"/>
    </row>
    <row r="30" spans="1:16">
      <c r="A30" s="3073"/>
      <c r="B30" s="3039"/>
      <c r="C30" s="3084" t="s">
        <v>552</v>
      </c>
      <c r="D30" s="3070">
        <f>SUM(D28:D29)</f>
        <v>1475.6</v>
      </c>
      <c r="E30" s="3070">
        <f>SUM(E28:E29)</f>
        <v>4168.22</v>
      </c>
      <c r="F30" s="3070">
        <f>SUM(F28:F29)</f>
        <v>0</v>
      </c>
      <c r="G30" s="3040">
        <f>SUM(G28:G29)</f>
        <v>4168.22</v>
      </c>
      <c r="H30" s="3027"/>
      <c r="I30" s="3027"/>
      <c r="J30" s="3027"/>
      <c r="K30" s="3027"/>
      <c r="L30" s="3027"/>
      <c r="M30" s="3027"/>
      <c r="N30" s="3027"/>
      <c r="O30" s="3027"/>
      <c r="P30" s="3027"/>
    </row>
    <row r="31" ht="32.25" customHeight="1" spans="1:16">
      <c r="A31" s="3085"/>
      <c r="B31" s="3086" t="s">
        <v>571</v>
      </c>
      <c r="C31" s="3087" t="s">
        <v>572</v>
      </c>
      <c r="D31" s="3088">
        <f>D27+D30</f>
        <v>20468.06</v>
      </c>
      <c r="E31" s="3088">
        <f>E27+E30</f>
        <v>57817.58</v>
      </c>
      <c r="F31" s="3089">
        <f>F27+F30</f>
        <v>25022.71</v>
      </c>
      <c r="G31" s="3090">
        <f>G27+G30</f>
        <v>32794.87</v>
      </c>
      <c r="H31" s="3027"/>
      <c r="I31" s="3027"/>
      <c r="J31" s="3027"/>
      <c r="K31" s="3027"/>
      <c r="L31" s="3027"/>
      <c r="M31" s="3027"/>
      <c r="N31" s="3027"/>
      <c r="O31" s="3027"/>
      <c r="P31" s="3027"/>
    </row>
    <row r="32" spans="1:16">
      <c r="A32" s="3025"/>
      <c r="B32" s="3091" t="s">
        <v>573</v>
      </c>
      <c r="C32" s="3092"/>
      <c r="D32" s="3037"/>
      <c r="E32" s="3037">
        <f>SUMIF(C19:C26,"*住宅*",E19:E26)</f>
        <v>0</v>
      </c>
      <c r="F32" s="3037"/>
      <c r="G32" s="3037"/>
      <c r="H32" s="3027"/>
      <c r="I32" s="3027"/>
      <c r="J32" s="3027"/>
      <c r="K32" s="3027"/>
      <c r="L32" s="3027"/>
      <c r="M32" s="3027"/>
      <c r="N32" s="3027"/>
      <c r="O32" s="3027"/>
      <c r="P32" s="3027"/>
    </row>
    <row r="33" spans="4:4">
      <c r="D33" s="309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3" priority="1" stopIfTrue="1" operator="between" text="面积有误">
      <formula>NOT(ISERROR(SEARCH("面积有误",E27)))</formula>
    </cfRule>
    <cfRule type="cellIs" dxfId="4" priority="3" stopIfTrue="1" operator="equal">
      <formula>"地下面积有误"</formula>
    </cfRule>
  </conditionalFormatting>
  <conditionalFormatting sqref="F27">
    <cfRule type="cellIs" dxfId="4"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4"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CE192"/>
  <sheetViews>
    <sheetView zoomScale="80" zoomScaleNormal="80" workbookViewId="0">
      <pane xSplit="3" ySplit="5" topLeftCell="D6" activePane="bottomRight" state="frozen"/>
      <selection/>
      <selection pane="topRight"/>
      <selection pane="bottomLeft"/>
      <selection pane="bottomRight" activeCell="B32" sqref="B32"/>
    </sheetView>
  </sheetViews>
  <sheetFormatPr defaultColWidth="13.75" defaultRowHeight="12.75"/>
  <cols>
    <col min="1" max="1" width="20.875" style="2823" customWidth="1"/>
    <col min="2" max="3" width="12" style="2824" customWidth="1"/>
    <col min="4" max="4" width="9.125" style="2825" customWidth="1"/>
    <col min="5" max="5" width="15" style="2824" customWidth="1"/>
    <col min="6" max="10" width="8.875" style="2824" customWidth="1"/>
    <col min="11" max="12" width="12.375" style="76" customWidth="1"/>
    <col min="13" max="13" width="8.625" style="2824" customWidth="1"/>
    <col min="14" max="14" width="9.75" style="2824" customWidth="1"/>
    <col min="15" max="16" width="9.625" style="2824" customWidth="1"/>
    <col min="17" max="17" width="10.875" style="2824" customWidth="1"/>
    <col min="18" max="19" width="12.5" style="2824" customWidth="1"/>
    <col min="20" max="20" width="12.125" style="2824" customWidth="1"/>
    <col min="21" max="21" width="7.5" style="2824" customWidth="1"/>
    <col min="22" max="22" width="6.375" style="2824" customWidth="1"/>
    <col min="23" max="24" width="6.75" style="2824" customWidth="1"/>
    <col min="25" max="25" width="8.125" style="2824" customWidth="1"/>
    <col min="26" max="30" width="6.75" style="2824" customWidth="1"/>
    <col min="31" max="31" width="6.5" style="2824" customWidth="1"/>
    <col min="32" max="34" width="7.25" style="2824" customWidth="1"/>
    <col min="35" max="39" width="8" style="2824" customWidth="1"/>
    <col min="40" max="41" width="13.75" style="2822"/>
    <col min="42" max="42" width="13.75" style="2822" customWidth="1"/>
    <col min="43" max="83" width="13.75" style="2822"/>
    <col min="84" max="16384" width="13.75" style="2824"/>
  </cols>
  <sheetData>
    <row r="1" ht="19.5" spans="1:52">
      <c r="A1" s="2826" t="s">
        <v>574</v>
      </c>
      <c r="B1" s="2827"/>
      <c r="C1" s="1039"/>
      <c r="D1" s="2828"/>
      <c r="E1" s="1039"/>
      <c r="F1" s="1039"/>
      <c r="G1" s="1039"/>
      <c r="H1" s="1039"/>
      <c r="I1" s="1039"/>
      <c r="J1" s="1039"/>
      <c r="K1" s="119"/>
      <c r="L1" s="119"/>
      <c r="M1" s="1039"/>
      <c r="N1" s="1039"/>
      <c r="O1" s="1039"/>
      <c r="P1" s="1039"/>
      <c r="Q1" s="1039"/>
      <c r="R1" s="1039"/>
      <c r="S1" s="1039"/>
      <c r="T1" s="1039"/>
      <c r="U1" s="1039"/>
      <c r="V1" s="1039"/>
      <c r="W1" s="1039"/>
      <c r="X1" s="1039"/>
      <c r="Y1" s="1039"/>
      <c r="Z1" s="1039"/>
      <c r="AA1" s="1039"/>
      <c r="AB1" s="1039"/>
      <c r="AC1" s="1039"/>
      <c r="AD1" s="1039"/>
      <c r="AE1" s="1039"/>
      <c r="AF1" s="1039"/>
      <c r="AG1" s="1039"/>
      <c r="AH1" s="1039"/>
      <c r="AI1" s="1039"/>
      <c r="AJ1" s="1039"/>
      <c r="AK1" s="1039"/>
      <c r="AL1" s="1039"/>
      <c r="AM1" s="1039"/>
      <c r="AN1" s="2867"/>
      <c r="AO1" s="2867"/>
      <c r="AP1" s="2867"/>
      <c r="AQ1" s="2867"/>
      <c r="AR1" s="2867"/>
      <c r="AS1" s="2867"/>
      <c r="AT1" s="2867"/>
      <c r="AU1" s="2867"/>
      <c r="AV1" s="2867"/>
      <c r="AW1" s="2867"/>
      <c r="AX1" s="2867"/>
      <c r="AY1" s="2867"/>
      <c r="AZ1" s="2867"/>
    </row>
    <row r="2" s="2819" customFormat="1" ht="15.75" spans="1:83">
      <c r="A2" s="2829" t="s">
        <v>575</v>
      </c>
      <c r="B2" s="2830">
        <f>项目基本情况!D3</f>
        <v>44519</v>
      </c>
      <c r="C2" s="2831"/>
      <c r="D2" s="2832"/>
      <c r="E2" s="2831"/>
      <c r="F2" s="2831"/>
      <c r="G2" s="2831"/>
      <c r="H2" s="2831"/>
      <c r="I2" s="2831"/>
      <c r="J2" s="2831"/>
      <c r="K2" s="499"/>
      <c r="L2" s="499"/>
      <c r="M2" s="2831"/>
      <c r="N2" s="2831"/>
      <c r="O2" s="2831"/>
      <c r="P2" s="2831"/>
      <c r="Q2" s="2831"/>
      <c r="R2" s="2831"/>
      <c r="S2" s="2831"/>
      <c r="T2" s="2831"/>
      <c r="U2" s="2831"/>
      <c r="V2" s="2831"/>
      <c r="W2" s="2831"/>
      <c r="X2" s="2831"/>
      <c r="Y2" s="2831"/>
      <c r="Z2" s="2831"/>
      <c r="AA2" s="2831"/>
      <c r="AB2" s="2831"/>
      <c r="AC2" s="2831"/>
      <c r="AD2" s="2831"/>
      <c r="AE2" s="2831"/>
      <c r="AF2" s="2831"/>
      <c r="AG2" s="2831"/>
      <c r="AH2" s="2831"/>
      <c r="AI2" s="2831"/>
      <c r="AJ2" s="2831"/>
      <c r="AK2" s="2831"/>
      <c r="AL2" s="2831"/>
      <c r="AM2" s="2831"/>
      <c r="AN2" s="2869"/>
      <c r="AO2" s="2869"/>
      <c r="AP2" s="2869"/>
      <c r="AQ2" s="2869"/>
      <c r="AR2" s="2869"/>
      <c r="AS2" s="2869"/>
      <c r="AT2" s="2869"/>
      <c r="AU2" s="2869"/>
      <c r="AV2" s="2869"/>
      <c r="AW2" s="2869"/>
      <c r="AX2" s="2869"/>
      <c r="AY2" s="2869"/>
      <c r="AZ2" s="2869"/>
      <c r="BA2" s="3021"/>
      <c r="BB2" s="3021"/>
      <c r="BC2" s="3021"/>
      <c r="BD2" s="3021"/>
      <c r="BE2" s="3021"/>
      <c r="BF2" s="3021"/>
      <c r="BG2" s="3021"/>
      <c r="BH2" s="3021"/>
      <c r="BI2" s="3021"/>
      <c r="BJ2" s="3021"/>
      <c r="BK2" s="3021"/>
      <c r="BL2" s="3021"/>
      <c r="BM2" s="3021"/>
      <c r="BN2" s="3021"/>
      <c r="BO2" s="3021"/>
      <c r="BP2" s="3021"/>
      <c r="BQ2" s="3021"/>
      <c r="BR2" s="3021"/>
      <c r="BS2" s="3021"/>
      <c r="BT2" s="3021"/>
      <c r="BU2" s="3021"/>
      <c r="BV2" s="3021"/>
      <c r="BW2" s="3021"/>
      <c r="BX2" s="3021"/>
      <c r="BY2" s="3021"/>
      <c r="BZ2" s="3021"/>
      <c r="CA2" s="3021"/>
      <c r="CB2" s="3021"/>
      <c r="CC2" s="3021"/>
      <c r="CD2" s="3021"/>
      <c r="CE2" s="3021"/>
    </row>
    <row r="3" s="2819" customFormat="1" ht="15" spans="1:83">
      <c r="A3" s="2833"/>
      <c r="B3" s="2834"/>
      <c r="C3" s="2831"/>
      <c r="D3" s="2832"/>
      <c r="E3" s="2831"/>
      <c r="F3" s="2831"/>
      <c r="G3" s="2831"/>
      <c r="H3" s="2831"/>
      <c r="I3" s="2831"/>
      <c r="J3" s="2831"/>
      <c r="K3" s="499"/>
      <c r="L3" s="499"/>
      <c r="M3" s="2831"/>
      <c r="N3" s="2831"/>
      <c r="O3" s="2831"/>
      <c r="P3" s="2831"/>
      <c r="Q3" s="2831"/>
      <c r="R3" s="2831"/>
      <c r="S3" s="2831"/>
      <c r="T3" s="2831"/>
      <c r="U3" s="2831"/>
      <c r="V3" s="2831"/>
      <c r="W3" s="2831"/>
      <c r="X3" s="2831"/>
      <c r="Y3" s="2831"/>
      <c r="Z3" s="2831"/>
      <c r="AA3" s="2831"/>
      <c r="AB3" s="2831"/>
      <c r="AC3" s="2831"/>
      <c r="AD3" s="2831"/>
      <c r="AE3" s="2831"/>
      <c r="AF3" s="2831"/>
      <c r="AG3" s="2831"/>
      <c r="AH3" s="2831"/>
      <c r="AI3" s="2831"/>
      <c r="AJ3" s="2831"/>
      <c r="AK3" s="2831"/>
      <c r="AL3" s="2831"/>
      <c r="AM3" s="2831"/>
      <c r="AN3" s="2869"/>
      <c r="AO3" s="2869"/>
      <c r="AP3" s="2869"/>
      <c r="AQ3" s="2869"/>
      <c r="AR3" s="2869"/>
      <c r="AS3" s="2869"/>
      <c r="AT3" s="2869"/>
      <c r="AU3" s="2869"/>
      <c r="AV3" s="2869"/>
      <c r="AW3" s="2869"/>
      <c r="AX3" s="2869"/>
      <c r="AY3" s="2869"/>
      <c r="AZ3" s="2869"/>
      <c r="BA3" s="3021"/>
      <c r="BB3" s="3021"/>
      <c r="BC3" s="3021"/>
      <c r="BD3" s="3021"/>
      <c r="BE3" s="3021"/>
      <c r="BF3" s="3021"/>
      <c r="BG3" s="3021"/>
      <c r="BH3" s="3021"/>
      <c r="BI3" s="3021"/>
      <c r="BJ3" s="3021"/>
      <c r="BK3" s="3021"/>
      <c r="BL3" s="3021"/>
      <c r="BM3" s="3021"/>
      <c r="BN3" s="3021"/>
      <c r="BO3" s="3021"/>
      <c r="BP3" s="3021"/>
      <c r="BQ3" s="3021"/>
      <c r="BR3" s="3021"/>
      <c r="BS3" s="3021"/>
      <c r="BT3" s="3021"/>
      <c r="BU3" s="3021"/>
      <c r="BV3" s="3021"/>
      <c r="BW3" s="3021"/>
      <c r="BX3" s="3021"/>
      <c r="BY3" s="3021"/>
      <c r="BZ3" s="3021"/>
      <c r="CA3" s="3021"/>
      <c r="CB3" s="3021"/>
      <c r="CC3" s="3021"/>
      <c r="CD3" s="3021"/>
      <c r="CE3" s="3021"/>
    </row>
    <row r="4" s="2819" customFormat="1" ht="15" spans="1:83">
      <c r="A4" s="2835" t="s">
        <v>576</v>
      </c>
      <c r="B4" s="2836"/>
      <c r="C4" s="2837"/>
      <c r="D4" s="2838"/>
      <c r="E4" s="2839" t="s">
        <v>577</v>
      </c>
      <c r="F4" s="2837"/>
      <c r="G4" s="2837"/>
      <c r="H4" s="2837"/>
      <c r="I4" s="2837"/>
      <c r="J4" s="2933"/>
      <c r="K4" s="2934"/>
      <c r="L4" s="2935"/>
      <c r="M4" s="2837"/>
      <c r="N4" s="2839" t="s">
        <v>578</v>
      </c>
      <c r="O4" s="2837"/>
      <c r="P4" s="2837"/>
      <c r="Q4" s="2837"/>
      <c r="R4" s="2837"/>
      <c r="S4" s="2933"/>
      <c r="T4" s="2960" t="str">
        <f>'数据-汇总表'!I17</f>
        <v>按面积比例</v>
      </c>
      <c r="U4" s="2836" t="s">
        <v>579</v>
      </c>
      <c r="V4" s="2837"/>
      <c r="W4" s="2837"/>
      <c r="X4" s="2837"/>
      <c r="Y4" s="2933"/>
      <c r="Z4" s="2988" t="s">
        <v>580</v>
      </c>
      <c r="AA4" s="2988"/>
      <c r="AB4" s="2988"/>
      <c r="AC4" s="2988"/>
      <c r="AD4" s="2988"/>
      <c r="AE4" s="2989" t="s">
        <v>581</v>
      </c>
      <c r="AF4" s="2988"/>
      <c r="AG4" s="3003"/>
      <c r="AH4" s="2836"/>
      <c r="AI4" s="2837"/>
      <c r="AJ4" s="2837"/>
      <c r="AK4" s="2837"/>
      <c r="AL4" s="2837"/>
      <c r="AM4" s="2933"/>
      <c r="AN4" s="2869"/>
      <c r="AO4" s="2869"/>
      <c r="AP4" s="2869"/>
      <c r="AQ4" s="2869"/>
      <c r="AR4" s="2869"/>
      <c r="AS4" s="2869"/>
      <c r="AT4" s="2869"/>
      <c r="AU4" s="2869"/>
      <c r="AV4" s="2869"/>
      <c r="AW4" s="2869"/>
      <c r="AX4" s="2869"/>
      <c r="AY4" s="2869"/>
      <c r="AZ4" s="2869"/>
      <c r="BA4" s="3021"/>
      <c r="BB4" s="3021"/>
      <c r="BC4" s="3021"/>
      <c r="BD4" s="3021"/>
      <c r="BE4" s="3021"/>
      <c r="BF4" s="3021"/>
      <c r="BG4" s="3021"/>
      <c r="BH4" s="3021"/>
      <c r="BI4" s="3021"/>
      <c r="BJ4" s="3021"/>
      <c r="BK4" s="3021"/>
      <c r="BL4" s="3021"/>
      <c r="BM4" s="3021"/>
      <c r="BN4" s="3021"/>
      <c r="BO4" s="3021"/>
      <c r="BP4" s="3021"/>
      <c r="BQ4" s="3021"/>
      <c r="BR4" s="3021"/>
      <c r="BS4" s="3021"/>
      <c r="BT4" s="3021"/>
      <c r="BU4" s="3021"/>
      <c r="BV4" s="3021"/>
      <c r="BW4" s="3021"/>
      <c r="BX4" s="3021"/>
      <c r="BY4" s="3021"/>
      <c r="BZ4" s="3021"/>
      <c r="CA4" s="3021"/>
      <c r="CB4" s="3021"/>
      <c r="CC4" s="3021"/>
      <c r="CD4" s="3021"/>
      <c r="CE4" s="3021"/>
    </row>
    <row r="5" s="2820" customFormat="1" ht="40.5" spans="1:83">
      <c r="A5" s="2840" t="s">
        <v>409</v>
      </c>
      <c r="B5" s="2841" t="s">
        <v>582</v>
      </c>
      <c r="C5" s="2842" t="s">
        <v>583</v>
      </c>
      <c r="D5" s="2843" t="s">
        <v>584</v>
      </c>
      <c r="E5" s="2844" t="s">
        <v>585</v>
      </c>
      <c r="F5" s="2845" t="s">
        <v>586</v>
      </c>
      <c r="G5" s="2844" t="s">
        <v>587</v>
      </c>
      <c r="H5" s="2844" t="s">
        <v>588</v>
      </c>
      <c r="I5" s="2844" t="s">
        <v>589</v>
      </c>
      <c r="J5" s="2936" t="s">
        <v>590</v>
      </c>
      <c r="K5" s="2937" t="s">
        <v>591</v>
      </c>
      <c r="L5" s="2938" t="s">
        <v>592</v>
      </c>
      <c r="M5" s="2939" t="s">
        <v>593</v>
      </c>
      <c r="N5" s="2940" t="s">
        <v>594</v>
      </c>
      <c r="O5" s="2938" t="s">
        <v>595</v>
      </c>
      <c r="P5" s="2941" t="s">
        <v>596</v>
      </c>
      <c r="Q5" s="267" t="s">
        <v>597</v>
      </c>
      <c r="R5" s="2961" t="s">
        <v>598</v>
      </c>
      <c r="S5" s="2962" t="s">
        <v>599</v>
      </c>
      <c r="T5" s="2963" t="s">
        <v>600</v>
      </c>
      <c r="U5" s="2964" t="s">
        <v>601</v>
      </c>
      <c r="V5" s="2844" t="s">
        <v>602</v>
      </c>
      <c r="W5" s="2844" t="s">
        <v>603</v>
      </c>
      <c r="X5" s="2965"/>
      <c r="Y5" s="554" t="s">
        <v>604</v>
      </c>
      <c r="Z5" s="2990" t="s">
        <v>601</v>
      </c>
      <c r="AA5" s="2844" t="s">
        <v>602</v>
      </c>
      <c r="AB5" s="2844" t="s">
        <v>603</v>
      </c>
      <c r="AC5" s="2991"/>
      <c r="AD5" s="302" t="s">
        <v>604</v>
      </c>
      <c r="AE5" s="2992" t="s">
        <v>605</v>
      </c>
      <c r="AF5" s="2844" t="s">
        <v>606</v>
      </c>
      <c r="AG5" s="554" t="s">
        <v>607</v>
      </c>
      <c r="AH5" s="2991" t="s">
        <v>608</v>
      </c>
      <c r="AI5" s="2990" t="s">
        <v>609</v>
      </c>
      <c r="AJ5" s="2990" t="s">
        <v>610</v>
      </c>
      <c r="AK5" s="2844" t="s">
        <v>611</v>
      </c>
      <c r="AL5" s="2844" t="s">
        <v>612</v>
      </c>
      <c r="AM5" s="302" t="s">
        <v>613</v>
      </c>
      <c r="AN5" s="3004" t="s">
        <v>614</v>
      </c>
      <c r="AO5" s="3019"/>
      <c r="AP5" s="3020" t="s">
        <v>615</v>
      </c>
      <c r="AQ5" s="3019"/>
      <c r="AR5" s="3019"/>
      <c r="AS5" s="3019"/>
      <c r="AT5" s="3019"/>
      <c r="AU5" s="3019"/>
      <c r="AV5" s="3019"/>
      <c r="AW5" s="3019"/>
      <c r="AX5" s="3019"/>
      <c r="AY5" s="3019"/>
      <c r="AZ5" s="3019"/>
      <c r="BA5" s="3022"/>
      <c r="BB5" s="3022"/>
      <c r="BC5" s="3022"/>
      <c r="BD5" s="3022"/>
      <c r="BE5" s="3022"/>
      <c r="BF5" s="3022"/>
      <c r="BG5" s="3022"/>
      <c r="BH5" s="3022"/>
      <c r="BI5" s="3022"/>
      <c r="BJ5" s="3022"/>
      <c r="BK5" s="3022"/>
      <c r="BL5" s="3022"/>
      <c r="BM5" s="3022"/>
      <c r="BN5" s="3022"/>
      <c r="BO5" s="3022"/>
      <c r="BP5" s="3022"/>
      <c r="BQ5" s="3022"/>
      <c r="BR5" s="3022"/>
      <c r="BS5" s="3022"/>
      <c r="BT5" s="3022"/>
      <c r="BU5" s="3022"/>
      <c r="BV5" s="3022"/>
      <c r="BW5" s="3022"/>
      <c r="BX5" s="3022"/>
      <c r="BY5" s="3022"/>
      <c r="BZ5" s="3022"/>
      <c r="CA5" s="3022"/>
      <c r="CB5" s="3022"/>
      <c r="CC5" s="3022"/>
      <c r="CD5" s="3022"/>
      <c r="CE5" s="3022"/>
    </row>
    <row r="6" s="2819" customFormat="1" ht="14.25" spans="1:83">
      <c r="A6" s="2846" t="str">
        <f>'数据-汇总表'!C19</f>
        <v>地上办公</v>
      </c>
      <c r="B6" s="2847" t="str">
        <f>IF(A6=0,"","经营性")</f>
        <v>经营性</v>
      </c>
      <c r="C6" s="2848" t="s">
        <v>377</v>
      </c>
      <c r="D6" s="2849">
        <f>SUMIF(项目基本情况!D$15:I$15,C6,项目基本情况!D$18:I$18)</f>
        <v>50</v>
      </c>
      <c r="E6" s="2850">
        <f>IF(B6="","",SUMIF(项目基本情况!D$15:I$15,C6,项目基本情况!D$17:I$17))</f>
        <v>58062</v>
      </c>
      <c r="F6" s="2851">
        <f>SUMIF(项目基本情况!D$15:I$15,C6,项目基本情况!D$19:I$19)</f>
        <v>37.1</v>
      </c>
      <c r="G6" s="2852">
        <f ca="1">IF(ISERROR(ROUND(POWER(1+H6,D6-F6)*(POWER(1+H6,F6)-1)/(POWER(1+H6,D6)-1),3)),0,ROUND(POWER(1+H6,D6-F6)*(POWER(1+H6,F6)-1)/(POWER(1+H6,D6)-1),3))</f>
        <v>0.921</v>
      </c>
      <c r="H6" s="2853">
        <f ca="1">基准地价!N28</f>
        <v>0.052</v>
      </c>
      <c r="I6" s="2853">
        <v>0.05</v>
      </c>
      <c r="J6" s="2854">
        <v>0.075</v>
      </c>
      <c r="K6" s="2942">
        <f>SUMIF('数据-汇总表'!C$19:C$33,'数据-取费表'!A6,'数据-汇总表'!E$19:E$33)</f>
        <v>25022.71</v>
      </c>
      <c r="L6" s="2943">
        <v>5000</v>
      </c>
      <c r="M6" s="2944">
        <f t="shared" ref="M6:M14" si="0">ROUND(K6*L6/10000,0)</f>
        <v>12511</v>
      </c>
      <c r="N6" s="2945">
        <v>0</v>
      </c>
      <c r="O6" s="2944">
        <f>IF($N$5="成新度","——",ROUND(M6*N6,0))</f>
        <v>0</v>
      </c>
      <c r="P6" s="2946">
        <f>IF($N$5="成新度","——",M6-O6)</f>
        <v>12511</v>
      </c>
      <c r="Q6" s="2966">
        <v>0.08</v>
      </c>
      <c r="R6" s="2942">
        <f>SUMIF('数据-汇总表'!C$19:C$33,A6,'数据-汇总表'!R$19:R$33)</f>
        <v>9546.55</v>
      </c>
      <c r="S6" s="2967">
        <f>IF('数据-汇总表'!$I$17="按面积比例",SUMIF('数据-汇总表'!C$19:C$33,A6,'数据-汇总表'!K$19:K$33),SUMIF('数据-汇总表'!C$19:C$33,A6,'数据-汇总表'!N$19:N$33))</f>
        <v>1944.11</v>
      </c>
      <c r="T6" s="2968">
        <f>IF($T$4="按面积比例",IF(ISERROR(ROUND($M$14*S6/S$16,0)),"0",ROUND($M$14*S6/S$16,0)),"需自行计算录入")</f>
        <v>0</v>
      </c>
      <c r="U6" s="2969">
        <f>'不动产比较法-办公'!C50</f>
        <v>3.8</v>
      </c>
      <c r="V6" s="2970">
        <v>0</v>
      </c>
      <c r="W6" s="2971">
        <v>0.05</v>
      </c>
      <c r="X6" s="2972"/>
      <c r="Y6" s="2993">
        <v>1</v>
      </c>
      <c r="Z6" s="2994"/>
      <c r="AA6" s="2854"/>
      <c r="AB6" s="2854"/>
      <c r="AC6" s="2976"/>
      <c r="AD6" s="2995"/>
      <c r="AE6" s="2996">
        <f ca="1">IF(AN6="",0,SUMIF(INDIRECT("'"&amp;AN6&amp;"'"&amp;"!E:E"),$AE$5,INDIRECT("'"&amp;AN6&amp;"'"&amp;"!F:F")))</f>
        <v>37.1</v>
      </c>
      <c r="AF6" s="2230"/>
      <c r="AG6" s="3005">
        <f ca="1">IF(AF6="",0,AE6-AF6)</f>
        <v>0</v>
      </c>
      <c r="AH6" s="2230"/>
      <c r="AI6" s="3006">
        <v>365</v>
      </c>
      <c r="AJ6" s="3007"/>
      <c r="AK6" s="3008">
        <v>0.01</v>
      </c>
      <c r="AL6" s="3009">
        <v>0.001</v>
      </c>
      <c r="AM6" s="3010">
        <v>0.01</v>
      </c>
      <c r="AN6" s="3011" t="s">
        <v>616</v>
      </c>
      <c r="AO6" s="2869"/>
      <c r="AP6" s="2834">
        <f ca="1">ROUND(1-1/(1+H6)^F6,3)</f>
        <v>0.848</v>
      </c>
      <c r="AQ6" s="2869"/>
      <c r="AR6" s="2869"/>
      <c r="AS6" s="2869"/>
      <c r="AT6" s="2869"/>
      <c r="AU6" s="2869"/>
      <c r="AV6" s="2869"/>
      <c r="AW6" s="2869"/>
      <c r="AX6" s="2869"/>
      <c r="AY6" s="2869"/>
      <c r="AZ6" s="2869"/>
      <c r="BA6" s="3021"/>
      <c r="BB6" s="3021"/>
      <c r="BC6" s="3021"/>
      <c r="BD6" s="3021"/>
      <c r="BE6" s="3021"/>
      <c r="BF6" s="3021"/>
      <c r="BG6" s="3021"/>
      <c r="BH6" s="3021"/>
      <c r="BI6" s="3021"/>
      <c r="BJ6" s="3021"/>
      <c r="BK6" s="3021"/>
      <c r="BL6" s="3021"/>
      <c r="BM6" s="3021"/>
      <c r="BN6" s="3021"/>
      <c r="BO6" s="3021"/>
      <c r="BP6" s="3021"/>
      <c r="BQ6" s="3021"/>
      <c r="BR6" s="3021"/>
      <c r="BS6" s="3021"/>
      <c r="BT6" s="3021"/>
      <c r="BU6" s="3021"/>
      <c r="BV6" s="3021"/>
      <c r="BW6" s="3021"/>
      <c r="BX6" s="3021"/>
      <c r="BY6" s="3021"/>
      <c r="BZ6" s="3021"/>
      <c r="CA6" s="3021"/>
      <c r="CB6" s="3021"/>
      <c r="CC6" s="3021"/>
      <c r="CD6" s="3021"/>
      <c r="CE6" s="3021"/>
    </row>
    <row r="7" s="2819" customFormat="1" ht="14.25" spans="1:83">
      <c r="A7" s="2846" t="str">
        <f>'数据-汇总表'!C20</f>
        <v>地下办公</v>
      </c>
      <c r="B7" s="2847" t="str">
        <f t="shared" ref="B7:B13" si="1">IF(A7=0,"","经营性")</f>
        <v>经营性</v>
      </c>
      <c r="C7" s="2848"/>
      <c r="D7" s="2849">
        <f>SUMIF(项目基本情况!D$15:I$15,C7,项目基本情况!D$18:I$18)</f>
        <v>0</v>
      </c>
      <c r="E7" s="2850">
        <f>IF(B7="","",SUMIF(项目基本情况!D$15:I$15,C7,项目基本情况!D$17:I$17))</f>
        <v>0</v>
      </c>
      <c r="F7" s="2851">
        <f>SUMIF(项目基本情况!D$15:I$15,C7,项目基本情况!D$19:I$19)</f>
        <v>0</v>
      </c>
      <c r="G7" s="2852">
        <f t="shared" ref="G7:G13" si="2">IF(ISERROR(ROUND(POWER(1+H7,D7-F7)*(POWER(1+H7,F7)-1)/(POWER(1+H7,D7)-1),3)),0,ROUND(POWER(1+H7,D7-F7)*(POWER(1+H7,F7)-1)/(POWER(1+H7,D7)-1),3))</f>
        <v>0</v>
      </c>
      <c r="H7" s="2853"/>
      <c r="I7" s="2853"/>
      <c r="J7" s="2854"/>
      <c r="K7" s="2942">
        <f>SUMIF('数据-汇总表'!C$19:C$33,'数据-取费表'!A7,'数据-汇总表'!E$19:E$33)</f>
        <v>26429.67</v>
      </c>
      <c r="L7" s="2947"/>
      <c r="M7" s="2944">
        <f t="shared" si="0"/>
        <v>0</v>
      </c>
      <c r="N7" s="2945"/>
      <c r="O7" s="2944">
        <f t="shared" ref="O7:O14" si="3">IF($N$5="成新度","——",ROUND(M7*N7,0))</f>
        <v>0</v>
      </c>
      <c r="P7" s="2946">
        <f t="shared" ref="P7:P14" si="4">IF($N$5="成新度","——",M7-O7)</f>
        <v>0</v>
      </c>
      <c r="Q7" s="2973"/>
      <c r="R7" s="2942">
        <f>SUMIF('数据-汇总表'!C$19:C$33,A7,'数据-汇总表'!R$19:R$33)</f>
        <v>10083.32</v>
      </c>
      <c r="S7" s="2967">
        <f>IF('数据-汇总表'!$I$17="按面积比例",SUMIF('数据-汇总表'!C$19:C$33,A7,'数据-汇总表'!K$19:K$33),SUMIF('数据-汇总表'!C$19:C$33,A7,'数据-汇总表'!N$19:N$33))</f>
        <v>2053.42</v>
      </c>
      <c r="T7" s="2968">
        <f t="shared" ref="T7:T13" si="5">IF($T$4="按面积比例",IF(ISERROR(ROUND($M$14*S7/S$16,0)),"0",ROUND($M$14*S7/S$16,0)),"需自行计算录入")</f>
        <v>0</v>
      </c>
      <c r="U7" s="2969"/>
      <c r="V7" s="2970"/>
      <c r="W7" s="2970"/>
      <c r="X7" s="2972"/>
      <c r="Y7" s="2993"/>
      <c r="Z7" s="2994"/>
      <c r="AA7" s="2854"/>
      <c r="AB7" s="2854"/>
      <c r="AC7" s="2976"/>
      <c r="AD7" s="2995"/>
      <c r="AE7" s="2996" t="e">
        <f ca="1" t="shared" ref="AE7:AE13" si="6">IF(AN7="",0,SUMIF(INDIRECT("'"&amp;AN7&amp;"'"&amp;"!E:E"),$AE$5,INDIRECT("'"&amp;AN7&amp;"'"&amp;"!F:F")))</f>
        <v>#N/A</v>
      </c>
      <c r="AF7" s="2230"/>
      <c r="AG7" s="3005">
        <f ca="1" t="shared" ref="AG7:AG13" si="7">IF(AF7="",0,AE7-AF7)</f>
        <v>0</v>
      </c>
      <c r="AH7" s="2230"/>
      <c r="AI7" s="3006"/>
      <c r="AJ7" s="3007"/>
      <c r="AK7" s="3008"/>
      <c r="AL7" s="3009"/>
      <c r="AM7" s="3012"/>
      <c r="AN7" s="3011" t="s">
        <v>330</v>
      </c>
      <c r="AO7" s="2869"/>
      <c r="AP7" s="2834">
        <f t="shared" ref="AP7:AP13" si="8">ROUND(1-1/(1+H7)^F7,3)</f>
        <v>0</v>
      </c>
      <c r="AQ7" s="2869"/>
      <c r="AR7" s="2869"/>
      <c r="AS7" s="2869"/>
      <c r="AT7" s="2869"/>
      <c r="AU7" s="2869"/>
      <c r="AV7" s="2869"/>
      <c r="AW7" s="2869"/>
      <c r="AX7" s="2869"/>
      <c r="AY7" s="2869"/>
      <c r="AZ7" s="2869"/>
      <c r="BA7" s="3021"/>
      <c r="BB7" s="3021"/>
      <c r="BC7" s="3021"/>
      <c r="BD7" s="3021"/>
      <c r="BE7" s="3021"/>
      <c r="BF7" s="3021"/>
      <c r="BG7" s="3021"/>
      <c r="BH7" s="3021"/>
      <c r="BI7" s="3021"/>
      <c r="BJ7" s="3021"/>
      <c r="BK7" s="3021"/>
      <c r="BL7" s="3021"/>
      <c r="BM7" s="3021"/>
      <c r="BN7" s="3021"/>
      <c r="BO7" s="3021"/>
      <c r="BP7" s="3021"/>
      <c r="BQ7" s="3021"/>
      <c r="BR7" s="3021"/>
      <c r="BS7" s="3021"/>
      <c r="BT7" s="3021"/>
      <c r="BU7" s="3021"/>
      <c r="BV7" s="3021"/>
      <c r="BW7" s="3021"/>
      <c r="BX7" s="3021"/>
      <c r="BY7" s="3021"/>
      <c r="BZ7" s="3021"/>
      <c r="CA7" s="3021"/>
      <c r="CB7" s="3021"/>
      <c r="CC7" s="3021"/>
      <c r="CD7" s="3021"/>
      <c r="CE7" s="3021"/>
    </row>
    <row r="8" s="2819" customFormat="1" ht="14.25" spans="1:83">
      <c r="A8" s="2846" t="str">
        <f>'数据-汇总表'!C21</f>
        <v>地下车库</v>
      </c>
      <c r="B8" s="2847" t="str">
        <f t="shared" si="1"/>
        <v>经营性</v>
      </c>
      <c r="C8" s="2848"/>
      <c r="D8" s="2849">
        <f>SUMIF(项目基本情况!D$15:I$15,C8,项目基本情况!D$18:I$18)</f>
        <v>0</v>
      </c>
      <c r="E8" s="2850">
        <f>IF(B8="","",SUMIF(项目基本情况!D$15:I$15,C8,项目基本情况!D$17:I$17))</f>
        <v>0</v>
      </c>
      <c r="F8" s="2851">
        <f>SUMIF(项目基本情况!D$15:I$15,C8,项目基本情况!D$19:I$19)</f>
        <v>0</v>
      </c>
      <c r="G8" s="2852">
        <f t="shared" si="2"/>
        <v>0</v>
      </c>
      <c r="H8" s="2853"/>
      <c r="I8" s="2853"/>
      <c r="J8" s="2854"/>
      <c r="K8" s="2942">
        <f>SUMIF('数据-汇总表'!C$19:C$33,'数据-取费表'!A8,'数据-汇总表'!E$19:E$33)</f>
        <v>2196.98</v>
      </c>
      <c r="L8" s="2947"/>
      <c r="M8" s="2944">
        <f t="shared" si="0"/>
        <v>0</v>
      </c>
      <c r="N8" s="2945"/>
      <c r="O8" s="2944">
        <f t="shared" si="3"/>
        <v>0</v>
      </c>
      <c r="P8" s="2946">
        <f t="shared" si="4"/>
        <v>0</v>
      </c>
      <c r="Q8" s="2973"/>
      <c r="R8" s="2942">
        <f>SUMIF('数据-汇总表'!C$19:C$33,A8,'数据-汇总表'!R$19:R$33)</f>
        <v>838.19</v>
      </c>
      <c r="S8" s="2967">
        <f>IF('数据-汇总表'!$I$17="按面积比例",SUMIF('数据-汇总表'!C$19:C$33,A8,'数据-汇总表'!K$19:K$33),SUMIF('数据-汇总表'!C$19:C$33,A8,'数据-汇总表'!N$19:N$33))</f>
        <v>170.69</v>
      </c>
      <c r="T8" s="2968">
        <f t="shared" si="5"/>
        <v>0</v>
      </c>
      <c r="U8" s="2969"/>
      <c r="V8" s="2970"/>
      <c r="W8" s="2970"/>
      <c r="X8" s="2972"/>
      <c r="Y8" s="2993"/>
      <c r="Z8" s="2994"/>
      <c r="AA8" s="2854"/>
      <c r="AB8" s="2854"/>
      <c r="AC8" s="2976"/>
      <c r="AD8" s="2995"/>
      <c r="AE8" s="2996">
        <f ca="1" t="shared" si="6"/>
        <v>0</v>
      </c>
      <c r="AF8" s="2230"/>
      <c r="AG8" s="3005">
        <f ca="1" t="shared" si="7"/>
        <v>0</v>
      </c>
      <c r="AH8" s="2230"/>
      <c r="AI8" s="3006"/>
      <c r="AJ8" s="3007"/>
      <c r="AK8" s="3008"/>
      <c r="AL8" s="3009"/>
      <c r="AM8" s="3012"/>
      <c r="AN8" s="3011"/>
      <c r="AO8" s="2869"/>
      <c r="AP8" s="2834">
        <f t="shared" si="8"/>
        <v>0</v>
      </c>
      <c r="AQ8" s="2869"/>
      <c r="AR8" s="2869"/>
      <c r="AS8" s="2869"/>
      <c r="AT8" s="2869"/>
      <c r="AU8" s="2869"/>
      <c r="AV8" s="2869"/>
      <c r="AW8" s="2869"/>
      <c r="AX8" s="2869"/>
      <c r="AY8" s="2869"/>
      <c r="AZ8" s="2869"/>
      <c r="BA8" s="3021"/>
      <c r="BB8" s="3021"/>
      <c r="BC8" s="3021"/>
      <c r="BD8" s="3021"/>
      <c r="BE8" s="3021"/>
      <c r="BF8" s="3021"/>
      <c r="BG8" s="3021"/>
      <c r="BH8" s="3021"/>
      <c r="BI8" s="3021"/>
      <c r="BJ8" s="3021"/>
      <c r="BK8" s="3021"/>
      <c r="BL8" s="3021"/>
      <c r="BM8" s="3021"/>
      <c r="BN8" s="3021"/>
      <c r="BO8" s="3021"/>
      <c r="BP8" s="3021"/>
      <c r="BQ8" s="3021"/>
      <c r="BR8" s="3021"/>
      <c r="BS8" s="3021"/>
      <c r="BT8" s="3021"/>
      <c r="BU8" s="3021"/>
      <c r="BV8" s="3021"/>
      <c r="BW8" s="3021"/>
      <c r="BX8" s="3021"/>
      <c r="BY8" s="3021"/>
      <c r="BZ8" s="3021"/>
      <c r="CA8" s="3021"/>
      <c r="CB8" s="3021"/>
      <c r="CC8" s="3021"/>
      <c r="CD8" s="3021"/>
      <c r="CE8" s="3021"/>
    </row>
    <row r="9" s="2819" customFormat="1" ht="14.25" spans="1:83">
      <c r="A9" s="2846">
        <f>'数据-汇总表'!C22</f>
        <v>0</v>
      </c>
      <c r="B9" s="2847" t="str">
        <f t="shared" si="1"/>
        <v/>
      </c>
      <c r="C9" s="2848"/>
      <c r="D9" s="2849">
        <f>SUMIF(项目基本情况!D$15:I$15,C9,项目基本情况!D$18:I$18)</f>
        <v>0</v>
      </c>
      <c r="E9" s="2850" t="str">
        <f>IF(B9="","",SUMIF(项目基本情况!D$15:I$15,C9,项目基本情况!D$17:I$17))</f>
        <v/>
      </c>
      <c r="F9" s="2851">
        <f>SUMIF(项目基本情况!D$15:I$15,C9,项目基本情况!D$19:I$19)</f>
        <v>0</v>
      </c>
      <c r="G9" s="2852">
        <f t="shared" si="2"/>
        <v>0</v>
      </c>
      <c r="H9" s="2854"/>
      <c r="I9" s="2854"/>
      <c r="J9" s="2854"/>
      <c r="K9" s="2942">
        <f>SUMIF('数据-汇总表'!C$19:C$33,'数据-取费表'!A9,'数据-汇总表'!E$19:E$33)</f>
        <v>0</v>
      </c>
      <c r="L9" s="2948"/>
      <c r="M9" s="2944">
        <f t="shared" si="0"/>
        <v>0</v>
      </c>
      <c r="N9" s="2949"/>
      <c r="O9" s="2944">
        <f t="shared" si="3"/>
        <v>0</v>
      </c>
      <c r="P9" s="2946">
        <f t="shared" si="4"/>
        <v>0</v>
      </c>
      <c r="Q9" s="2974"/>
      <c r="R9" s="2942">
        <f>SUMIF('数据-汇总表'!C$19:C$33,A9,'数据-汇总表'!R$19:R$33)</f>
        <v>0</v>
      </c>
      <c r="S9" s="2967">
        <f>IF('数据-汇总表'!$I$17="按面积比例",SUMIF('数据-汇总表'!C$19:C$33,A9,'数据-汇总表'!K$19:K$33),SUMIF('数据-汇总表'!C$19:C$33,A9,'数据-汇总表'!N$19:N$33))</f>
        <v>0</v>
      </c>
      <c r="T9" s="2968">
        <f t="shared" si="5"/>
        <v>0</v>
      </c>
      <c r="U9" s="2969"/>
      <c r="V9" s="2970"/>
      <c r="W9" s="2970"/>
      <c r="X9" s="2972"/>
      <c r="Y9" s="2993"/>
      <c r="Z9" s="2994"/>
      <c r="AA9" s="2854"/>
      <c r="AB9" s="2854"/>
      <c r="AC9" s="2976"/>
      <c r="AD9" s="2995"/>
      <c r="AE9" s="2996">
        <f ca="1" t="shared" si="6"/>
        <v>0</v>
      </c>
      <c r="AF9" s="2230"/>
      <c r="AG9" s="3005">
        <f ca="1" t="shared" si="7"/>
        <v>0</v>
      </c>
      <c r="AH9" s="2230"/>
      <c r="AI9" s="3006"/>
      <c r="AJ9" s="3007"/>
      <c r="AK9" s="3008"/>
      <c r="AL9" s="3009"/>
      <c r="AM9" s="3012"/>
      <c r="AN9" s="3011"/>
      <c r="AO9" s="2869"/>
      <c r="AP9" s="2834">
        <f t="shared" si="8"/>
        <v>0</v>
      </c>
      <c r="AQ9" s="2869"/>
      <c r="AR9" s="2869"/>
      <c r="AS9" s="2869"/>
      <c r="AT9" s="2869"/>
      <c r="AU9" s="2869"/>
      <c r="AV9" s="2869"/>
      <c r="AW9" s="2869"/>
      <c r="AX9" s="2869"/>
      <c r="AY9" s="2869"/>
      <c r="AZ9" s="2869"/>
      <c r="BA9" s="3021"/>
      <c r="BB9" s="3021"/>
      <c r="BC9" s="3021"/>
      <c r="BD9" s="3021"/>
      <c r="BE9" s="3021"/>
      <c r="BF9" s="3021"/>
      <c r="BG9" s="3021"/>
      <c r="BH9" s="3021"/>
      <c r="BI9" s="3021"/>
      <c r="BJ9" s="3021"/>
      <c r="BK9" s="3021"/>
      <c r="BL9" s="3021"/>
      <c r="BM9" s="3021"/>
      <c r="BN9" s="3021"/>
      <c r="BO9" s="3021"/>
      <c r="BP9" s="3021"/>
      <c r="BQ9" s="3021"/>
      <c r="BR9" s="3021"/>
      <c r="BS9" s="3021"/>
      <c r="BT9" s="3021"/>
      <c r="BU9" s="3021"/>
      <c r="BV9" s="3021"/>
      <c r="BW9" s="3021"/>
      <c r="BX9" s="3021"/>
      <c r="BY9" s="3021"/>
      <c r="BZ9" s="3021"/>
      <c r="CA9" s="3021"/>
      <c r="CB9" s="3021"/>
      <c r="CC9" s="3021"/>
      <c r="CD9" s="3021"/>
      <c r="CE9" s="3021"/>
    </row>
    <row r="10" s="2819" customFormat="1" ht="14.25" spans="1:83">
      <c r="A10" s="2846">
        <f>'数据-汇总表'!C23</f>
        <v>0</v>
      </c>
      <c r="B10" s="2847" t="str">
        <f t="shared" si="1"/>
        <v/>
      </c>
      <c r="C10" s="2848"/>
      <c r="D10" s="2849">
        <f>SUMIF(项目基本情况!D$15:I$15,C10,项目基本情况!D$18:I$18)</f>
        <v>0</v>
      </c>
      <c r="E10" s="2850" t="str">
        <f>IF(B10="","",SUMIF(项目基本情况!D$15:I$15,C10,项目基本情况!D$17:I$17))</f>
        <v/>
      </c>
      <c r="F10" s="2851">
        <f>SUMIF(项目基本情况!D$15:I$15,C10,项目基本情况!D$19:I$19)</f>
        <v>0</v>
      </c>
      <c r="G10" s="2852">
        <f t="shared" si="2"/>
        <v>0</v>
      </c>
      <c r="H10" s="2854"/>
      <c r="I10" s="2854"/>
      <c r="J10" s="2854"/>
      <c r="K10" s="2942">
        <f>SUMIF('数据-汇总表'!C$19:C$33,'数据-取费表'!A10,'数据-汇总表'!E$19:E$33)</f>
        <v>0</v>
      </c>
      <c r="L10" s="2948"/>
      <c r="M10" s="2944">
        <f t="shared" si="0"/>
        <v>0</v>
      </c>
      <c r="N10" s="2949"/>
      <c r="O10" s="2944">
        <f t="shared" si="3"/>
        <v>0</v>
      </c>
      <c r="P10" s="2946">
        <f t="shared" si="4"/>
        <v>0</v>
      </c>
      <c r="Q10" s="2974"/>
      <c r="R10" s="2942">
        <f>SUMIF('数据-汇总表'!C$19:C$33,A10,'数据-汇总表'!R$19:R$33)</f>
        <v>0</v>
      </c>
      <c r="S10" s="2967">
        <f>IF('数据-汇总表'!$I$17="按面积比例",SUMIF('数据-汇总表'!C$19:C$33,A10,'数据-汇总表'!K$19:K$33),SUMIF('数据-汇总表'!C$19:C$33,A10,'数据-汇总表'!N$19:N$33))</f>
        <v>0</v>
      </c>
      <c r="T10" s="2968">
        <f t="shared" si="5"/>
        <v>0</v>
      </c>
      <c r="U10" s="2969"/>
      <c r="V10" s="2970"/>
      <c r="W10" s="2970"/>
      <c r="X10" s="2972"/>
      <c r="Y10" s="2993"/>
      <c r="Z10" s="2994"/>
      <c r="AA10" s="2854"/>
      <c r="AB10" s="2854"/>
      <c r="AC10" s="2976"/>
      <c r="AD10" s="2995"/>
      <c r="AE10" s="2996">
        <f ca="1" t="shared" si="6"/>
        <v>0</v>
      </c>
      <c r="AF10" s="2230"/>
      <c r="AG10" s="3005">
        <f ca="1" t="shared" si="7"/>
        <v>0</v>
      </c>
      <c r="AH10" s="2230"/>
      <c r="AI10" s="3006"/>
      <c r="AJ10" s="3007"/>
      <c r="AK10" s="3008"/>
      <c r="AL10" s="3009"/>
      <c r="AM10" s="3012"/>
      <c r="AN10" s="3011"/>
      <c r="AO10" s="2869"/>
      <c r="AP10" s="2834">
        <f t="shared" si="8"/>
        <v>0</v>
      </c>
      <c r="AQ10" s="2869"/>
      <c r="AR10" s="2869"/>
      <c r="AS10" s="2869"/>
      <c r="AT10" s="2869"/>
      <c r="AU10" s="2869"/>
      <c r="AV10" s="2869"/>
      <c r="AW10" s="2869"/>
      <c r="AX10" s="2869"/>
      <c r="AY10" s="2869"/>
      <c r="AZ10" s="2869"/>
      <c r="BA10" s="3021"/>
      <c r="BB10" s="3021"/>
      <c r="BC10" s="3021"/>
      <c r="BD10" s="3021"/>
      <c r="BE10" s="3021"/>
      <c r="BF10" s="3021"/>
      <c r="BG10" s="3021"/>
      <c r="BH10" s="3021"/>
      <c r="BI10" s="3021"/>
      <c r="BJ10" s="3021"/>
      <c r="BK10" s="3021"/>
      <c r="BL10" s="3021"/>
      <c r="BM10" s="3021"/>
      <c r="BN10" s="3021"/>
      <c r="BO10" s="3021"/>
      <c r="BP10" s="3021"/>
      <c r="BQ10" s="3021"/>
      <c r="BR10" s="3021"/>
      <c r="BS10" s="3021"/>
      <c r="BT10" s="3021"/>
      <c r="BU10" s="3021"/>
      <c r="BV10" s="3021"/>
      <c r="BW10" s="3021"/>
      <c r="BX10" s="3021"/>
      <c r="BY10" s="3021"/>
      <c r="BZ10" s="3021"/>
      <c r="CA10" s="3021"/>
      <c r="CB10" s="3021"/>
      <c r="CC10" s="3021"/>
      <c r="CD10" s="3021"/>
      <c r="CE10" s="3021"/>
    </row>
    <row r="11" s="2819" customFormat="1" ht="14.25" spans="1:83">
      <c r="A11" s="2846">
        <f>'数据-汇总表'!C24</f>
        <v>0</v>
      </c>
      <c r="B11" s="2847" t="str">
        <f t="shared" si="1"/>
        <v/>
      </c>
      <c r="C11" s="2848"/>
      <c r="D11" s="2849">
        <f>SUMIF(项目基本情况!D$15:I$15,C11,项目基本情况!D$18:I$18)</f>
        <v>0</v>
      </c>
      <c r="E11" s="2850" t="str">
        <f>IF(B11="","",SUMIF(项目基本情况!D$15:I$15,C11,项目基本情况!D$17:I$17))</f>
        <v/>
      </c>
      <c r="F11" s="2851">
        <f>SUMIF(项目基本情况!D$15:I$15,C11,项目基本情况!D$19:I$19)</f>
        <v>0</v>
      </c>
      <c r="G11" s="2852">
        <f t="shared" si="2"/>
        <v>0</v>
      </c>
      <c r="H11" s="2854"/>
      <c r="I11" s="2854"/>
      <c r="J11" s="2854"/>
      <c r="K11" s="2942">
        <f>SUMIF('数据-汇总表'!C$19:C$33,'数据-取费表'!A11,'数据-汇总表'!E$19:E$33)</f>
        <v>0</v>
      </c>
      <c r="L11" s="2948"/>
      <c r="M11" s="2944">
        <f t="shared" si="0"/>
        <v>0</v>
      </c>
      <c r="N11" s="2949"/>
      <c r="O11" s="2944">
        <f t="shared" si="3"/>
        <v>0</v>
      </c>
      <c r="P11" s="2946">
        <f t="shared" si="4"/>
        <v>0</v>
      </c>
      <c r="Q11" s="2974"/>
      <c r="R11" s="2942">
        <f>SUMIF('数据-汇总表'!C$19:C$33,A11,'数据-汇总表'!R$19:R$33)</f>
        <v>0</v>
      </c>
      <c r="S11" s="2967">
        <f>IF('数据-汇总表'!$I$17="按面积比例",SUMIF('数据-汇总表'!C$19:C$33,A11,'数据-汇总表'!K$19:K$33),SUMIF('数据-汇总表'!C$19:C$33,A11,'数据-汇总表'!N$19:N$33))</f>
        <v>0</v>
      </c>
      <c r="T11" s="2968">
        <f t="shared" si="5"/>
        <v>0</v>
      </c>
      <c r="U11" s="2975"/>
      <c r="V11" s="2854"/>
      <c r="W11" s="2854"/>
      <c r="X11" s="2976"/>
      <c r="Y11" s="2993"/>
      <c r="Z11" s="2997"/>
      <c r="AA11" s="2854"/>
      <c r="AB11" s="2854"/>
      <c r="AC11" s="2976"/>
      <c r="AD11" s="2995"/>
      <c r="AE11" s="2996">
        <f ca="1" t="shared" si="6"/>
        <v>0</v>
      </c>
      <c r="AF11" s="2230"/>
      <c r="AG11" s="3005">
        <f ca="1" t="shared" si="7"/>
        <v>0</v>
      </c>
      <c r="AH11" s="2230"/>
      <c r="AI11" s="3006"/>
      <c r="AJ11" s="3007"/>
      <c r="AK11" s="3013"/>
      <c r="AL11" s="3014"/>
      <c r="AM11" s="3015"/>
      <c r="AN11" s="3011"/>
      <c r="AO11" s="2869"/>
      <c r="AP11" s="2834">
        <f t="shared" si="8"/>
        <v>0</v>
      </c>
      <c r="AQ11" s="2869"/>
      <c r="AR11" s="2869"/>
      <c r="AS11" s="2869"/>
      <c r="AT11" s="2869"/>
      <c r="AU11" s="2869"/>
      <c r="AV11" s="2869"/>
      <c r="AW11" s="2869"/>
      <c r="AX11" s="2869"/>
      <c r="AY11" s="2869"/>
      <c r="AZ11" s="2869"/>
      <c r="BA11" s="3021"/>
      <c r="BB11" s="3021"/>
      <c r="BC11" s="3021"/>
      <c r="BD11" s="3021"/>
      <c r="BE11" s="3021"/>
      <c r="BF11" s="3021"/>
      <c r="BG11" s="3021"/>
      <c r="BH11" s="3021"/>
      <c r="BI11" s="3021"/>
      <c r="BJ11" s="3021"/>
      <c r="BK11" s="3021"/>
      <c r="BL11" s="3021"/>
      <c r="BM11" s="3021"/>
      <c r="BN11" s="3021"/>
      <c r="BO11" s="3021"/>
      <c r="BP11" s="3021"/>
      <c r="BQ11" s="3021"/>
      <c r="BR11" s="3021"/>
      <c r="BS11" s="3021"/>
      <c r="BT11" s="3021"/>
      <c r="BU11" s="3021"/>
      <c r="BV11" s="3021"/>
      <c r="BW11" s="3021"/>
      <c r="BX11" s="3021"/>
      <c r="BY11" s="3021"/>
      <c r="BZ11" s="3021"/>
      <c r="CA11" s="3021"/>
      <c r="CB11" s="3021"/>
      <c r="CC11" s="3021"/>
      <c r="CD11" s="3021"/>
      <c r="CE11" s="3021"/>
    </row>
    <row r="12" s="2819" customFormat="1" ht="14.25" spans="1:83">
      <c r="A12" s="2846">
        <f>'数据-汇总表'!C25</f>
        <v>0</v>
      </c>
      <c r="B12" s="2847" t="str">
        <f t="shared" si="1"/>
        <v/>
      </c>
      <c r="C12" s="2848"/>
      <c r="D12" s="2849">
        <f>SUMIF(项目基本情况!D$15:I$15,C12,项目基本情况!D$18:I$18)</f>
        <v>0</v>
      </c>
      <c r="E12" s="2850" t="str">
        <f>IF(B12="","",SUMIF(项目基本情况!D$15:I$15,C12,项目基本情况!D$17:I$17))</f>
        <v/>
      </c>
      <c r="F12" s="2851">
        <f>SUMIF(项目基本情况!D$15:I$15,C12,项目基本情况!D$19:I$19)</f>
        <v>0</v>
      </c>
      <c r="G12" s="2852">
        <f t="shared" si="2"/>
        <v>0</v>
      </c>
      <c r="H12" s="2854"/>
      <c r="I12" s="2854"/>
      <c r="J12" s="2854"/>
      <c r="K12" s="2942">
        <f>SUMIF('数据-汇总表'!C$19:C$33,'数据-取费表'!A12,'数据-汇总表'!E$19:E$33)</f>
        <v>0</v>
      </c>
      <c r="L12" s="2948"/>
      <c r="M12" s="2944">
        <f t="shared" si="0"/>
        <v>0</v>
      </c>
      <c r="N12" s="2949"/>
      <c r="O12" s="2944">
        <f t="shared" si="3"/>
        <v>0</v>
      </c>
      <c r="P12" s="2946">
        <f t="shared" si="4"/>
        <v>0</v>
      </c>
      <c r="Q12" s="2974"/>
      <c r="R12" s="2942">
        <f>SUMIF('数据-汇总表'!C$19:C$33,A12,'数据-汇总表'!R$19:R$33)</f>
        <v>0</v>
      </c>
      <c r="S12" s="2967">
        <f>IF('数据-汇总表'!$I$17="按面积比例",SUMIF('数据-汇总表'!C$19:C$33,A12,'数据-汇总表'!K$19:K$33),SUMIF('数据-汇总表'!C$19:C$33,A12,'数据-汇总表'!N$19:N$33))</f>
        <v>0</v>
      </c>
      <c r="T12" s="2968">
        <f t="shared" si="5"/>
        <v>0</v>
      </c>
      <c r="U12" s="2975"/>
      <c r="V12" s="2854"/>
      <c r="W12" s="2854"/>
      <c r="X12" s="2976"/>
      <c r="Y12" s="2993"/>
      <c r="Z12" s="2997"/>
      <c r="AA12" s="2854"/>
      <c r="AB12" s="2854"/>
      <c r="AC12" s="2976"/>
      <c r="AD12" s="2995"/>
      <c r="AE12" s="2996">
        <f ca="1" t="shared" si="6"/>
        <v>0</v>
      </c>
      <c r="AF12" s="2230"/>
      <c r="AG12" s="3005">
        <f ca="1" t="shared" si="7"/>
        <v>0</v>
      </c>
      <c r="AH12" s="2230"/>
      <c r="AI12" s="3006"/>
      <c r="AJ12" s="3007"/>
      <c r="AK12" s="3013"/>
      <c r="AL12" s="3014"/>
      <c r="AM12" s="3015"/>
      <c r="AN12" s="3011"/>
      <c r="AO12" s="2869"/>
      <c r="AP12" s="2834">
        <f t="shared" si="8"/>
        <v>0</v>
      </c>
      <c r="AQ12" s="2869"/>
      <c r="AR12" s="2869"/>
      <c r="AS12" s="2869"/>
      <c r="AT12" s="2869"/>
      <c r="AU12" s="2869"/>
      <c r="AV12" s="2869"/>
      <c r="AW12" s="2869"/>
      <c r="AX12" s="2869"/>
      <c r="AY12" s="2869"/>
      <c r="AZ12" s="2869"/>
      <c r="BA12" s="3021"/>
      <c r="BB12" s="3021"/>
      <c r="BC12" s="3021"/>
      <c r="BD12" s="3021"/>
      <c r="BE12" s="3021"/>
      <c r="BF12" s="3021"/>
      <c r="BG12" s="3021"/>
      <c r="BH12" s="3021"/>
      <c r="BI12" s="3021"/>
      <c r="BJ12" s="3021"/>
      <c r="BK12" s="3021"/>
      <c r="BL12" s="3021"/>
      <c r="BM12" s="3021"/>
      <c r="BN12" s="3021"/>
      <c r="BO12" s="3021"/>
      <c r="BP12" s="3021"/>
      <c r="BQ12" s="3021"/>
      <c r="BR12" s="3021"/>
      <c r="BS12" s="3021"/>
      <c r="BT12" s="3021"/>
      <c r="BU12" s="3021"/>
      <c r="BV12" s="3021"/>
      <c r="BW12" s="3021"/>
      <c r="BX12" s="3021"/>
      <c r="BY12" s="3021"/>
      <c r="BZ12" s="3021"/>
      <c r="CA12" s="3021"/>
      <c r="CB12" s="3021"/>
      <c r="CC12" s="3021"/>
      <c r="CD12" s="3021"/>
      <c r="CE12" s="3021"/>
    </row>
    <row r="13" s="2819" customFormat="1" ht="14.25" spans="1:83">
      <c r="A13" s="2846">
        <f>'数据-汇总表'!C26</f>
        <v>0</v>
      </c>
      <c r="B13" s="2847" t="str">
        <f t="shared" si="1"/>
        <v/>
      </c>
      <c r="C13" s="2848"/>
      <c r="D13" s="2849">
        <f>SUMIF(项目基本情况!D$15:I$15,C13,项目基本情况!D$18:I$18)</f>
        <v>0</v>
      </c>
      <c r="E13" s="2850" t="str">
        <f>IF(B13="","",SUMIF(项目基本情况!D$15:I$15,C13,项目基本情况!D$17:I$17))</f>
        <v/>
      </c>
      <c r="F13" s="2851">
        <f>SUMIF(项目基本情况!D$15:I$15,C13,项目基本情况!D$19:I$19)</f>
        <v>0</v>
      </c>
      <c r="G13" s="2852">
        <f t="shared" si="2"/>
        <v>0</v>
      </c>
      <c r="H13" s="2854"/>
      <c r="I13" s="2854"/>
      <c r="J13" s="2854"/>
      <c r="K13" s="2942">
        <f>SUMIF('数据-汇总表'!C$19:C$33,'数据-取费表'!A13,'数据-汇总表'!E$19:E$33)</f>
        <v>0</v>
      </c>
      <c r="L13" s="2948"/>
      <c r="M13" s="2944">
        <f t="shared" si="0"/>
        <v>0</v>
      </c>
      <c r="N13" s="2949"/>
      <c r="O13" s="2944">
        <f t="shared" si="3"/>
        <v>0</v>
      </c>
      <c r="P13" s="2946">
        <f t="shared" si="4"/>
        <v>0</v>
      </c>
      <c r="Q13" s="2974"/>
      <c r="R13" s="2942">
        <f>SUMIF('数据-汇总表'!C$19:C$33,A13,'数据-汇总表'!R$19:R$33)</f>
        <v>0</v>
      </c>
      <c r="S13" s="2967">
        <f>IF('数据-汇总表'!$I$17="按面积比例",SUMIF('数据-汇总表'!C$19:C$33,A13,'数据-汇总表'!K$19:K$33),SUMIF('数据-汇总表'!C$19:C$33,A13,'数据-汇总表'!N$19:N$33))</f>
        <v>0</v>
      </c>
      <c r="T13" s="2968">
        <f t="shared" si="5"/>
        <v>0</v>
      </c>
      <c r="U13" s="2969"/>
      <c r="V13" s="2970"/>
      <c r="W13" s="2970"/>
      <c r="X13" s="2972"/>
      <c r="Y13" s="2993"/>
      <c r="Z13" s="2994"/>
      <c r="AA13" s="2854"/>
      <c r="AB13" s="2854"/>
      <c r="AC13" s="2976"/>
      <c r="AD13" s="2995"/>
      <c r="AE13" s="2996">
        <f ca="1" t="shared" si="6"/>
        <v>0</v>
      </c>
      <c r="AF13" s="2230"/>
      <c r="AG13" s="3005">
        <f ca="1" t="shared" si="7"/>
        <v>0</v>
      </c>
      <c r="AH13" s="2230"/>
      <c r="AI13" s="3006"/>
      <c r="AJ13" s="3007"/>
      <c r="AK13" s="3008"/>
      <c r="AL13" s="3009"/>
      <c r="AM13" s="3012"/>
      <c r="AN13" s="3011"/>
      <c r="AO13" s="2869"/>
      <c r="AP13" s="2834">
        <f t="shared" si="8"/>
        <v>0</v>
      </c>
      <c r="AQ13" s="2869"/>
      <c r="AR13" s="2869"/>
      <c r="AS13" s="2869"/>
      <c r="AT13" s="2869"/>
      <c r="AU13" s="2869"/>
      <c r="AV13" s="2869"/>
      <c r="AW13" s="2869"/>
      <c r="AX13" s="2869"/>
      <c r="AY13" s="2869"/>
      <c r="AZ13" s="2869"/>
      <c r="BA13" s="3021"/>
      <c r="BB13" s="3021"/>
      <c r="BC13" s="3021"/>
      <c r="BD13" s="3021"/>
      <c r="BE13" s="3021"/>
      <c r="BF13" s="3021"/>
      <c r="BG13" s="3021"/>
      <c r="BH13" s="3021"/>
      <c r="BI13" s="3021"/>
      <c r="BJ13" s="3021"/>
      <c r="BK13" s="3021"/>
      <c r="BL13" s="3021"/>
      <c r="BM13" s="3021"/>
      <c r="BN13" s="3021"/>
      <c r="BO13" s="3021"/>
      <c r="BP13" s="3021"/>
      <c r="BQ13" s="3021"/>
      <c r="BR13" s="3021"/>
      <c r="BS13" s="3021"/>
      <c r="BT13" s="3021"/>
      <c r="BU13" s="3021"/>
      <c r="BV13" s="3021"/>
      <c r="BW13" s="3021"/>
      <c r="BX13" s="3021"/>
      <c r="BY13" s="3021"/>
      <c r="BZ13" s="3021"/>
      <c r="CA13" s="3021"/>
      <c r="CB13" s="3021"/>
      <c r="CC13" s="3021"/>
      <c r="CD13" s="3021"/>
      <c r="CE13" s="3021"/>
    </row>
    <row r="14" s="2819" customFormat="1" ht="14.25" spans="1:83">
      <c r="A14" s="2855" t="s">
        <v>499</v>
      </c>
      <c r="B14" s="2856" t="s">
        <v>617</v>
      </c>
      <c r="C14" s="2857" t="s">
        <v>499</v>
      </c>
      <c r="D14" s="2849"/>
      <c r="E14" s="2850"/>
      <c r="F14" s="2851"/>
      <c r="G14" s="2852"/>
      <c r="H14" s="2858"/>
      <c r="I14" s="2858"/>
      <c r="J14" s="2858"/>
      <c r="K14" s="2942">
        <f>SUMIF('数据-汇总表'!C$19:C$33,'数据-取费表'!A14,'数据-汇总表'!E$19:E$33)</f>
        <v>4168.22</v>
      </c>
      <c r="L14" s="2948"/>
      <c r="M14" s="2944">
        <f t="shared" si="0"/>
        <v>0</v>
      </c>
      <c r="N14" s="2949"/>
      <c r="O14" s="2944">
        <f t="shared" si="3"/>
        <v>0</v>
      </c>
      <c r="P14" s="2946">
        <f t="shared" si="4"/>
        <v>0</v>
      </c>
      <c r="Q14" s="2977"/>
      <c r="R14" s="2942"/>
      <c r="S14" s="2967"/>
      <c r="T14" s="2978"/>
      <c r="U14" s="2979"/>
      <c r="V14" s="2980"/>
      <c r="W14" s="2980"/>
      <c r="X14" s="2972"/>
      <c r="Y14" s="2998"/>
      <c r="Z14" s="2999"/>
      <c r="AA14" s="3000"/>
      <c r="AB14" s="3000"/>
      <c r="AC14" s="2976"/>
      <c r="AD14" s="2972"/>
      <c r="AE14" s="2996"/>
      <c r="AF14" s="509"/>
      <c r="AG14" s="3005"/>
      <c r="AH14" s="509"/>
      <c r="AI14" s="508"/>
      <c r="AJ14" s="508"/>
      <c r="AK14" s="3016"/>
      <c r="AL14" s="3017"/>
      <c r="AM14" s="3018"/>
      <c r="AN14" s="2869"/>
      <c r="AO14" s="2869"/>
      <c r="AP14" s="2869"/>
      <c r="AQ14" s="2869"/>
      <c r="AR14" s="2869"/>
      <c r="AS14" s="2869"/>
      <c r="AT14" s="2869"/>
      <c r="AU14" s="2869"/>
      <c r="AV14" s="2869"/>
      <c r="AW14" s="2869"/>
      <c r="AX14" s="2869"/>
      <c r="AY14" s="2869"/>
      <c r="AZ14" s="2869"/>
      <c r="BA14" s="3021"/>
      <c r="BB14" s="3021"/>
      <c r="BC14" s="3021"/>
      <c r="BD14" s="3021"/>
      <c r="BE14" s="3021"/>
      <c r="BF14" s="3021"/>
      <c r="BG14" s="3021"/>
      <c r="BH14" s="3021"/>
      <c r="BI14" s="3021"/>
      <c r="BJ14" s="3021"/>
      <c r="BK14" s="3021"/>
      <c r="BL14" s="3021"/>
      <c r="BM14" s="3021"/>
      <c r="BN14" s="3021"/>
      <c r="BO14" s="3021"/>
      <c r="BP14" s="3021"/>
      <c r="BQ14" s="3021"/>
      <c r="BR14" s="3021"/>
      <c r="BS14" s="3021"/>
      <c r="BT14" s="3021"/>
      <c r="BU14" s="3021"/>
      <c r="BV14" s="3021"/>
      <c r="BW14" s="3021"/>
      <c r="BX14" s="3021"/>
      <c r="BY14" s="3021"/>
      <c r="BZ14" s="3021"/>
      <c r="CA14" s="3021"/>
      <c r="CB14" s="3021"/>
      <c r="CC14" s="3021"/>
      <c r="CD14" s="3021"/>
      <c r="CE14" s="3021"/>
    </row>
    <row r="15" s="2819" customFormat="1" ht="27" spans="1:83">
      <c r="A15" s="2859" t="s">
        <v>570</v>
      </c>
      <c r="B15" s="2856" t="s">
        <v>617</v>
      </c>
      <c r="C15" s="2857" t="s">
        <v>618</v>
      </c>
      <c r="D15" s="2849"/>
      <c r="E15" s="2850"/>
      <c r="F15" s="2851"/>
      <c r="G15" s="2852"/>
      <c r="H15" s="2858"/>
      <c r="I15" s="2858"/>
      <c r="J15" s="2858"/>
      <c r="K15" s="2942">
        <f>SUMIF('数据-汇总表'!C$19:C$33,'数据-取费表'!A15,'数据-汇总表'!E$19:E$33)</f>
        <v>0</v>
      </c>
      <c r="L15" s="2950"/>
      <c r="M15" s="2944"/>
      <c r="N15" s="2951"/>
      <c r="O15" s="2944"/>
      <c r="P15" s="2946"/>
      <c r="Q15" s="2977"/>
      <c r="R15" s="2942"/>
      <c r="S15" s="2967"/>
      <c r="T15" s="2978"/>
      <c r="U15" s="2979"/>
      <c r="V15" s="2980"/>
      <c r="W15" s="2980"/>
      <c r="X15" s="2972"/>
      <c r="Y15" s="2998"/>
      <c r="Z15" s="2999"/>
      <c r="AA15" s="3000"/>
      <c r="AB15" s="3000"/>
      <c r="AC15" s="2976"/>
      <c r="AD15" s="2972"/>
      <c r="AE15" s="2996"/>
      <c r="AF15" s="509"/>
      <c r="AG15" s="3005"/>
      <c r="AH15" s="509"/>
      <c r="AI15" s="508"/>
      <c r="AJ15" s="508"/>
      <c r="AK15" s="3016"/>
      <c r="AL15" s="3017"/>
      <c r="AM15" s="3018"/>
      <c r="AN15" s="2869"/>
      <c r="AO15" s="2869"/>
      <c r="AP15" s="2869"/>
      <c r="AQ15" s="2869"/>
      <c r="AR15" s="2869"/>
      <c r="AS15" s="2869"/>
      <c r="AT15" s="2869"/>
      <c r="AU15" s="2869"/>
      <c r="AV15" s="2869"/>
      <c r="AW15" s="2869"/>
      <c r="AX15" s="2869"/>
      <c r="AY15" s="2869"/>
      <c r="AZ15" s="2869"/>
      <c r="BA15" s="3021"/>
      <c r="BB15" s="3021"/>
      <c r="BC15" s="3021"/>
      <c r="BD15" s="3021"/>
      <c r="BE15" s="3021"/>
      <c r="BF15" s="3021"/>
      <c r="BG15" s="3021"/>
      <c r="BH15" s="3021"/>
      <c r="BI15" s="3021"/>
      <c r="BJ15" s="3021"/>
      <c r="BK15" s="3021"/>
      <c r="BL15" s="3021"/>
      <c r="BM15" s="3021"/>
      <c r="BN15" s="3021"/>
      <c r="BO15" s="3021"/>
      <c r="BP15" s="3021"/>
      <c r="BQ15" s="3021"/>
      <c r="BR15" s="3021"/>
      <c r="BS15" s="3021"/>
      <c r="BT15" s="3021"/>
      <c r="BU15" s="3021"/>
      <c r="BV15" s="3021"/>
      <c r="BW15" s="3021"/>
      <c r="BX15" s="3021"/>
      <c r="BY15" s="3021"/>
      <c r="BZ15" s="3021"/>
      <c r="CA15" s="3021"/>
      <c r="CB15" s="3021"/>
      <c r="CC15" s="3021"/>
      <c r="CD15" s="3021"/>
      <c r="CE15" s="3021"/>
    </row>
    <row r="16" s="2819" customFormat="1" ht="15.75" spans="1:83">
      <c r="A16" s="2860" t="s">
        <v>619</v>
      </c>
      <c r="B16" s="2861"/>
      <c r="C16" s="2862"/>
      <c r="D16" s="2863"/>
      <c r="E16" s="2861"/>
      <c r="F16" s="2861"/>
      <c r="G16" s="2864">
        <f ca="1">ROUND(SUMPRODUCT(G6:G13,K6:K13)/SUMPRODUCT((G6:G13&gt;0)*(K6:K13)),3)</f>
        <v>0.921</v>
      </c>
      <c r="H16" s="2865">
        <f ca="1">ROUND(SUMPRODUCT(H6:H13,K6:K13)/SUMPRODUCT((H6:H13&gt;0)*(K6:K13)),3)</f>
        <v>0.052</v>
      </c>
      <c r="I16" s="2952"/>
      <c r="J16" s="2952"/>
      <c r="K16" s="2953">
        <f>SUM(K6:K15)</f>
        <v>57817.58</v>
      </c>
      <c r="L16" s="2954">
        <f>ROUND(M16*10000/SUM(K6:K14),0)</f>
        <v>2164</v>
      </c>
      <c r="M16" s="2954">
        <f>SUM(M6:M14)</f>
        <v>12511</v>
      </c>
      <c r="N16" s="2955">
        <f>ROUND(SUMPRODUCT(M6:M14,N6:N14)/M16,3)</f>
        <v>0</v>
      </c>
      <c r="O16" s="2954">
        <f>SUM(O6:O14)</f>
        <v>0</v>
      </c>
      <c r="P16" s="2954">
        <f>SUM(P6:P14)</f>
        <v>12511</v>
      </c>
      <c r="Q16" s="2981">
        <f>ROUND(SUMPRODUCT(Q6:Q13,K6:K13)/SUMPRODUCT((Q6:Q13&gt;0)*(K6:K13)),2)</f>
        <v>0.08</v>
      </c>
      <c r="R16" s="2982">
        <f>SUM(R6:R13)</f>
        <v>20468.06</v>
      </c>
      <c r="S16" s="2983">
        <f>SUM(S6:S13)</f>
        <v>4168.22</v>
      </c>
      <c r="T16" s="2984">
        <f>IF(SUMIF(T6:T13,"&lt;9E307")=M14,SUMIF(T6:T13,"&lt;9E307"),"有误，请检查")</f>
        <v>0</v>
      </c>
      <c r="U16" s="2985"/>
      <c r="V16" s="2986"/>
      <c r="W16" s="2986"/>
      <c r="X16" s="2987"/>
      <c r="Y16" s="3001"/>
      <c r="Z16" s="3002"/>
      <c r="AA16" s="2986"/>
      <c r="AB16" s="2986"/>
      <c r="AC16" s="2987"/>
      <c r="AD16" s="2987"/>
      <c r="AE16" s="2985"/>
      <c r="AF16" s="2986"/>
      <c r="AG16" s="3001"/>
      <c r="AH16" s="2986"/>
      <c r="AI16" s="3002"/>
      <c r="AJ16" s="3002"/>
      <c r="AK16" s="2986"/>
      <c r="AL16" s="2986"/>
      <c r="AM16" s="3001"/>
      <c r="AN16" s="2869"/>
      <c r="AO16" s="2869"/>
      <c r="AP16" s="2834">
        <f ca="1">ROUND(SUMPRODUCT(AP6:AP13,K6:K13)/SUMPRODUCT((AP6:AP13&gt;0)*(K6:K13)),3)</f>
        <v>0.848</v>
      </c>
      <c r="AQ16" s="2869"/>
      <c r="AR16" s="2869"/>
      <c r="AS16" s="2869"/>
      <c r="AT16" s="2869"/>
      <c r="AU16" s="2869"/>
      <c r="AV16" s="2869"/>
      <c r="AW16" s="2869"/>
      <c r="AX16" s="2869"/>
      <c r="AY16" s="2869"/>
      <c r="AZ16" s="2869"/>
      <c r="BA16" s="3021"/>
      <c r="BB16" s="3021"/>
      <c r="BC16" s="3021"/>
      <c r="BD16" s="3021"/>
      <c r="BE16" s="3021"/>
      <c r="BF16" s="3021"/>
      <c r="BG16" s="3021"/>
      <c r="BH16" s="3021"/>
      <c r="BI16" s="3021"/>
      <c r="BJ16" s="3021"/>
      <c r="BK16" s="3021"/>
      <c r="BL16" s="3021"/>
      <c r="BM16" s="3021"/>
      <c r="BN16" s="3021"/>
      <c r="BO16" s="3021"/>
      <c r="BP16" s="3021"/>
      <c r="BQ16" s="3021"/>
      <c r="BR16" s="3021"/>
      <c r="BS16" s="3021"/>
      <c r="BT16" s="3021"/>
      <c r="BU16" s="3021"/>
      <c r="BV16" s="3021"/>
      <c r="BW16" s="3021"/>
      <c r="BX16" s="3021"/>
      <c r="BY16" s="3021"/>
      <c r="BZ16" s="3021"/>
      <c r="CA16" s="3021"/>
      <c r="CB16" s="3021"/>
      <c r="CC16" s="3021"/>
      <c r="CD16" s="3021"/>
      <c r="CE16" s="3021"/>
    </row>
    <row r="17" ht="13.5" spans="1:52">
      <c r="A17" s="2866"/>
      <c r="B17" s="2867"/>
      <c r="C17" s="2867"/>
      <c r="D17" s="2868"/>
      <c r="E17" s="2868"/>
      <c r="F17" s="2867"/>
      <c r="G17" s="2867"/>
      <c r="H17" s="2867"/>
      <c r="I17" s="2867"/>
      <c r="J17" s="2867"/>
      <c r="K17" s="2956"/>
      <c r="L17" s="2956"/>
      <c r="M17" s="2867"/>
      <c r="N17" s="2867"/>
      <c r="O17" s="2867"/>
      <c r="P17" s="2867"/>
      <c r="Q17" s="2867"/>
      <c r="R17" s="2867"/>
      <c r="S17" s="2867"/>
      <c r="T17" s="2867"/>
      <c r="U17" s="2867"/>
      <c r="V17" s="2867"/>
      <c r="W17" s="2867"/>
      <c r="X17" s="2867"/>
      <c r="Y17" s="2867"/>
      <c r="Z17" s="2867"/>
      <c r="AA17" s="2867"/>
      <c r="AB17" s="2867"/>
      <c r="AC17" s="2867"/>
      <c r="AD17" s="2867"/>
      <c r="AE17" s="2867"/>
      <c r="AF17" s="2867"/>
      <c r="AG17" s="2867"/>
      <c r="AH17" s="2867"/>
      <c r="AI17" s="2867"/>
      <c r="AJ17" s="2867"/>
      <c r="AK17" s="2867"/>
      <c r="AL17" s="2867"/>
      <c r="AM17" s="2867"/>
      <c r="AN17" s="2867"/>
      <c r="AO17" s="2867"/>
      <c r="AP17" s="2867"/>
      <c r="AQ17" s="2867"/>
      <c r="AR17" s="2867"/>
      <c r="AS17" s="2867"/>
      <c r="AT17" s="2867"/>
      <c r="AU17" s="2867"/>
      <c r="AV17" s="2867"/>
      <c r="AW17" s="2867"/>
      <c r="AX17" s="2867"/>
      <c r="AY17" s="2867"/>
      <c r="AZ17" s="2867"/>
    </row>
    <row r="18" ht="15" spans="1:52">
      <c r="A18" s="2835" t="s">
        <v>620</v>
      </c>
      <c r="B18" s="2869"/>
      <c r="C18" s="2869"/>
      <c r="D18" s="2870"/>
      <c r="E18" s="2869"/>
      <c r="F18" s="2869"/>
      <c r="G18" s="2869"/>
      <c r="H18" s="2869"/>
      <c r="I18" s="2869"/>
      <c r="J18" s="2869"/>
      <c r="K18" s="2956"/>
      <c r="L18" s="2956"/>
      <c r="M18" s="2867"/>
      <c r="N18" s="2867"/>
      <c r="O18" s="2867"/>
      <c r="P18" s="2867"/>
      <c r="Q18" s="2867"/>
      <c r="R18" s="2867"/>
      <c r="S18" s="2867"/>
      <c r="T18" s="2867"/>
      <c r="U18" s="2867"/>
      <c r="V18" s="2867"/>
      <c r="W18" s="2867"/>
      <c r="X18" s="2867"/>
      <c r="Y18" s="2867"/>
      <c r="Z18" s="2867"/>
      <c r="AA18" s="2867"/>
      <c r="AB18" s="2867"/>
      <c r="AC18" s="2867"/>
      <c r="AD18" s="2867"/>
      <c r="AE18" s="2867"/>
      <c r="AF18" s="2867"/>
      <c r="AG18" s="2867"/>
      <c r="AH18" s="2867"/>
      <c r="AI18" s="2867"/>
      <c r="AJ18" s="2867"/>
      <c r="AK18" s="2867"/>
      <c r="AL18" s="2867"/>
      <c r="AM18" s="2867"/>
      <c r="AN18" s="2867"/>
      <c r="AO18" s="2867"/>
      <c r="AP18" s="2867"/>
      <c r="AQ18" s="2867"/>
      <c r="AR18" s="2867"/>
      <c r="AS18" s="2867"/>
      <c r="AT18" s="2867"/>
      <c r="AU18" s="2867"/>
      <c r="AV18" s="2867"/>
      <c r="AW18" s="2867"/>
      <c r="AX18" s="2867"/>
      <c r="AY18" s="2867"/>
      <c r="AZ18" s="2867"/>
    </row>
    <row r="19" ht="14.25" spans="1:52">
      <c r="A19" s="2871" t="s">
        <v>621</v>
      </c>
      <c r="B19" s="2872">
        <v>0</v>
      </c>
      <c r="C19" s="2873" t="s">
        <v>622</v>
      </c>
      <c r="D19" s="2870"/>
      <c r="E19" s="2869"/>
      <c r="F19" s="2869"/>
      <c r="G19" s="2869"/>
      <c r="H19" s="2869"/>
      <c r="I19" s="2869"/>
      <c r="J19" s="2869"/>
      <c r="K19" s="2956"/>
      <c r="L19" s="2956"/>
      <c r="M19" s="2867"/>
      <c r="N19" s="2867"/>
      <c r="O19" s="2867"/>
      <c r="P19" s="2867"/>
      <c r="Q19" s="2867"/>
      <c r="R19" s="2867"/>
      <c r="S19" s="2867"/>
      <c r="T19" s="2867"/>
      <c r="U19" s="2867"/>
      <c r="V19" s="2867"/>
      <c r="W19" s="2867"/>
      <c r="X19" s="2867"/>
      <c r="Y19" s="2867"/>
      <c r="Z19" s="2867"/>
      <c r="AA19" s="2867"/>
      <c r="AB19" s="2867"/>
      <c r="AC19" s="2867"/>
      <c r="AD19" s="2867"/>
      <c r="AE19" s="2867"/>
      <c r="AF19" s="2867"/>
      <c r="AG19" s="2867"/>
      <c r="AH19" s="2867"/>
      <c r="AI19" s="2867"/>
      <c r="AJ19" s="2867"/>
      <c r="AK19" s="2867"/>
      <c r="AL19" s="2867"/>
      <c r="AM19" s="2867"/>
      <c r="AN19" s="2867"/>
      <c r="AO19" s="2867"/>
      <c r="AP19" s="2867"/>
      <c r="AQ19" s="2867"/>
      <c r="AR19" s="2867"/>
      <c r="AS19" s="2867"/>
      <c r="AT19" s="2867"/>
      <c r="AU19" s="2867"/>
      <c r="AV19" s="2867"/>
      <c r="AW19" s="2867"/>
      <c r="AX19" s="2867"/>
      <c r="AY19" s="2867"/>
      <c r="AZ19" s="2867"/>
    </row>
    <row r="20" ht="14.25" spans="1:52">
      <c r="A20" s="2874" t="s">
        <v>623</v>
      </c>
      <c r="B20" s="2875">
        <v>1.5</v>
      </c>
      <c r="C20" s="2873" t="s">
        <v>624</v>
      </c>
      <c r="D20" s="2870"/>
      <c r="E20" s="2869"/>
      <c r="F20" s="2869"/>
      <c r="G20" s="2869"/>
      <c r="H20" s="2869"/>
      <c r="I20" s="2869"/>
      <c r="J20" s="2869"/>
      <c r="K20" s="2956"/>
      <c r="L20" s="2956"/>
      <c r="M20" s="2867"/>
      <c r="N20" s="2867"/>
      <c r="O20" s="2867"/>
      <c r="P20" s="2867"/>
      <c r="Q20" s="2867"/>
      <c r="R20" s="2867"/>
      <c r="S20" s="2867"/>
      <c r="T20" s="2867"/>
      <c r="U20" s="2867"/>
      <c r="V20" s="2867"/>
      <c r="W20" s="2867"/>
      <c r="X20" s="2867"/>
      <c r="Y20" s="2867"/>
      <c r="Z20" s="2867"/>
      <c r="AA20" s="2867"/>
      <c r="AB20" s="2867"/>
      <c r="AC20" s="2867"/>
      <c r="AD20" s="2867"/>
      <c r="AE20" s="2867"/>
      <c r="AF20" s="2867"/>
      <c r="AG20" s="2867"/>
      <c r="AH20" s="2867"/>
      <c r="AI20" s="2867"/>
      <c r="AJ20" s="2867"/>
      <c r="AK20" s="2867"/>
      <c r="AL20" s="2867"/>
      <c r="AM20" s="2867"/>
      <c r="AN20" s="2867"/>
      <c r="AO20" s="2867"/>
      <c r="AP20" s="2867"/>
      <c r="AQ20" s="2867"/>
      <c r="AR20" s="2867"/>
      <c r="AS20" s="2867"/>
      <c r="AT20" s="2867"/>
      <c r="AU20" s="2867"/>
      <c r="AV20" s="2867"/>
      <c r="AW20" s="2867"/>
      <c r="AX20" s="2867"/>
      <c r="AY20" s="2867"/>
      <c r="AZ20" s="2867"/>
    </row>
    <row r="21" ht="14.25" spans="1:52">
      <c r="A21" s="2876" t="s">
        <v>625</v>
      </c>
      <c r="B21" s="2875">
        <v>0</v>
      </c>
      <c r="C21" s="2869"/>
      <c r="D21" s="2870"/>
      <c r="E21" s="2869"/>
      <c r="F21" s="2869"/>
      <c r="G21" s="2869"/>
      <c r="H21" s="2869"/>
      <c r="I21" s="2869"/>
      <c r="J21" s="2869"/>
      <c r="K21" s="2956"/>
      <c r="L21" s="2956"/>
      <c r="M21" s="2867"/>
      <c r="N21" s="2867"/>
      <c r="O21" s="2867"/>
      <c r="P21" s="2867"/>
      <c r="Q21" s="2867"/>
      <c r="R21" s="2867"/>
      <c r="S21" s="2867"/>
      <c r="T21" s="2867"/>
      <c r="U21" s="2867"/>
      <c r="V21" s="2867"/>
      <c r="W21" s="2867"/>
      <c r="X21" s="2867"/>
      <c r="Y21" s="2867"/>
      <c r="Z21" s="2867"/>
      <c r="AA21" s="2867"/>
      <c r="AB21" s="2867"/>
      <c r="AC21" s="2867"/>
      <c r="AD21" s="2867"/>
      <c r="AE21" s="2867"/>
      <c r="AF21" s="2867"/>
      <c r="AG21" s="2867"/>
      <c r="AH21" s="2867"/>
      <c r="AI21" s="2867"/>
      <c r="AJ21" s="2867"/>
      <c r="AK21" s="2867"/>
      <c r="AL21" s="2867"/>
      <c r="AM21" s="2867"/>
      <c r="AN21" s="2867"/>
      <c r="AO21" s="2867"/>
      <c r="AP21" s="2867"/>
      <c r="AQ21" s="2867"/>
      <c r="AR21" s="2867"/>
      <c r="AS21" s="2867"/>
      <c r="AT21" s="2867"/>
      <c r="AU21" s="2867"/>
      <c r="AV21" s="2867"/>
      <c r="AW21" s="2867"/>
      <c r="AX21" s="2867"/>
      <c r="AY21" s="2867"/>
      <c r="AZ21" s="2867"/>
    </row>
    <row r="22" ht="14.25" spans="1:52">
      <c r="A22" s="2874" t="s">
        <v>626</v>
      </c>
      <c r="B22" s="2877">
        <f>B19+B20</f>
        <v>1.5</v>
      </c>
      <c r="C22" s="2869"/>
      <c r="D22" s="2870"/>
      <c r="E22" s="2869"/>
      <c r="F22" s="2869"/>
      <c r="G22" s="2869"/>
      <c r="H22" s="2869"/>
      <c r="I22" s="2869"/>
      <c r="J22" s="2869"/>
      <c r="K22" s="2956"/>
      <c r="L22" s="2957" t="s">
        <v>389</v>
      </c>
      <c r="M22" s="2958" t="s">
        <v>627</v>
      </c>
      <c r="N22" s="2867"/>
      <c r="O22" s="2867"/>
      <c r="P22" s="2867"/>
      <c r="Q22" s="2867"/>
      <c r="R22" s="2867"/>
      <c r="S22" s="2867"/>
      <c r="T22" s="2867"/>
      <c r="U22" s="2867"/>
      <c r="V22" s="2867"/>
      <c r="W22" s="2867"/>
      <c r="X22" s="2867"/>
      <c r="Y22" s="2867"/>
      <c r="Z22" s="2867"/>
      <c r="AA22" s="2867"/>
      <c r="AB22" s="2867"/>
      <c r="AC22" s="2867"/>
      <c r="AD22" s="2867"/>
      <c r="AE22" s="2867"/>
      <c r="AF22" s="2867"/>
      <c r="AG22" s="2867"/>
      <c r="AH22" s="2867"/>
      <c r="AI22" s="2867"/>
      <c r="AJ22" s="2867"/>
      <c r="AK22" s="2867"/>
      <c r="AL22" s="2867"/>
      <c r="AM22" s="2867"/>
      <c r="AN22" s="2867"/>
      <c r="AO22" s="2867"/>
      <c r="AP22" s="2867"/>
      <c r="AQ22" s="2867"/>
      <c r="AR22" s="2867"/>
      <c r="AS22" s="2867"/>
      <c r="AT22" s="2867"/>
      <c r="AU22" s="2867"/>
      <c r="AV22" s="2867"/>
      <c r="AW22" s="2867"/>
      <c r="AX22" s="2867"/>
      <c r="AY22" s="2867"/>
      <c r="AZ22" s="2867"/>
    </row>
    <row r="23" ht="14.25" spans="1:52">
      <c r="A23" s="2876" t="s">
        <v>628</v>
      </c>
      <c r="B23" s="2877">
        <f>B19+B21</f>
        <v>0</v>
      </c>
      <c r="C23" s="2869"/>
      <c r="D23" s="2870"/>
      <c r="E23" s="2869"/>
      <c r="F23" s="2869"/>
      <c r="G23" s="2869"/>
      <c r="H23" s="2869"/>
      <c r="I23" s="2869"/>
      <c r="J23" s="2869"/>
      <c r="K23" s="2956"/>
      <c r="L23" s="2956">
        <v>116432</v>
      </c>
      <c r="M23" s="2867">
        <v>99824.461</v>
      </c>
      <c r="N23" s="2867"/>
      <c r="O23" s="2867"/>
      <c r="P23" s="2867"/>
      <c r="Q23" s="2867"/>
      <c r="R23" s="2867"/>
      <c r="S23" s="2867"/>
      <c r="T23" s="2867"/>
      <c r="U23" s="2867"/>
      <c r="V23" s="2867"/>
      <c r="W23" s="2867"/>
      <c r="X23" s="2867"/>
      <c r="Y23" s="2867"/>
      <c r="Z23" s="2867"/>
      <c r="AA23" s="2867"/>
      <c r="AB23" s="2867"/>
      <c r="AC23" s="2867"/>
      <c r="AD23" s="2867"/>
      <c r="AE23" s="2867"/>
      <c r="AF23" s="2867"/>
      <c r="AG23" s="2867"/>
      <c r="AH23" s="2867"/>
      <c r="AI23" s="2867"/>
      <c r="AJ23" s="2867"/>
      <c r="AK23" s="2867"/>
      <c r="AL23" s="2867"/>
      <c r="AM23" s="2867"/>
      <c r="AN23" s="2867"/>
      <c r="AO23" s="2867"/>
      <c r="AP23" s="2867"/>
      <c r="AQ23" s="2867"/>
      <c r="AR23" s="2867"/>
      <c r="AS23" s="2867"/>
      <c r="AT23" s="2867"/>
      <c r="AU23" s="2867"/>
      <c r="AV23" s="2867"/>
      <c r="AW23" s="2867"/>
      <c r="AX23" s="2867"/>
      <c r="AY23" s="2867"/>
      <c r="AZ23" s="2867"/>
    </row>
    <row r="24" ht="15" spans="1:52">
      <c r="A24" s="2878" t="s">
        <v>629</v>
      </c>
      <c r="B24" s="2879">
        <f>B20-B21</f>
        <v>1.5</v>
      </c>
      <c r="C24" s="2869"/>
      <c r="D24" s="2870"/>
      <c r="E24" s="2869"/>
      <c r="F24" s="2869"/>
      <c r="G24" s="2869"/>
      <c r="H24" s="2869"/>
      <c r="I24" s="2869"/>
      <c r="J24" s="2869"/>
      <c r="K24" s="2956"/>
      <c r="L24" s="2956">
        <f>面积表!E5</f>
        <v>57817.58</v>
      </c>
      <c r="M24" s="2867">
        <f>L24/L23*M23</f>
        <v>49570.6400287239</v>
      </c>
      <c r="N24" s="2867">
        <f>M24/L24</f>
        <v>0.857362761096606</v>
      </c>
      <c r="O24" s="2867"/>
      <c r="P24" s="2867"/>
      <c r="Q24" s="2867"/>
      <c r="R24" s="2867"/>
      <c r="S24" s="2867"/>
      <c r="T24" s="2867"/>
      <c r="U24" s="2867"/>
      <c r="V24" s="2867"/>
      <c r="W24" s="2867"/>
      <c r="X24" s="2867"/>
      <c r="Y24" s="2867"/>
      <c r="Z24" s="2867"/>
      <c r="AA24" s="2867"/>
      <c r="AB24" s="2867"/>
      <c r="AC24" s="2867"/>
      <c r="AD24" s="2867"/>
      <c r="AE24" s="2867"/>
      <c r="AF24" s="2867"/>
      <c r="AG24" s="2867"/>
      <c r="AH24" s="2867"/>
      <c r="AI24" s="2867">
        <v>2198</v>
      </c>
      <c r="AJ24" s="2867"/>
      <c r="AK24" s="2867"/>
      <c r="AL24" s="2867"/>
      <c r="AM24" s="2867"/>
      <c r="AN24" s="2867"/>
      <c r="AO24" s="2867"/>
      <c r="AP24" s="2867"/>
      <c r="AQ24" s="2867"/>
      <c r="AR24" s="2867"/>
      <c r="AS24" s="2867"/>
      <c r="AT24" s="2867"/>
      <c r="AU24" s="2867"/>
      <c r="AV24" s="2867"/>
      <c r="AW24" s="2867"/>
      <c r="AX24" s="2867"/>
      <c r="AY24" s="2867"/>
      <c r="AZ24" s="2867"/>
    </row>
    <row r="25" ht="15" spans="1:52">
      <c r="A25" s="2833"/>
      <c r="B25" s="2834"/>
      <c r="C25" s="2869"/>
      <c r="D25" s="2870"/>
      <c r="E25" s="2869"/>
      <c r="F25" s="2869"/>
      <c r="G25" s="2869"/>
      <c r="H25" s="2869"/>
      <c r="I25" s="2869"/>
      <c r="J25" s="2869"/>
      <c r="K25" s="2956"/>
      <c r="L25" s="2956"/>
      <c r="M25" s="2867"/>
      <c r="N25" s="2867"/>
      <c r="O25" s="2867"/>
      <c r="P25" s="2867"/>
      <c r="Q25" s="2867"/>
      <c r="R25" s="2867"/>
      <c r="S25" s="2867"/>
      <c r="T25" s="2867"/>
      <c r="U25" s="2867"/>
      <c r="V25" s="2867"/>
      <c r="W25" s="2867"/>
      <c r="X25" s="2867"/>
      <c r="Y25" s="2867"/>
      <c r="Z25" s="2867"/>
      <c r="AA25" s="2867"/>
      <c r="AB25" s="2867"/>
      <c r="AC25" s="2867"/>
      <c r="AD25" s="2867"/>
      <c r="AE25" s="2867"/>
      <c r="AF25" s="2867"/>
      <c r="AG25" s="2867"/>
      <c r="AH25" s="2867"/>
      <c r="AI25" s="2867">
        <v>48</v>
      </c>
      <c r="AJ25" s="2867"/>
      <c r="AK25" s="2867"/>
      <c r="AL25" s="2867"/>
      <c r="AM25" s="2867"/>
      <c r="AN25" s="2867"/>
      <c r="AO25" s="2867"/>
      <c r="AP25" s="2867"/>
      <c r="AQ25" s="2867"/>
      <c r="AR25" s="2867"/>
      <c r="AS25" s="2867"/>
      <c r="AT25" s="2867"/>
      <c r="AU25" s="2867"/>
      <c r="AV25" s="2867"/>
      <c r="AW25" s="2867"/>
      <c r="AX25" s="2867"/>
      <c r="AY25" s="2867"/>
      <c r="AZ25" s="2867"/>
    </row>
    <row r="26" ht="15" spans="1:52">
      <c r="A26" s="2829" t="s">
        <v>630</v>
      </c>
      <c r="B26" s="2880" t="s">
        <v>631</v>
      </c>
      <c r="C26" s="2881" t="s">
        <v>632</v>
      </c>
      <c r="D26" s="2870"/>
      <c r="E26" s="2869"/>
      <c r="F26" s="2869"/>
      <c r="G26" s="2869"/>
      <c r="H26" s="2869"/>
      <c r="I26" s="2869"/>
      <c r="J26" s="2869"/>
      <c r="K26" s="2956"/>
      <c r="L26" s="2956"/>
      <c r="M26" s="2867"/>
      <c r="N26" s="2867"/>
      <c r="O26" s="2867"/>
      <c r="P26" s="2867"/>
      <c r="Q26" s="2867"/>
      <c r="R26" s="2867"/>
      <c r="S26" s="2867"/>
      <c r="T26" s="2867"/>
      <c r="U26" s="2867"/>
      <c r="V26" s="2867"/>
      <c r="W26" s="2867"/>
      <c r="X26" s="2867"/>
      <c r="Y26" s="2867"/>
      <c r="Z26" s="2867"/>
      <c r="AA26" s="2867"/>
      <c r="AB26" s="2867"/>
      <c r="AC26" s="2867"/>
      <c r="AD26" s="2867"/>
      <c r="AE26" s="2867"/>
      <c r="AF26" s="2867"/>
      <c r="AG26" s="2867"/>
      <c r="AH26" s="2867"/>
      <c r="AI26" s="2867">
        <f>AI24/AI25</f>
        <v>45.7916666666667</v>
      </c>
      <c r="AJ26" s="2867"/>
      <c r="AK26" s="2867"/>
      <c r="AL26" s="2867"/>
      <c r="AM26" s="2867"/>
      <c r="AN26" s="2867"/>
      <c r="AO26" s="2867"/>
      <c r="AP26" s="2867"/>
      <c r="AQ26" s="2867"/>
      <c r="AR26" s="2867"/>
      <c r="AS26" s="2867"/>
      <c r="AT26" s="2867"/>
      <c r="AU26" s="2867"/>
      <c r="AV26" s="2867"/>
      <c r="AW26" s="2867"/>
      <c r="AX26" s="2867"/>
      <c r="AY26" s="2867"/>
      <c r="AZ26" s="2867"/>
    </row>
    <row r="27" s="2821" customFormat="1" ht="27.75" spans="1:83">
      <c r="A27" s="2882" t="s">
        <v>633</v>
      </c>
      <c r="B27" s="2883">
        <v>160</v>
      </c>
      <c r="C27" s="2884" t="s">
        <v>634</v>
      </c>
      <c r="D27" s="2885"/>
      <c r="E27" s="2886"/>
      <c r="F27" s="2886"/>
      <c r="G27" s="2869"/>
      <c r="H27" s="2869"/>
      <c r="I27" s="2869"/>
      <c r="J27" s="2869"/>
      <c r="K27" s="2956"/>
      <c r="L27" s="2956"/>
      <c r="M27" s="2867"/>
      <c r="N27" s="2867">
        <v>2017</v>
      </c>
      <c r="O27" s="2867"/>
      <c r="P27" s="2867"/>
      <c r="Q27" s="2867"/>
      <c r="R27" s="2867"/>
      <c r="S27" s="2867"/>
      <c r="T27" s="2867"/>
      <c r="U27" s="2867"/>
      <c r="V27" s="2867"/>
      <c r="W27" s="2867"/>
      <c r="X27" s="2867"/>
      <c r="Y27" s="2867"/>
      <c r="Z27" s="2867"/>
      <c r="AA27" s="2867"/>
      <c r="AB27" s="2867"/>
      <c r="AC27" s="2867"/>
      <c r="AD27" s="2867"/>
      <c r="AE27" s="2867"/>
      <c r="AF27" s="2867"/>
      <c r="AG27" s="2867"/>
      <c r="AH27" s="2867"/>
      <c r="AI27" s="2867"/>
      <c r="AJ27" s="2867"/>
      <c r="AK27" s="2867"/>
      <c r="AL27" s="2867"/>
      <c r="AM27" s="2867"/>
      <c r="AN27" s="2867"/>
      <c r="AO27" s="2867"/>
      <c r="AP27" s="2867"/>
      <c r="AQ27" s="2867"/>
      <c r="AR27" s="2867"/>
      <c r="AS27" s="2867"/>
      <c r="AT27" s="2867"/>
      <c r="AU27" s="2867"/>
      <c r="AV27" s="2867"/>
      <c r="AW27" s="2867"/>
      <c r="AX27" s="2867"/>
      <c r="AY27" s="2867"/>
      <c r="AZ27" s="2867"/>
      <c r="BA27" s="3023"/>
      <c r="BB27" s="3023"/>
      <c r="BC27" s="3023"/>
      <c r="BD27" s="3023"/>
      <c r="BE27" s="3023"/>
      <c r="BF27" s="3023"/>
      <c r="BG27" s="3023"/>
      <c r="BH27" s="3023"/>
      <c r="BI27" s="3023"/>
      <c r="BJ27" s="3023"/>
      <c r="BK27" s="3023"/>
      <c r="BL27" s="3023"/>
      <c r="BM27" s="3023"/>
      <c r="BN27" s="3023"/>
      <c r="BO27" s="3023"/>
      <c r="BP27" s="3023"/>
      <c r="BQ27" s="3023"/>
      <c r="BR27" s="3023"/>
      <c r="BS27" s="3023"/>
      <c r="BT27" s="3023"/>
      <c r="BU27" s="3023"/>
      <c r="BV27" s="3023"/>
      <c r="BW27" s="3023"/>
      <c r="BX27" s="3023"/>
      <c r="BY27" s="3023"/>
      <c r="BZ27" s="3023"/>
      <c r="CA27" s="3023"/>
      <c r="CB27" s="3023"/>
      <c r="CC27" s="3023"/>
      <c r="CD27" s="3023"/>
      <c r="CE27" s="3023"/>
    </row>
    <row r="28" s="2821" customFormat="1" ht="27.75" spans="1:83">
      <c r="A28" s="2887" t="s">
        <v>635</v>
      </c>
      <c r="B28" s="2888">
        <v>200</v>
      </c>
      <c r="C28" s="2889"/>
      <c r="D28" s="2885"/>
      <c r="E28" s="2886"/>
      <c r="F28" s="2886"/>
      <c r="G28" s="2869"/>
      <c r="H28" s="2869"/>
      <c r="I28" s="2869"/>
      <c r="J28" s="2869"/>
      <c r="K28" s="2956"/>
      <c r="L28" s="2956"/>
      <c r="M28" s="2867"/>
      <c r="N28" s="2867">
        <v>2021</v>
      </c>
      <c r="O28" s="2867"/>
      <c r="P28" s="2867"/>
      <c r="Q28" s="2867"/>
      <c r="R28" s="2867"/>
      <c r="S28" s="2867"/>
      <c r="T28" s="2867"/>
      <c r="U28" s="2867"/>
      <c r="V28" s="2867"/>
      <c r="W28" s="2867"/>
      <c r="X28" s="2867"/>
      <c r="Y28" s="2867"/>
      <c r="Z28" s="2867"/>
      <c r="AA28" s="2867"/>
      <c r="AB28" s="2867"/>
      <c r="AC28" s="2867"/>
      <c r="AD28" s="2867"/>
      <c r="AE28" s="2867"/>
      <c r="AF28" s="2867"/>
      <c r="AG28" s="2867"/>
      <c r="AH28" s="2867"/>
      <c r="AI28" s="2867"/>
      <c r="AJ28" s="2867"/>
      <c r="AK28" s="2867"/>
      <c r="AL28" s="2867"/>
      <c r="AM28" s="2867"/>
      <c r="AN28" s="2867"/>
      <c r="AO28" s="2867"/>
      <c r="AP28" s="2867"/>
      <c r="AQ28" s="2867"/>
      <c r="AR28" s="2867"/>
      <c r="AS28" s="2867"/>
      <c r="AT28" s="2867"/>
      <c r="AU28" s="2867"/>
      <c r="AV28" s="2867"/>
      <c r="AW28" s="2867"/>
      <c r="AX28" s="2867"/>
      <c r="AY28" s="2867"/>
      <c r="AZ28" s="2867"/>
      <c r="BA28" s="3023"/>
      <c r="BB28" s="3023"/>
      <c r="BC28" s="3023"/>
      <c r="BD28" s="3023"/>
      <c r="BE28" s="3023"/>
      <c r="BF28" s="3023"/>
      <c r="BG28" s="3023"/>
      <c r="BH28" s="3023"/>
      <c r="BI28" s="3023"/>
      <c r="BJ28" s="3023"/>
      <c r="BK28" s="3023"/>
      <c r="BL28" s="3023"/>
      <c r="BM28" s="3023"/>
      <c r="BN28" s="3023"/>
      <c r="BO28" s="3023"/>
      <c r="BP28" s="3023"/>
      <c r="BQ28" s="3023"/>
      <c r="BR28" s="3023"/>
      <c r="BS28" s="3023"/>
      <c r="BT28" s="3023"/>
      <c r="BU28" s="3023"/>
      <c r="BV28" s="3023"/>
      <c r="BW28" s="3023"/>
      <c r="BX28" s="3023"/>
      <c r="BY28" s="3023"/>
      <c r="BZ28" s="3023"/>
      <c r="CA28" s="3023"/>
      <c r="CB28" s="3023"/>
      <c r="CC28" s="3023"/>
      <c r="CD28" s="3023"/>
      <c r="CE28" s="3023"/>
    </row>
    <row r="29" s="2821" customFormat="1" ht="28.5" spans="1:83">
      <c r="A29" s="2890" t="s">
        <v>636</v>
      </c>
      <c r="B29" s="2891"/>
      <c r="C29" s="2892" t="s">
        <v>637</v>
      </c>
      <c r="D29" s="2885"/>
      <c r="E29" s="2886"/>
      <c r="F29" s="2886"/>
      <c r="G29" s="2869"/>
      <c r="H29" s="2869"/>
      <c r="I29" s="2869"/>
      <c r="J29" s="2869"/>
      <c r="K29" s="2956"/>
      <c r="L29" s="2956"/>
      <c r="M29" s="2867"/>
      <c r="N29" s="2867">
        <f>N28-N27</f>
        <v>4</v>
      </c>
      <c r="O29" s="2867"/>
      <c r="P29" s="2867"/>
      <c r="Q29" s="2867"/>
      <c r="R29" s="2867"/>
      <c r="S29" s="2867"/>
      <c r="T29" s="2867"/>
      <c r="U29" s="2867"/>
      <c r="V29" s="2867"/>
      <c r="W29" s="2867"/>
      <c r="X29" s="2867"/>
      <c r="Y29" s="2867"/>
      <c r="Z29" s="2867"/>
      <c r="AA29" s="2867"/>
      <c r="AB29" s="2867"/>
      <c r="AC29" s="2867"/>
      <c r="AD29" s="2867"/>
      <c r="AE29" s="2867"/>
      <c r="AF29" s="2867"/>
      <c r="AG29" s="2867"/>
      <c r="AH29" s="2867"/>
      <c r="AI29" s="2867"/>
      <c r="AJ29" s="2867"/>
      <c r="AK29" s="2867"/>
      <c r="AL29" s="2867"/>
      <c r="AM29" s="2867"/>
      <c r="AN29" s="2867"/>
      <c r="AO29" s="2867"/>
      <c r="AP29" s="2867"/>
      <c r="AQ29" s="2867"/>
      <c r="AR29" s="2867"/>
      <c r="AS29" s="2867"/>
      <c r="AT29" s="2867"/>
      <c r="AU29" s="2867"/>
      <c r="AV29" s="2867"/>
      <c r="AW29" s="2867"/>
      <c r="AX29" s="2867"/>
      <c r="AY29" s="2867"/>
      <c r="AZ29" s="2867"/>
      <c r="BA29" s="3023"/>
      <c r="BB29" s="3023"/>
      <c r="BC29" s="3023"/>
      <c r="BD29" s="3023"/>
      <c r="BE29" s="3023"/>
      <c r="BF29" s="3023"/>
      <c r="BG29" s="3023"/>
      <c r="BH29" s="3023"/>
      <c r="BI29" s="3023"/>
      <c r="BJ29" s="3023"/>
      <c r="BK29" s="3023"/>
      <c r="BL29" s="3023"/>
      <c r="BM29" s="3023"/>
      <c r="BN29" s="3023"/>
      <c r="BO29" s="3023"/>
      <c r="BP29" s="3023"/>
      <c r="BQ29" s="3023"/>
      <c r="BR29" s="3023"/>
      <c r="BS29" s="3023"/>
      <c r="BT29" s="3023"/>
      <c r="BU29" s="3023"/>
      <c r="BV29" s="3023"/>
      <c r="BW29" s="3023"/>
      <c r="BX29" s="3023"/>
      <c r="BY29" s="3023"/>
      <c r="BZ29" s="3023"/>
      <c r="CA29" s="3023"/>
      <c r="CB29" s="3023"/>
      <c r="CC29" s="3023"/>
      <c r="CD29" s="3023"/>
      <c r="CE29" s="3023"/>
    </row>
    <row r="30" s="2821" customFormat="1" ht="27" spans="1:83">
      <c r="A30" s="2893" t="s">
        <v>638</v>
      </c>
      <c r="B30" s="2894">
        <v>200</v>
      </c>
      <c r="C30" s="2889"/>
      <c r="D30" s="2885"/>
      <c r="E30" s="2886"/>
      <c r="F30" s="2886"/>
      <c r="G30" s="2869"/>
      <c r="H30" s="2869"/>
      <c r="I30" s="2869"/>
      <c r="J30" s="2869"/>
      <c r="K30" s="2956"/>
      <c r="L30" s="2956"/>
      <c r="M30" s="2867"/>
      <c r="N30" s="2867">
        <v>60</v>
      </c>
      <c r="O30" s="2867"/>
      <c r="P30" s="2867"/>
      <c r="Q30" s="2867"/>
      <c r="R30" s="2867"/>
      <c r="S30" s="2867"/>
      <c r="T30" s="2867"/>
      <c r="U30" s="2867"/>
      <c r="V30" s="2867"/>
      <c r="W30" s="2867"/>
      <c r="X30" s="2867"/>
      <c r="Y30" s="2867"/>
      <c r="Z30" s="2867"/>
      <c r="AA30" s="2867"/>
      <c r="AB30" s="2867"/>
      <c r="AC30" s="2867"/>
      <c r="AD30" s="2867"/>
      <c r="AE30" s="2867"/>
      <c r="AF30" s="2867"/>
      <c r="AG30" s="2867"/>
      <c r="AH30" s="2867"/>
      <c r="AI30" s="2867"/>
      <c r="AJ30" s="2867"/>
      <c r="AK30" s="2867"/>
      <c r="AL30" s="2867"/>
      <c r="AM30" s="2867"/>
      <c r="AN30" s="2867"/>
      <c r="AO30" s="2867"/>
      <c r="AP30" s="2867"/>
      <c r="AQ30" s="2867"/>
      <c r="AR30" s="2867"/>
      <c r="AS30" s="2867"/>
      <c r="AT30" s="2867"/>
      <c r="AU30" s="2867"/>
      <c r="AV30" s="2867"/>
      <c r="AW30" s="2867"/>
      <c r="AX30" s="2867"/>
      <c r="AY30" s="2867"/>
      <c r="AZ30" s="2867"/>
      <c r="BA30" s="3023"/>
      <c r="BB30" s="3023"/>
      <c r="BC30" s="3023"/>
      <c r="BD30" s="3023"/>
      <c r="BE30" s="3023"/>
      <c r="BF30" s="3023"/>
      <c r="BG30" s="3023"/>
      <c r="BH30" s="3023"/>
      <c r="BI30" s="3023"/>
      <c r="BJ30" s="3023"/>
      <c r="BK30" s="3023"/>
      <c r="BL30" s="3023"/>
      <c r="BM30" s="3023"/>
      <c r="BN30" s="3023"/>
      <c r="BO30" s="3023"/>
      <c r="BP30" s="3023"/>
      <c r="BQ30" s="3023"/>
      <c r="BR30" s="3023"/>
      <c r="BS30" s="3023"/>
      <c r="BT30" s="3023"/>
      <c r="BU30" s="3023"/>
      <c r="BV30" s="3023"/>
      <c r="BW30" s="3023"/>
      <c r="BX30" s="3023"/>
      <c r="BY30" s="3023"/>
      <c r="BZ30" s="3023"/>
      <c r="CA30" s="3023"/>
      <c r="CB30" s="3023"/>
      <c r="CC30" s="3023"/>
      <c r="CD30" s="3023"/>
      <c r="CE30" s="3023"/>
    </row>
    <row r="31" s="2821" customFormat="1" ht="27" spans="1:83">
      <c r="A31" s="2887" t="s">
        <v>639</v>
      </c>
      <c r="B31" s="2895">
        <f>B30-B32</f>
        <v>200</v>
      </c>
      <c r="C31" s="2896"/>
      <c r="D31" s="2885"/>
      <c r="E31" s="2886"/>
      <c r="F31" s="2886"/>
      <c r="G31" s="2869"/>
      <c r="H31" s="2869"/>
      <c r="I31" s="2869"/>
      <c r="J31" s="2869"/>
      <c r="K31" s="2956"/>
      <c r="L31" s="2956"/>
      <c r="M31" s="2867"/>
      <c r="N31" s="2867">
        <f>N30-N29</f>
        <v>56</v>
      </c>
      <c r="O31" s="2867"/>
      <c r="P31" s="2867"/>
      <c r="Q31" s="2867"/>
      <c r="R31" s="2867"/>
      <c r="S31" s="2867"/>
      <c r="T31" s="2867"/>
      <c r="U31" s="2867"/>
      <c r="V31" s="2867"/>
      <c r="W31" s="2867"/>
      <c r="X31" s="2867"/>
      <c r="Y31" s="2867"/>
      <c r="Z31" s="2867"/>
      <c r="AA31" s="2867"/>
      <c r="AB31" s="2867"/>
      <c r="AC31" s="2867"/>
      <c r="AD31" s="2867"/>
      <c r="AE31" s="2867"/>
      <c r="AF31" s="2867"/>
      <c r="AG31" s="2867"/>
      <c r="AH31" s="2867"/>
      <c r="AI31" s="2867"/>
      <c r="AJ31" s="2867"/>
      <c r="AK31" s="2867"/>
      <c r="AL31" s="2867"/>
      <c r="AM31" s="2867"/>
      <c r="AN31" s="2867"/>
      <c r="AO31" s="2867"/>
      <c r="AP31" s="2867"/>
      <c r="AQ31" s="2867"/>
      <c r="AR31" s="2867"/>
      <c r="AS31" s="2867"/>
      <c r="AT31" s="2867"/>
      <c r="AU31" s="2867"/>
      <c r="AV31" s="2867"/>
      <c r="AW31" s="2867"/>
      <c r="AX31" s="2867"/>
      <c r="AY31" s="2867"/>
      <c r="AZ31" s="2867"/>
      <c r="BA31" s="3023"/>
      <c r="BB31" s="3023"/>
      <c r="BC31" s="3023"/>
      <c r="BD31" s="3023"/>
      <c r="BE31" s="3023"/>
      <c r="BF31" s="3023"/>
      <c r="BG31" s="3023"/>
      <c r="BH31" s="3023"/>
      <c r="BI31" s="3023"/>
      <c r="BJ31" s="3023"/>
      <c r="BK31" s="3023"/>
      <c r="BL31" s="3023"/>
      <c r="BM31" s="3023"/>
      <c r="BN31" s="3023"/>
      <c r="BO31" s="3023"/>
      <c r="BP31" s="3023"/>
      <c r="BQ31" s="3023"/>
      <c r="BR31" s="3023"/>
      <c r="BS31" s="3023"/>
      <c r="BT31" s="3023"/>
      <c r="BU31" s="3023"/>
      <c r="BV31" s="3023"/>
      <c r="BW31" s="3023"/>
      <c r="BX31" s="3023"/>
      <c r="BY31" s="3023"/>
      <c r="BZ31" s="3023"/>
      <c r="CA31" s="3023"/>
      <c r="CB31" s="3023"/>
      <c r="CC31" s="3023"/>
      <c r="CD31" s="3023"/>
      <c r="CE31" s="3023"/>
    </row>
    <row r="32" s="2821" customFormat="1" ht="27.75" spans="1:83">
      <c r="A32" s="2897" t="s">
        <v>640</v>
      </c>
      <c r="B32" s="2898">
        <v>0</v>
      </c>
      <c r="C32" s="2889"/>
      <c r="D32" s="2870"/>
      <c r="E32" s="2869"/>
      <c r="F32" s="2869"/>
      <c r="G32" s="2869"/>
      <c r="H32" s="2869"/>
      <c r="I32" s="2869"/>
      <c r="J32" s="2869"/>
      <c r="K32" s="2956"/>
      <c r="L32" s="2956"/>
      <c r="M32" s="2867"/>
      <c r="N32" s="2867">
        <f>N31/N30</f>
        <v>0.933333333333333</v>
      </c>
      <c r="O32" s="2867"/>
      <c r="P32" s="2867"/>
      <c r="Q32" s="2867"/>
      <c r="R32" s="2867"/>
      <c r="S32" s="2867"/>
      <c r="T32" s="2867"/>
      <c r="U32" s="2867"/>
      <c r="V32" s="2867"/>
      <c r="W32" s="2867"/>
      <c r="X32" s="2867"/>
      <c r="Y32" s="2867"/>
      <c r="Z32" s="2867"/>
      <c r="AA32" s="2867"/>
      <c r="AB32" s="2867"/>
      <c r="AC32" s="2867"/>
      <c r="AD32" s="2867"/>
      <c r="AE32" s="2867"/>
      <c r="AF32" s="2867"/>
      <c r="AG32" s="2867"/>
      <c r="AH32" s="2867"/>
      <c r="AI32" s="2867"/>
      <c r="AJ32" s="2867"/>
      <c r="AK32" s="2867"/>
      <c r="AL32" s="2867"/>
      <c r="AM32" s="2867"/>
      <c r="AN32" s="2867"/>
      <c r="AO32" s="2867"/>
      <c r="AP32" s="2867"/>
      <c r="AQ32" s="2867"/>
      <c r="AR32" s="2867"/>
      <c r="AS32" s="2867"/>
      <c r="AT32" s="2867"/>
      <c r="AU32" s="2867"/>
      <c r="AV32" s="2867"/>
      <c r="AW32" s="2867"/>
      <c r="AX32" s="2867"/>
      <c r="AY32" s="2867"/>
      <c r="AZ32" s="2867"/>
      <c r="BA32" s="3023"/>
      <c r="BB32" s="3023"/>
      <c r="BC32" s="3023"/>
      <c r="BD32" s="3023"/>
      <c r="BE32" s="3023"/>
      <c r="BF32" s="3023"/>
      <c r="BG32" s="3023"/>
      <c r="BH32" s="3023"/>
      <c r="BI32" s="3023"/>
      <c r="BJ32" s="3023"/>
      <c r="BK32" s="3023"/>
      <c r="BL32" s="3023"/>
      <c r="BM32" s="3023"/>
      <c r="BN32" s="3023"/>
      <c r="BO32" s="3023"/>
      <c r="BP32" s="3023"/>
      <c r="BQ32" s="3023"/>
      <c r="BR32" s="3023"/>
      <c r="BS32" s="3023"/>
      <c r="BT32" s="3023"/>
      <c r="BU32" s="3023"/>
      <c r="BV32" s="3023"/>
      <c r="BW32" s="3023"/>
      <c r="BX32" s="3023"/>
      <c r="BY32" s="3023"/>
      <c r="BZ32" s="3023"/>
      <c r="CA32" s="3023"/>
      <c r="CB32" s="3023"/>
      <c r="CC32" s="3023"/>
      <c r="CD32" s="3023"/>
      <c r="CE32" s="3023"/>
    </row>
    <row r="33" s="2821" customFormat="1" ht="14.25" spans="1:83">
      <c r="A33" s="2882" t="s">
        <v>641</v>
      </c>
      <c r="B33" s="2899">
        <v>0.03</v>
      </c>
      <c r="C33" s="2900" t="s">
        <v>642</v>
      </c>
      <c r="D33" s="2885"/>
      <c r="E33" s="2886"/>
      <c r="F33" s="2886"/>
      <c r="G33" s="2869"/>
      <c r="H33" s="2869"/>
      <c r="I33" s="2869"/>
      <c r="J33" s="2869"/>
      <c r="K33" s="2956"/>
      <c r="L33" s="2956"/>
      <c r="M33" s="2867"/>
      <c r="N33" s="2867"/>
      <c r="O33" s="2867"/>
      <c r="P33" s="2867"/>
      <c r="Q33" s="2867"/>
      <c r="R33" s="2867"/>
      <c r="S33" s="2867"/>
      <c r="T33" s="2867"/>
      <c r="U33" s="2867"/>
      <c r="V33" s="2867"/>
      <c r="W33" s="2867"/>
      <c r="X33" s="2867"/>
      <c r="Y33" s="2867"/>
      <c r="Z33" s="2867"/>
      <c r="AA33" s="2867"/>
      <c r="AB33" s="2867"/>
      <c r="AC33" s="2867"/>
      <c r="AD33" s="2867"/>
      <c r="AE33" s="2867"/>
      <c r="AF33" s="2867"/>
      <c r="AG33" s="2867"/>
      <c r="AH33" s="2867"/>
      <c r="AI33" s="2867"/>
      <c r="AJ33" s="2867"/>
      <c r="AK33" s="2867"/>
      <c r="AL33" s="2867"/>
      <c r="AM33" s="2867"/>
      <c r="AN33" s="2867"/>
      <c r="AO33" s="2867"/>
      <c r="AP33" s="2867"/>
      <c r="AQ33" s="2867"/>
      <c r="AR33" s="2867"/>
      <c r="AS33" s="2867"/>
      <c r="AT33" s="2867"/>
      <c r="AU33" s="2867"/>
      <c r="AV33" s="2867"/>
      <c r="AW33" s="2867"/>
      <c r="AX33" s="2867"/>
      <c r="AY33" s="2867"/>
      <c r="AZ33" s="2867"/>
      <c r="BA33" s="3023"/>
      <c r="BB33" s="3023"/>
      <c r="BC33" s="3023"/>
      <c r="BD33" s="3023"/>
      <c r="BE33" s="3023"/>
      <c r="BF33" s="3023"/>
      <c r="BG33" s="3023"/>
      <c r="BH33" s="3023"/>
      <c r="BI33" s="3023"/>
      <c r="BJ33" s="3023"/>
      <c r="BK33" s="3023"/>
      <c r="BL33" s="3023"/>
      <c r="BM33" s="3023"/>
      <c r="BN33" s="3023"/>
      <c r="BO33" s="3023"/>
      <c r="BP33" s="3023"/>
      <c r="BQ33" s="3023"/>
      <c r="BR33" s="3023"/>
      <c r="BS33" s="3023"/>
      <c r="BT33" s="3023"/>
      <c r="BU33" s="3023"/>
      <c r="BV33" s="3023"/>
      <c r="BW33" s="3023"/>
      <c r="BX33" s="3023"/>
      <c r="BY33" s="3023"/>
      <c r="BZ33" s="3023"/>
      <c r="CA33" s="3023"/>
      <c r="CB33" s="3023"/>
      <c r="CC33" s="3023"/>
      <c r="CD33" s="3023"/>
      <c r="CE33" s="3023"/>
    </row>
    <row r="34" ht="14.25" spans="1:52">
      <c r="A34" s="2887" t="s">
        <v>643</v>
      </c>
      <c r="B34" s="2901">
        <v>0</v>
      </c>
      <c r="C34" s="2900" t="s">
        <v>644</v>
      </c>
      <c r="D34" s="2902" t="s">
        <v>645</v>
      </c>
      <c r="E34" s="2867"/>
      <c r="F34" s="2869"/>
      <c r="G34" s="2869"/>
      <c r="H34" s="2869"/>
      <c r="I34" s="2869"/>
      <c r="J34" s="2869"/>
      <c r="K34" s="2956"/>
      <c r="L34" s="2956"/>
      <c r="M34" s="2867"/>
      <c r="N34" s="2867"/>
      <c r="O34" s="2867"/>
      <c r="P34" s="2867"/>
      <c r="Q34" s="2867"/>
      <c r="R34" s="2867"/>
      <c r="S34" s="2867"/>
      <c r="T34" s="2867"/>
      <c r="U34" s="2867"/>
      <c r="V34" s="2867"/>
      <c r="W34" s="2867"/>
      <c r="X34" s="2867"/>
      <c r="Y34" s="2867"/>
      <c r="Z34" s="2867"/>
      <c r="AA34" s="2867"/>
      <c r="AB34" s="2867"/>
      <c r="AC34" s="2867"/>
      <c r="AD34" s="2867"/>
      <c r="AE34" s="2867"/>
      <c r="AF34" s="2867"/>
      <c r="AG34" s="2867"/>
      <c r="AH34" s="2867"/>
      <c r="AI34" s="2867"/>
      <c r="AJ34" s="2867"/>
      <c r="AK34" s="2867"/>
      <c r="AL34" s="2867"/>
      <c r="AM34" s="2867"/>
      <c r="AN34" s="2867"/>
      <c r="AO34" s="2867"/>
      <c r="AP34" s="2867"/>
      <c r="AQ34" s="2867"/>
      <c r="AR34" s="2867"/>
      <c r="AS34" s="2867"/>
      <c r="AT34" s="2867"/>
      <c r="AU34" s="2867"/>
      <c r="AV34" s="2867"/>
      <c r="AW34" s="2867"/>
      <c r="AX34" s="2867"/>
      <c r="AY34" s="2867"/>
      <c r="AZ34" s="2867"/>
    </row>
    <row r="35" ht="14.25" spans="1:52">
      <c r="A35" s="2887" t="s">
        <v>646</v>
      </c>
      <c r="B35" s="2888">
        <v>200</v>
      </c>
      <c r="C35" s="2900" t="s">
        <v>647</v>
      </c>
      <c r="D35" s="2870"/>
      <c r="E35" s="2869"/>
      <c r="F35" s="2869"/>
      <c r="G35" s="2869"/>
      <c r="H35" s="2869"/>
      <c r="I35" s="2869"/>
      <c r="J35" s="2869"/>
      <c r="K35" s="2956"/>
      <c r="L35" s="2956"/>
      <c r="M35" s="2867"/>
      <c r="N35" s="2867"/>
      <c r="O35" s="2867"/>
      <c r="P35" s="2867"/>
      <c r="Q35" s="2867"/>
      <c r="R35" s="2867"/>
      <c r="S35" s="2867"/>
      <c r="T35" s="2867"/>
      <c r="U35" s="2867"/>
      <c r="V35" s="2867"/>
      <c r="W35" s="2867"/>
      <c r="X35" s="2867"/>
      <c r="Y35" s="2867"/>
      <c r="Z35" s="2867"/>
      <c r="AA35" s="2867"/>
      <c r="AB35" s="2867"/>
      <c r="AC35" s="2867"/>
      <c r="AD35" s="2867"/>
      <c r="AE35" s="2867"/>
      <c r="AF35" s="2867"/>
      <c r="AG35" s="2867"/>
      <c r="AH35" s="2867"/>
      <c r="AI35" s="2867"/>
      <c r="AJ35" s="2867"/>
      <c r="AK35" s="2867"/>
      <c r="AL35" s="2867"/>
      <c r="AM35" s="2867"/>
      <c r="AN35" s="2867"/>
      <c r="AO35" s="2867"/>
      <c r="AP35" s="2867"/>
      <c r="AQ35" s="2867"/>
      <c r="AR35" s="2867"/>
      <c r="AS35" s="2867"/>
      <c r="AT35" s="2867"/>
      <c r="AU35" s="2867"/>
      <c r="AV35" s="2867"/>
      <c r="AW35" s="2867"/>
      <c r="AX35" s="2867"/>
      <c r="AY35" s="2867"/>
      <c r="AZ35" s="2867"/>
    </row>
    <row r="36" ht="15" spans="1:52">
      <c r="A36" s="2890" t="s">
        <v>648</v>
      </c>
      <c r="B36" s="2903">
        <v>0.015</v>
      </c>
      <c r="C36" s="2900" t="s">
        <v>649</v>
      </c>
      <c r="D36" s="2868"/>
      <c r="E36" s="2867"/>
      <c r="F36" s="2869"/>
      <c r="G36" s="2869"/>
      <c r="H36" s="2869"/>
      <c r="I36" s="2869"/>
      <c r="J36" s="2869"/>
      <c r="K36" s="2956"/>
      <c r="L36" s="2956"/>
      <c r="M36" s="2867"/>
      <c r="N36" s="2867"/>
      <c r="O36" s="2867"/>
      <c r="P36" s="2867"/>
      <c r="Q36" s="2867"/>
      <c r="R36" s="2867"/>
      <c r="S36" s="2867"/>
      <c r="T36" s="2867"/>
      <c r="U36" s="2867"/>
      <c r="V36" s="2867"/>
      <c r="W36" s="2867"/>
      <c r="X36" s="2867"/>
      <c r="Y36" s="2867"/>
      <c r="Z36" s="2867"/>
      <c r="AA36" s="2867"/>
      <c r="AB36" s="2867"/>
      <c r="AC36" s="2867"/>
      <c r="AD36" s="2867"/>
      <c r="AE36" s="2867"/>
      <c r="AF36" s="2867"/>
      <c r="AG36" s="2867"/>
      <c r="AH36" s="2867"/>
      <c r="AI36" s="2867"/>
      <c r="AJ36" s="2867"/>
      <c r="AK36" s="2867"/>
      <c r="AL36" s="2867"/>
      <c r="AM36" s="2867"/>
      <c r="AN36" s="2867"/>
      <c r="AO36" s="2867"/>
      <c r="AP36" s="2867"/>
      <c r="AQ36" s="2867"/>
      <c r="AR36" s="2867"/>
      <c r="AS36" s="2867"/>
      <c r="AT36" s="2867"/>
      <c r="AU36" s="2867"/>
      <c r="AV36" s="2867"/>
      <c r="AW36" s="2867"/>
      <c r="AX36" s="2867"/>
      <c r="AY36" s="2867"/>
      <c r="AZ36" s="2867"/>
    </row>
    <row r="37" ht="14.25" spans="1:52">
      <c r="A37" s="2893" t="s">
        <v>650</v>
      </c>
      <c r="B37" s="2904">
        <v>0.02</v>
      </c>
      <c r="C37" s="2900" t="s">
        <v>651</v>
      </c>
      <c r="D37" s="2870"/>
      <c r="E37" s="2869"/>
      <c r="F37" s="2869"/>
      <c r="G37" s="2869"/>
      <c r="H37" s="2869"/>
      <c r="I37" s="2869"/>
      <c r="J37" s="2869"/>
      <c r="K37" s="2956"/>
      <c r="L37" s="2956"/>
      <c r="M37" s="2867"/>
      <c r="N37" s="2867"/>
      <c r="O37" s="2867"/>
      <c r="P37" s="2867"/>
      <c r="Q37" s="2867"/>
      <c r="R37" s="2867"/>
      <c r="S37" s="2867"/>
      <c r="T37" s="2867"/>
      <c r="U37" s="2867"/>
      <c r="V37" s="2867"/>
      <c r="W37" s="2867"/>
      <c r="X37" s="2867"/>
      <c r="Y37" s="2867"/>
      <c r="Z37" s="2867"/>
      <c r="AA37" s="2867"/>
      <c r="AB37" s="2867"/>
      <c r="AC37" s="2867"/>
      <c r="AD37" s="2867"/>
      <c r="AE37" s="2867"/>
      <c r="AF37" s="2867"/>
      <c r="AG37" s="2867"/>
      <c r="AH37" s="2867"/>
      <c r="AI37" s="2867"/>
      <c r="AJ37" s="2867"/>
      <c r="AK37" s="2867"/>
      <c r="AL37" s="2867"/>
      <c r="AM37" s="2867"/>
      <c r="AN37" s="2867"/>
      <c r="AO37" s="2867"/>
      <c r="AP37" s="2867"/>
      <c r="AQ37" s="2867"/>
      <c r="AR37" s="2867"/>
      <c r="AS37" s="2867"/>
      <c r="AT37" s="2867"/>
      <c r="AU37" s="2867"/>
      <c r="AV37" s="2867"/>
      <c r="AW37" s="2867"/>
      <c r="AX37" s="2867"/>
      <c r="AY37" s="2867"/>
      <c r="AZ37" s="2867"/>
    </row>
    <row r="38" ht="14.25" spans="1:52">
      <c r="A38" s="2887" t="s">
        <v>652</v>
      </c>
      <c r="B38" s="2901">
        <v>0.02</v>
      </c>
      <c r="C38" s="2900" t="s">
        <v>651</v>
      </c>
      <c r="D38" s="2870"/>
      <c r="E38" s="2869"/>
      <c r="F38" s="2869"/>
      <c r="G38" s="2869"/>
      <c r="H38" s="2869"/>
      <c r="I38" s="2869"/>
      <c r="J38" s="2869"/>
      <c r="K38" s="2956"/>
      <c r="L38" s="2956"/>
      <c r="M38" s="2867"/>
      <c r="N38" s="2867"/>
      <c r="O38" s="2867"/>
      <c r="P38" s="2867"/>
      <c r="Q38" s="2867"/>
      <c r="R38" s="2867"/>
      <c r="S38" s="2867"/>
      <c r="T38" s="2867"/>
      <c r="U38" s="2867"/>
      <c r="V38" s="2867"/>
      <c r="W38" s="2867"/>
      <c r="X38" s="2867"/>
      <c r="Y38" s="2867"/>
      <c r="Z38" s="2867"/>
      <c r="AA38" s="2867"/>
      <c r="AB38" s="2867"/>
      <c r="AC38" s="2867"/>
      <c r="AD38" s="2867"/>
      <c r="AE38" s="2867"/>
      <c r="AF38" s="2867"/>
      <c r="AG38" s="2867"/>
      <c r="AH38" s="2867"/>
      <c r="AI38" s="2867"/>
      <c r="AJ38" s="2867"/>
      <c r="AK38" s="2867"/>
      <c r="AL38" s="2867"/>
      <c r="AM38" s="2867"/>
      <c r="AN38" s="2867"/>
      <c r="AO38" s="2867"/>
      <c r="AP38" s="2867"/>
      <c r="AQ38" s="2867"/>
      <c r="AR38" s="2867"/>
      <c r="AS38" s="2867"/>
      <c r="AT38" s="2867"/>
      <c r="AU38" s="2867"/>
      <c r="AV38" s="2867"/>
      <c r="AW38" s="2867"/>
      <c r="AX38" s="2867"/>
      <c r="AY38" s="2867"/>
      <c r="AZ38" s="2867"/>
    </row>
    <row r="39" ht="14.25" spans="1:52">
      <c r="A39" s="2905" t="s">
        <v>653</v>
      </c>
      <c r="B39" s="908">
        <f ca="1">存贷款利率!C4</f>
        <v>0.015</v>
      </c>
      <c r="C39" s="2906"/>
      <c r="D39" s="2870"/>
      <c r="E39" s="2869"/>
      <c r="F39" s="2869"/>
      <c r="G39" s="2869"/>
      <c r="H39" s="2869"/>
      <c r="I39" s="2869"/>
      <c r="J39" s="2869"/>
      <c r="K39" s="2956"/>
      <c r="L39" s="2956"/>
      <c r="M39" s="2867"/>
      <c r="N39" s="2867"/>
      <c r="O39" s="2867"/>
      <c r="P39" s="2867"/>
      <c r="Q39" s="2867"/>
      <c r="R39" s="2867"/>
      <c r="S39" s="2867"/>
      <c r="T39" s="2867"/>
      <c r="U39" s="2867"/>
      <c r="V39" s="2867"/>
      <c r="W39" s="2867"/>
      <c r="X39" s="2867"/>
      <c r="Y39" s="2867"/>
      <c r="Z39" s="2867"/>
      <c r="AA39" s="2867"/>
      <c r="AB39" s="2867"/>
      <c r="AC39" s="2867"/>
      <c r="AD39" s="2867"/>
      <c r="AE39" s="2867"/>
      <c r="AF39" s="2867"/>
      <c r="AG39" s="2867"/>
      <c r="AH39" s="2867"/>
      <c r="AI39" s="2867"/>
      <c r="AJ39" s="2867"/>
      <c r="AK39" s="2867"/>
      <c r="AL39" s="2867"/>
      <c r="AM39" s="2867"/>
      <c r="AN39" s="2867"/>
      <c r="AO39" s="2867"/>
      <c r="AP39" s="2867"/>
      <c r="AQ39" s="2867"/>
      <c r="AR39" s="2867"/>
      <c r="AS39" s="2867"/>
      <c r="AT39" s="2867"/>
      <c r="AU39" s="2867"/>
      <c r="AV39" s="2867"/>
      <c r="AW39" s="2867"/>
      <c r="AX39" s="2867"/>
      <c r="AY39" s="2867"/>
      <c r="AZ39" s="2867"/>
    </row>
    <row r="40" ht="15" spans="1:52">
      <c r="A40" s="2905" t="s">
        <v>654</v>
      </c>
      <c r="B40" s="2907">
        <f ca="1">存贷款利率!E2</f>
        <v>0.0475</v>
      </c>
      <c r="C40" s="2900" t="s">
        <v>655</v>
      </c>
      <c r="D40" s="2870"/>
      <c r="E40" s="2869"/>
      <c r="F40" s="2869"/>
      <c r="G40" s="2869"/>
      <c r="H40" s="2869"/>
      <c r="I40" s="2869"/>
      <c r="J40" s="2869"/>
      <c r="K40" s="2956"/>
      <c r="L40" s="2956"/>
      <c r="M40" s="2867"/>
      <c r="N40" s="2867"/>
      <c r="O40" s="2867"/>
      <c r="P40" s="2867"/>
      <c r="Q40" s="2867"/>
      <c r="R40" s="2867"/>
      <c r="S40" s="2867"/>
      <c r="T40" s="2867"/>
      <c r="U40" s="2867"/>
      <c r="V40" s="2867"/>
      <c r="W40" s="2867"/>
      <c r="X40" s="2867"/>
      <c r="Y40" s="2867"/>
      <c r="Z40" s="2867"/>
      <c r="AA40" s="2867"/>
      <c r="AB40" s="2867"/>
      <c r="AC40" s="2867"/>
      <c r="AD40" s="2867"/>
      <c r="AE40" s="2867"/>
      <c r="AF40" s="2867"/>
      <c r="AG40" s="2867"/>
      <c r="AH40" s="2867"/>
      <c r="AI40" s="2867"/>
      <c r="AJ40" s="2867"/>
      <c r="AK40" s="2867"/>
      <c r="AL40" s="2867"/>
      <c r="AM40" s="2867"/>
      <c r="AN40" s="2867"/>
      <c r="AO40" s="2867"/>
      <c r="AP40" s="2867"/>
      <c r="AQ40" s="2867"/>
      <c r="AR40" s="2867"/>
      <c r="AS40" s="2867"/>
      <c r="AT40" s="2867"/>
      <c r="AU40" s="2867"/>
      <c r="AV40" s="2867"/>
      <c r="AW40" s="2867"/>
      <c r="AX40" s="2867"/>
      <c r="AY40" s="2867"/>
      <c r="AZ40" s="2867"/>
    </row>
    <row r="41" ht="14.25" spans="1:52">
      <c r="A41" s="2882" t="s">
        <v>656</v>
      </c>
      <c r="B41" s="2908">
        <f>B42+B43</f>
        <v>0.056</v>
      </c>
      <c r="C41" s="2896"/>
      <c r="D41" s="2870"/>
      <c r="E41" s="2869"/>
      <c r="F41" s="2869"/>
      <c r="G41" s="2869"/>
      <c r="H41" s="2869"/>
      <c r="I41" s="2869"/>
      <c r="J41" s="2869"/>
      <c r="K41" s="2956"/>
      <c r="L41" s="2956"/>
      <c r="M41" s="2867"/>
      <c r="N41" s="2867"/>
      <c r="O41" s="2867"/>
      <c r="P41" s="2867"/>
      <c r="Q41" s="2867"/>
      <c r="R41" s="2867"/>
      <c r="S41" s="2867"/>
      <c r="T41" s="2867"/>
      <c r="U41" s="2867"/>
      <c r="V41" s="2867"/>
      <c r="W41" s="2867"/>
      <c r="X41" s="2867"/>
      <c r="Y41" s="2867"/>
      <c r="Z41" s="2867"/>
      <c r="AA41" s="2867"/>
      <c r="AB41" s="2867"/>
      <c r="AC41" s="2867"/>
      <c r="AD41" s="2867"/>
      <c r="AE41" s="2867"/>
      <c r="AF41" s="2867"/>
      <c r="AG41" s="2867"/>
      <c r="AH41" s="2867"/>
      <c r="AI41" s="2867"/>
      <c r="AJ41" s="2867"/>
      <c r="AK41" s="2867"/>
      <c r="AL41" s="2867"/>
      <c r="AM41" s="2867"/>
      <c r="AN41" s="2867"/>
      <c r="AO41" s="2867"/>
      <c r="AP41" s="2867"/>
      <c r="AQ41" s="2867"/>
      <c r="AR41" s="2867"/>
      <c r="AS41" s="2867"/>
      <c r="AT41" s="2867"/>
      <c r="AU41" s="2867"/>
      <c r="AV41" s="2867"/>
      <c r="AW41" s="2867"/>
      <c r="AX41" s="2867"/>
      <c r="AY41" s="2867"/>
      <c r="AZ41" s="2867"/>
    </row>
    <row r="42" ht="14.25" spans="1:52">
      <c r="A42" s="2909" t="s">
        <v>657</v>
      </c>
      <c r="B42" s="2910">
        <v>0.05</v>
      </c>
      <c r="C42" s="2911">
        <f>IF(B2&lt;DATE(2016,5,1),0,B42)</f>
        <v>0.05</v>
      </c>
      <c r="D42" s="2870"/>
      <c r="E42" s="2869"/>
      <c r="F42" s="2869"/>
      <c r="G42" s="2869"/>
      <c r="H42" s="2869"/>
      <c r="I42" s="2869"/>
      <c r="J42" s="2869"/>
      <c r="K42" s="2956"/>
      <c r="L42" s="2956"/>
      <c r="M42" s="2867"/>
      <c r="N42" s="2867"/>
      <c r="O42" s="2867"/>
      <c r="P42" s="2867"/>
      <c r="Q42" s="2867"/>
      <c r="R42" s="2867"/>
      <c r="S42" s="2867"/>
      <c r="T42" s="2867"/>
      <c r="U42" s="2867"/>
      <c r="V42" s="2867"/>
      <c r="W42" s="2867"/>
      <c r="X42" s="2867"/>
      <c r="Y42" s="2867"/>
      <c r="Z42" s="2867"/>
      <c r="AA42" s="2867"/>
      <c r="AB42" s="2867"/>
      <c r="AC42" s="2867"/>
      <c r="AD42" s="2867"/>
      <c r="AE42" s="2867"/>
      <c r="AF42" s="2867"/>
      <c r="AG42" s="2867"/>
      <c r="AH42" s="2867"/>
      <c r="AI42" s="2867"/>
      <c r="AJ42" s="2867"/>
      <c r="AK42" s="2867"/>
      <c r="AL42" s="2867"/>
      <c r="AM42" s="2867"/>
      <c r="AN42" s="2867"/>
      <c r="AO42" s="2867"/>
      <c r="AP42" s="2867"/>
      <c r="AQ42" s="2867"/>
      <c r="AR42" s="2867"/>
      <c r="AS42" s="2867"/>
      <c r="AT42" s="2867"/>
      <c r="AU42" s="2867"/>
      <c r="AV42" s="2867"/>
      <c r="AW42" s="2867"/>
      <c r="AX42" s="2867"/>
      <c r="AY42" s="2867"/>
      <c r="AZ42" s="2867"/>
    </row>
    <row r="43" ht="14.25" spans="1:52">
      <c r="A43" s="2909" t="s">
        <v>658</v>
      </c>
      <c r="B43" s="2912">
        <f>B42*(B44+B45+B46)+B47</f>
        <v>0.006</v>
      </c>
      <c r="C43" s="2896"/>
      <c r="D43" s="2870"/>
      <c r="E43" s="2869"/>
      <c r="F43" s="2869"/>
      <c r="G43" s="2869"/>
      <c r="H43" s="2869"/>
      <c r="I43" s="2869"/>
      <c r="J43" s="2869"/>
      <c r="K43" s="2956"/>
      <c r="L43" s="2956"/>
      <c r="M43" s="2867"/>
      <c r="N43" s="2867"/>
      <c r="O43" s="2867"/>
      <c r="P43" s="2867"/>
      <c r="Q43" s="2867"/>
      <c r="R43" s="2867"/>
      <c r="S43" s="2867"/>
      <c r="T43" s="2867"/>
      <c r="U43" s="2867"/>
      <c r="V43" s="2867"/>
      <c r="W43" s="2867"/>
      <c r="X43" s="2867"/>
      <c r="Y43" s="2867"/>
      <c r="Z43" s="2867"/>
      <c r="AA43" s="2867"/>
      <c r="AB43" s="2867"/>
      <c r="AC43" s="2867"/>
      <c r="AD43" s="2867"/>
      <c r="AE43" s="2867"/>
      <c r="AF43" s="2867"/>
      <c r="AG43" s="2867"/>
      <c r="AH43" s="2867"/>
      <c r="AI43" s="2867"/>
      <c r="AJ43" s="2867"/>
      <c r="AK43" s="2867"/>
      <c r="AL43" s="2867"/>
      <c r="AM43" s="2867"/>
      <c r="AN43" s="2867"/>
      <c r="AO43" s="2867"/>
      <c r="AP43" s="2867"/>
      <c r="AQ43" s="2867"/>
      <c r="AR43" s="2867"/>
      <c r="AS43" s="2867"/>
      <c r="AT43" s="2867"/>
      <c r="AU43" s="2867"/>
      <c r="AV43" s="2867"/>
      <c r="AW43" s="2867"/>
      <c r="AX43" s="2867"/>
      <c r="AY43" s="2867"/>
      <c r="AZ43" s="2867"/>
    </row>
    <row r="44" ht="14.25" spans="1:52">
      <c r="A44" s="2913" t="s">
        <v>659</v>
      </c>
      <c r="B44" s="2914">
        <v>0.07</v>
      </c>
      <c r="C44" s="2900" t="s">
        <v>660</v>
      </c>
      <c r="D44" s="2870"/>
      <c r="E44" s="2869"/>
      <c r="F44" s="2869"/>
      <c r="G44" s="2869"/>
      <c r="H44" s="2869"/>
      <c r="I44" s="2869"/>
      <c r="J44" s="2869"/>
      <c r="K44" s="2956"/>
      <c r="L44" s="2956"/>
      <c r="M44" s="2867"/>
      <c r="N44" s="2867"/>
      <c r="O44" s="2867"/>
      <c r="P44" s="2867"/>
      <c r="Q44" s="2867"/>
      <c r="R44" s="2867"/>
      <c r="S44" s="2867"/>
      <c r="T44" s="2867"/>
      <c r="U44" s="2867"/>
      <c r="V44" s="2867"/>
      <c r="W44" s="2867"/>
      <c r="X44" s="2867"/>
      <c r="Y44" s="2867"/>
      <c r="Z44" s="2867"/>
      <c r="AA44" s="2867"/>
      <c r="AB44" s="2867"/>
      <c r="AC44" s="2867"/>
      <c r="AD44" s="2867"/>
      <c r="AE44" s="2867"/>
      <c r="AF44" s="2867"/>
      <c r="AG44" s="2867"/>
      <c r="AH44" s="2867"/>
      <c r="AI44" s="2867"/>
      <c r="AJ44" s="2867"/>
      <c r="AK44" s="2867"/>
      <c r="AL44" s="2867"/>
      <c r="AM44" s="2867"/>
      <c r="AN44" s="2867"/>
      <c r="AO44" s="2867"/>
      <c r="AP44" s="2867"/>
      <c r="AQ44" s="2867"/>
      <c r="AR44" s="2867"/>
      <c r="AS44" s="2867"/>
      <c r="AT44" s="2867"/>
      <c r="AU44" s="2867"/>
      <c r="AV44" s="2867"/>
      <c r="AW44" s="2867"/>
      <c r="AX44" s="2867"/>
      <c r="AY44" s="2867"/>
      <c r="AZ44" s="2867"/>
    </row>
    <row r="45" ht="14.25" spans="1:52">
      <c r="A45" s="2913" t="s">
        <v>661</v>
      </c>
      <c r="B45" s="2910">
        <v>0.03</v>
      </c>
      <c r="C45" s="2915" t="s">
        <v>662</v>
      </c>
      <c r="D45" s="2870"/>
      <c r="E45" s="2869"/>
      <c r="F45" s="2869"/>
      <c r="G45" s="2869"/>
      <c r="H45" s="2869"/>
      <c r="I45" s="2869"/>
      <c r="J45" s="2869"/>
      <c r="K45" s="2956"/>
      <c r="L45" s="2956"/>
      <c r="M45" s="2867"/>
      <c r="N45" s="2867"/>
      <c r="O45" s="2867"/>
      <c r="P45" s="2867"/>
      <c r="Q45" s="2867"/>
      <c r="R45" s="2867"/>
      <c r="S45" s="2867"/>
      <c r="T45" s="2867"/>
      <c r="U45" s="2867"/>
      <c r="V45" s="2867"/>
      <c r="W45" s="2867"/>
      <c r="X45" s="2867"/>
      <c r="Y45" s="2867"/>
      <c r="Z45" s="2867"/>
      <c r="AA45" s="2867"/>
      <c r="AB45" s="2867"/>
      <c r="AC45" s="2867"/>
      <c r="AD45" s="2867"/>
      <c r="AE45" s="2867"/>
      <c r="AF45" s="2867"/>
      <c r="AG45" s="2867"/>
      <c r="AH45" s="2867"/>
      <c r="AI45" s="2867"/>
      <c r="AJ45" s="2867"/>
      <c r="AK45" s="2867"/>
      <c r="AL45" s="2867"/>
      <c r="AM45" s="2867"/>
      <c r="AN45" s="2867"/>
      <c r="AO45" s="2867"/>
      <c r="AP45" s="2867"/>
      <c r="AQ45" s="2867"/>
      <c r="AR45" s="2867"/>
      <c r="AS45" s="2867"/>
      <c r="AT45" s="2867"/>
      <c r="AU45" s="2867"/>
      <c r="AV45" s="2867"/>
      <c r="AW45" s="2867"/>
      <c r="AX45" s="2867"/>
      <c r="AY45" s="2867"/>
      <c r="AZ45" s="2867"/>
    </row>
    <row r="46" ht="14.25" spans="1:52">
      <c r="A46" s="2913" t="s">
        <v>663</v>
      </c>
      <c r="B46" s="2910">
        <v>0.02</v>
      </c>
      <c r="C46" s="2915" t="s">
        <v>664</v>
      </c>
      <c r="D46" s="2870"/>
      <c r="E46" s="2869"/>
      <c r="F46" s="2869"/>
      <c r="G46" s="2869"/>
      <c r="H46" s="2869"/>
      <c r="I46" s="2869"/>
      <c r="J46" s="2869"/>
      <c r="K46" s="2956"/>
      <c r="L46" s="2956"/>
      <c r="M46" s="2867"/>
      <c r="N46" s="2867"/>
      <c r="O46" s="2867"/>
      <c r="P46" s="2867"/>
      <c r="Q46" s="2867"/>
      <c r="R46" s="2867"/>
      <c r="S46" s="2867"/>
      <c r="T46" s="2867"/>
      <c r="U46" s="2867"/>
      <c r="V46" s="2867"/>
      <c r="W46" s="2867"/>
      <c r="X46" s="2867"/>
      <c r="Y46" s="2867"/>
      <c r="Z46" s="2867"/>
      <c r="AA46" s="2867"/>
      <c r="AB46" s="2867"/>
      <c r="AC46" s="2867"/>
      <c r="AD46" s="2867"/>
      <c r="AE46" s="2867"/>
      <c r="AF46" s="2867"/>
      <c r="AG46" s="2867"/>
      <c r="AH46" s="2867"/>
      <c r="AI46" s="2867"/>
      <c r="AJ46" s="2867"/>
      <c r="AK46" s="2867"/>
      <c r="AL46" s="2867"/>
      <c r="AM46" s="2867"/>
      <c r="AN46" s="2867"/>
      <c r="AO46" s="2867"/>
      <c r="AP46" s="2867"/>
      <c r="AQ46" s="2867"/>
      <c r="AR46" s="2867"/>
      <c r="AS46" s="2867"/>
      <c r="AT46" s="2867"/>
      <c r="AU46" s="2867"/>
      <c r="AV46" s="2867"/>
      <c r="AW46" s="2867"/>
      <c r="AX46" s="2867"/>
      <c r="AY46" s="2867"/>
      <c r="AZ46" s="2867"/>
    </row>
    <row r="47" ht="15" spans="1:52">
      <c r="A47" s="2916" t="s">
        <v>665</v>
      </c>
      <c r="B47" s="2917"/>
      <c r="C47" s="2884" t="s">
        <v>666</v>
      </c>
      <c r="D47" s="2870"/>
      <c r="E47" s="2869"/>
      <c r="F47" s="2869"/>
      <c r="G47" s="2869"/>
      <c r="H47" s="2869"/>
      <c r="I47" s="2869"/>
      <c r="J47" s="2869"/>
      <c r="K47" s="2956"/>
      <c r="L47" s="2956"/>
      <c r="M47" s="2867"/>
      <c r="N47" s="2867"/>
      <c r="O47" s="2867"/>
      <c r="P47" s="2867"/>
      <c r="Q47" s="2867"/>
      <c r="R47" s="2867"/>
      <c r="S47" s="2867"/>
      <c r="T47" s="2867"/>
      <c r="U47" s="2867"/>
      <c r="V47" s="2867"/>
      <c r="W47" s="2867"/>
      <c r="X47" s="2867"/>
      <c r="Y47" s="2867"/>
      <c r="Z47" s="2867"/>
      <c r="AA47" s="2867"/>
      <c r="AB47" s="2867"/>
      <c r="AC47" s="2867"/>
      <c r="AD47" s="2867"/>
      <c r="AE47" s="2867"/>
      <c r="AF47" s="2867"/>
      <c r="AG47" s="2867"/>
      <c r="AH47" s="2867"/>
      <c r="AI47" s="2867"/>
      <c r="AJ47" s="2867"/>
      <c r="AK47" s="2867"/>
      <c r="AL47" s="2867"/>
      <c r="AM47" s="2867"/>
      <c r="AN47" s="2867"/>
      <c r="AO47" s="2867"/>
      <c r="AP47" s="2867"/>
      <c r="AQ47" s="2867"/>
      <c r="AR47" s="2867"/>
      <c r="AS47" s="2867"/>
      <c r="AT47" s="2867"/>
      <c r="AU47" s="2867"/>
      <c r="AV47" s="2867"/>
      <c r="AW47" s="2867"/>
      <c r="AX47" s="2867"/>
      <c r="AY47" s="2867"/>
      <c r="AZ47" s="2867"/>
    </row>
    <row r="48" ht="14.25" spans="1:52">
      <c r="A48" s="2918" t="s">
        <v>667</v>
      </c>
      <c r="B48" s="2919">
        <v>0.03</v>
      </c>
      <c r="C48" s="2915" t="s">
        <v>662</v>
      </c>
      <c r="D48" s="2870"/>
      <c r="E48" s="2869"/>
      <c r="F48" s="2869"/>
      <c r="G48" s="2869"/>
      <c r="H48" s="2869"/>
      <c r="I48" s="2869"/>
      <c r="J48" s="2869"/>
      <c r="K48" s="2956"/>
      <c r="L48" s="2956"/>
      <c r="M48" s="2867"/>
      <c r="N48" s="2867"/>
      <c r="O48" s="2867"/>
      <c r="P48" s="2867"/>
      <c r="Q48" s="2867"/>
      <c r="R48" s="2867"/>
      <c r="S48" s="2867"/>
      <c r="T48" s="2867"/>
      <c r="U48" s="2867"/>
      <c r="V48" s="2867"/>
      <c r="W48" s="2867"/>
      <c r="X48" s="2867"/>
      <c r="Y48" s="2867"/>
      <c r="Z48" s="2867"/>
      <c r="AA48" s="2867"/>
      <c r="AB48" s="2867"/>
      <c r="AC48" s="2867"/>
      <c r="AD48" s="2867"/>
      <c r="AE48" s="2867"/>
      <c r="AF48" s="2867"/>
      <c r="AG48" s="2867"/>
      <c r="AH48" s="2867"/>
      <c r="AI48" s="2867"/>
      <c r="AJ48" s="2867"/>
      <c r="AK48" s="2867"/>
      <c r="AL48" s="2867"/>
      <c r="AM48" s="2867"/>
      <c r="AN48" s="2867"/>
      <c r="AO48" s="2867"/>
      <c r="AP48" s="2867"/>
      <c r="AQ48" s="2867"/>
      <c r="AR48" s="2867"/>
      <c r="AS48" s="2867"/>
      <c r="AT48" s="2867"/>
      <c r="AU48" s="2867"/>
      <c r="AV48" s="2867"/>
      <c r="AW48" s="2867"/>
      <c r="AX48" s="2867"/>
      <c r="AY48" s="2867"/>
      <c r="AZ48" s="2867"/>
    </row>
    <row r="49" ht="15" spans="1:52">
      <c r="A49" s="2897" t="s">
        <v>668</v>
      </c>
      <c r="B49" s="2910">
        <v>0.0005</v>
      </c>
      <c r="C49" s="2915" t="s">
        <v>669</v>
      </c>
      <c r="D49" s="2870"/>
      <c r="E49" s="2869"/>
      <c r="F49" s="2869"/>
      <c r="G49" s="2869"/>
      <c r="H49" s="2869"/>
      <c r="I49" s="2869"/>
      <c r="J49" s="2869"/>
      <c r="K49" s="2956"/>
      <c r="L49" s="2956"/>
      <c r="M49" s="2867"/>
      <c r="N49" s="2867"/>
      <c r="O49" s="2867"/>
      <c r="P49" s="2867"/>
      <c r="Q49" s="2867"/>
      <c r="R49" s="2867"/>
      <c r="S49" s="2867"/>
      <c r="T49" s="2867"/>
      <c r="U49" s="2867"/>
      <c r="V49" s="2867"/>
      <c r="W49" s="2867"/>
      <c r="X49" s="2867"/>
      <c r="Y49" s="2867"/>
      <c r="Z49" s="2867"/>
      <c r="AA49" s="2867"/>
      <c r="AB49" s="2867"/>
      <c r="AC49" s="2867"/>
      <c r="AD49" s="2867"/>
      <c r="AE49" s="2867"/>
      <c r="AF49" s="2867"/>
      <c r="AG49" s="2867"/>
      <c r="AH49" s="2867"/>
      <c r="AI49" s="2867"/>
      <c r="AJ49" s="2867"/>
      <c r="AK49" s="2867"/>
      <c r="AL49" s="2867"/>
      <c r="AM49" s="2867"/>
      <c r="AN49" s="2867"/>
      <c r="AO49" s="2867"/>
      <c r="AP49" s="2867"/>
      <c r="AQ49" s="2867"/>
      <c r="AR49" s="2867"/>
      <c r="AS49" s="2867"/>
      <c r="AT49" s="2867"/>
      <c r="AU49" s="2867"/>
      <c r="AV49" s="2867"/>
      <c r="AW49" s="2867"/>
      <c r="AX49" s="2867"/>
      <c r="AY49" s="2867"/>
      <c r="AZ49" s="2867"/>
    </row>
    <row r="50" ht="14.25" spans="1:52">
      <c r="A50" s="2920" t="s">
        <v>670</v>
      </c>
      <c r="B50" s="2921">
        <v>0.012</v>
      </c>
      <c r="C50" s="2889"/>
      <c r="D50" s="2870"/>
      <c r="E50" s="2869"/>
      <c r="F50" s="2869"/>
      <c r="G50" s="2869"/>
      <c r="H50" s="2869"/>
      <c r="I50" s="2869"/>
      <c r="J50" s="2869"/>
      <c r="K50" s="2956"/>
      <c r="L50" s="2956"/>
      <c r="M50" s="2867"/>
      <c r="N50" s="2867"/>
      <c r="O50" s="2867"/>
      <c r="P50" s="2867"/>
      <c r="Q50" s="2867"/>
      <c r="R50" s="2867"/>
      <c r="S50" s="2867"/>
      <c r="T50" s="2867"/>
      <c r="U50" s="2867"/>
      <c r="V50" s="2867"/>
      <c r="W50" s="2867"/>
      <c r="X50" s="2867"/>
      <c r="Y50" s="2867"/>
      <c r="Z50" s="2867"/>
      <c r="AA50" s="2867"/>
      <c r="AB50" s="2867"/>
      <c r="AC50" s="2867"/>
      <c r="AD50" s="2867"/>
      <c r="AE50" s="2867"/>
      <c r="AF50" s="2867"/>
      <c r="AG50" s="2867"/>
      <c r="AH50" s="2867"/>
      <c r="AI50" s="2867"/>
      <c r="AJ50" s="2867"/>
      <c r="AK50" s="2867"/>
      <c r="AL50" s="2867"/>
      <c r="AM50" s="2867"/>
      <c r="AN50" s="2867"/>
      <c r="AO50" s="2867"/>
      <c r="AP50" s="2867"/>
      <c r="AQ50" s="2867"/>
      <c r="AR50" s="2867"/>
      <c r="AS50" s="2867"/>
      <c r="AT50" s="2867"/>
      <c r="AU50" s="2867"/>
      <c r="AV50" s="2867"/>
      <c r="AW50" s="2867"/>
      <c r="AX50" s="2867"/>
      <c r="AY50" s="2867"/>
      <c r="AZ50" s="2867"/>
    </row>
    <row r="51" ht="15" spans="1:52">
      <c r="A51" s="2890" t="s">
        <v>671</v>
      </c>
      <c r="B51" s="2922">
        <v>0.12</v>
      </c>
      <c r="C51" s="2889"/>
      <c r="D51" s="2870"/>
      <c r="E51" s="2869"/>
      <c r="F51" s="2869"/>
      <c r="G51" s="2869"/>
      <c r="H51" s="2869"/>
      <c r="I51" s="2869"/>
      <c r="J51" s="2869"/>
      <c r="K51" s="2956"/>
      <c r="L51" s="2956"/>
      <c r="M51" s="2867"/>
      <c r="N51" s="2867"/>
      <c r="O51" s="2867"/>
      <c r="P51" s="2867"/>
      <c r="Q51" s="2867"/>
      <c r="R51" s="2867"/>
      <c r="S51" s="2867"/>
      <c r="T51" s="2867"/>
      <c r="U51" s="2867"/>
      <c r="V51" s="2867"/>
      <c r="W51" s="2867"/>
      <c r="X51" s="2867"/>
      <c r="Y51" s="2867"/>
      <c r="Z51" s="2867"/>
      <c r="AA51" s="2867"/>
      <c r="AB51" s="2867"/>
      <c r="AC51" s="2867"/>
      <c r="AD51" s="2867"/>
      <c r="AE51" s="2867"/>
      <c r="AF51" s="2867"/>
      <c r="AG51" s="2867"/>
      <c r="AH51" s="2867"/>
      <c r="AI51" s="2867"/>
      <c r="AJ51" s="2867"/>
      <c r="AK51" s="2867"/>
      <c r="AL51" s="2867"/>
      <c r="AM51" s="2867"/>
      <c r="AN51" s="2867"/>
      <c r="AO51" s="2867"/>
      <c r="AP51" s="2867"/>
      <c r="AQ51" s="2867"/>
      <c r="AR51" s="2867"/>
      <c r="AS51" s="2867"/>
      <c r="AT51" s="2867"/>
      <c r="AU51" s="2867"/>
      <c r="AV51" s="2867"/>
      <c r="AW51" s="2867"/>
      <c r="AX51" s="2867"/>
      <c r="AY51" s="2867"/>
      <c r="AZ51" s="2867"/>
    </row>
    <row r="52" ht="14.25" spans="1:52">
      <c r="A52" s="2920" t="s">
        <v>672</v>
      </c>
      <c r="B52" s="2923">
        <f>SUMIF(A54:A63,B53,B54:B63)</f>
        <v>12</v>
      </c>
      <c r="C52" s="2889"/>
      <c r="D52" s="2870"/>
      <c r="E52" s="2869"/>
      <c r="F52" s="2869"/>
      <c r="G52" s="2869"/>
      <c r="H52" s="2869"/>
      <c r="I52" s="2869"/>
      <c r="J52" s="2869"/>
      <c r="K52" s="2956"/>
      <c r="L52" s="2956"/>
      <c r="M52" s="2867"/>
      <c r="N52" s="2867"/>
      <c r="O52" s="2867"/>
      <c r="P52" s="2867"/>
      <c r="Q52" s="2867"/>
      <c r="R52" s="2867"/>
      <c r="S52" s="2867"/>
      <c r="T52" s="2867"/>
      <c r="U52" s="2867"/>
      <c r="V52" s="2867"/>
      <c r="W52" s="2867"/>
      <c r="X52" s="2867"/>
      <c r="Y52" s="2867"/>
      <c r="Z52" s="2867"/>
      <c r="AA52" s="2867"/>
      <c r="AB52" s="2867"/>
      <c r="AC52" s="2867"/>
      <c r="AD52" s="2867"/>
      <c r="AE52" s="2867"/>
      <c r="AF52" s="2867"/>
      <c r="AG52" s="2867"/>
      <c r="AH52" s="2867"/>
      <c r="AI52" s="2867"/>
      <c r="AJ52" s="2867"/>
      <c r="AK52" s="2867"/>
      <c r="AL52" s="2867"/>
      <c r="AM52" s="2867"/>
      <c r="AN52" s="2867"/>
      <c r="AO52" s="2867"/>
      <c r="AP52" s="2867"/>
      <c r="AQ52" s="2867"/>
      <c r="AR52" s="2867"/>
      <c r="AS52" s="2867"/>
      <c r="AT52" s="2867"/>
      <c r="AU52" s="2867"/>
      <c r="AV52" s="2867"/>
      <c r="AW52" s="2867"/>
      <c r="AX52" s="2867"/>
      <c r="AY52" s="2867"/>
      <c r="AZ52" s="2867"/>
    </row>
    <row r="53" ht="27" spans="1:52">
      <c r="A53" s="2887" t="s">
        <v>673</v>
      </c>
      <c r="B53" s="2924" t="s">
        <v>275</v>
      </c>
      <c r="C53" s="2925" t="s">
        <v>674</v>
      </c>
      <c r="D53" s="2926" t="s">
        <v>675</v>
      </c>
      <c r="E53" s="2869"/>
      <c r="F53" s="2869"/>
      <c r="G53" s="2869"/>
      <c r="H53" s="2869"/>
      <c r="I53" s="2869"/>
      <c r="J53" s="2869"/>
      <c r="K53" s="2956"/>
      <c r="L53" s="2956"/>
      <c r="M53" s="2867"/>
      <c r="N53" s="2867"/>
      <c r="O53" s="2867"/>
      <c r="P53" s="2867"/>
      <c r="Q53" s="2867"/>
      <c r="R53" s="2867"/>
      <c r="S53" s="2867"/>
      <c r="T53" s="2867"/>
      <c r="U53" s="2867"/>
      <c r="V53" s="2867"/>
      <c r="W53" s="2867"/>
      <c r="X53" s="2867"/>
      <c r="Y53" s="2867"/>
      <c r="Z53" s="2867"/>
      <c r="AA53" s="2867"/>
      <c r="AB53" s="2867"/>
      <c r="AC53" s="2867"/>
      <c r="AD53" s="2867"/>
      <c r="AE53" s="2867"/>
      <c r="AF53" s="2867"/>
      <c r="AG53" s="2867"/>
      <c r="AH53" s="2867"/>
      <c r="AI53" s="2867"/>
      <c r="AJ53" s="2867"/>
      <c r="AK53" s="2867"/>
      <c r="AL53" s="2867"/>
      <c r="AM53" s="2867"/>
      <c r="AN53" s="2867"/>
      <c r="AO53" s="2867"/>
      <c r="AP53" s="2867"/>
      <c r="AQ53" s="2867"/>
      <c r="AR53" s="2867"/>
      <c r="AS53" s="2867"/>
      <c r="AT53" s="2867"/>
      <c r="AU53" s="2867"/>
      <c r="AV53" s="2867"/>
      <c r="AW53" s="2867"/>
      <c r="AX53" s="2867"/>
      <c r="AY53" s="2867"/>
      <c r="AZ53" s="2867"/>
    </row>
    <row r="54" ht="14.25" spans="1:52">
      <c r="A54" s="2927" t="s">
        <v>240</v>
      </c>
      <c r="B54" s="2928">
        <v>30</v>
      </c>
      <c r="C54" s="2886">
        <v>30</v>
      </c>
      <c r="D54" s="2929"/>
      <c r="E54" s="2869"/>
      <c r="F54" s="2869"/>
      <c r="G54" s="2869"/>
      <c r="H54" s="2869"/>
      <c r="I54" s="2869"/>
      <c r="J54" s="2869"/>
      <c r="K54" s="2956"/>
      <c r="L54" s="2956"/>
      <c r="M54" s="2867"/>
      <c r="N54" s="2867"/>
      <c r="O54" s="2867"/>
      <c r="P54" s="2867"/>
      <c r="Q54" s="2867"/>
      <c r="R54" s="2867"/>
      <c r="S54" s="2867"/>
      <c r="T54" s="2867"/>
      <c r="U54" s="2867"/>
      <c r="V54" s="2867"/>
      <c r="W54" s="2867"/>
      <c r="X54" s="2867"/>
      <c r="Y54" s="2867"/>
      <c r="Z54" s="2867"/>
      <c r="AA54" s="2867"/>
      <c r="AB54" s="2867"/>
      <c r="AC54" s="2867"/>
      <c r="AD54" s="2867"/>
      <c r="AE54" s="2867"/>
      <c r="AF54" s="2867"/>
      <c r="AG54" s="2867"/>
      <c r="AH54" s="2867"/>
      <c r="AI54" s="2867"/>
      <c r="AJ54" s="2867"/>
      <c r="AK54" s="2867"/>
      <c r="AL54" s="2867"/>
      <c r="AM54" s="2867"/>
      <c r="AN54" s="2867"/>
      <c r="AO54" s="2867"/>
      <c r="AP54" s="2867"/>
      <c r="AQ54" s="2867"/>
      <c r="AR54" s="2867"/>
      <c r="AS54" s="2867"/>
      <c r="AT54" s="2867"/>
      <c r="AU54" s="2867"/>
      <c r="AV54" s="2867"/>
      <c r="AW54" s="2867"/>
      <c r="AX54" s="2867"/>
      <c r="AY54" s="2867"/>
      <c r="AZ54" s="2867"/>
    </row>
    <row r="55" ht="14.25" spans="1:52">
      <c r="A55" s="2927" t="s">
        <v>253</v>
      </c>
      <c r="B55" s="2928">
        <v>24</v>
      </c>
      <c r="C55" s="2886">
        <v>24</v>
      </c>
      <c r="D55" s="2929"/>
      <c r="E55" s="2869"/>
      <c r="F55" s="2869"/>
      <c r="G55" s="2869"/>
      <c r="H55" s="2869"/>
      <c r="I55" s="2959"/>
      <c r="J55" s="2869"/>
      <c r="K55" s="2956"/>
      <c r="L55" s="2956"/>
      <c r="M55" s="2867"/>
      <c r="N55" s="2867"/>
      <c r="O55" s="2867"/>
      <c r="P55" s="2867"/>
      <c r="Q55" s="2867"/>
      <c r="R55" s="2867"/>
      <c r="S55" s="2867"/>
      <c r="T55" s="2867"/>
      <c r="U55" s="2867"/>
      <c r="V55" s="2867"/>
      <c r="W55" s="2867"/>
      <c r="X55" s="2867"/>
      <c r="Y55" s="2867"/>
      <c r="Z55" s="2867"/>
      <c r="AA55" s="2867"/>
      <c r="AB55" s="2867"/>
      <c r="AC55" s="2867"/>
      <c r="AD55" s="2867"/>
      <c r="AE55" s="2867"/>
      <c r="AF55" s="2867"/>
      <c r="AG55" s="2867"/>
      <c r="AH55" s="2867"/>
      <c r="AI55" s="2867"/>
      <c r="AJ55" s="2867"/>
      <c r="AK55" s="2867"/>
      <c r="AL55" s="2867"/>
      <c r="AM55" s="2867"/>
      <c r="AN55" s="2867"/>
      <c r="AO55" s="2867"/>
      <c r="AP55" s="2867"/>
      <c r="AQ55" s="2867"/>
      <c r="AR55" s="2867"/>
      <c r="AS55" s="2867"/>
      <c r="AT55" s="2867"/>
      <c r="AU55" s="2867"/>
      <c r="AV55" s="2867"/>
      <c r="AW55" s="2867"/>
      <c r="AX55" s="2867"/>
      <c r="AY55" s="2867"/>
      <c r="AZ55" s="2867"/>
    </row>
    <row r="56" ht="14.25" spans="1:52">
      <c r="A56" s="2927" t="s">
        <v>265</v>
      </c>
      <c r="B56" s="2928">
        <v>18</v>
      </c>
      <c r="C56" s="2886">
        <v>18</v>
      </c>
      <c r="D56" s="2929"/>
      <c r="E56" s="2869"/>
      <c r="F56" s="2869"/>
      <c r="G56" s="2869"/>
      <c r="H56" s="2869"/>
      <c r="I56" s="2869"/>
      <c r="J56" s="2869"/>
      <c r="K56" s="2956"/>
      <c r="L56" s="2956"/>
      <c r="M56" s="2867"/>
      <c r="N56" s="2867"/>
      <c r="O56" s="2867"/>
      <c r="P56" s="2867"/>
      <c r="Q56" s="2867"/>
      <c r="R56" s="2867"/>
      <c r="S56" s="2867"/>
      <c r="T56" s="2867"/>
      <c r="U56" s="2867"/>
      <c r="V56" s="2867"/>
      <c r="W56" s="2867"/>
      <c r="X56" s="2867"/>
      <c r="Y56" s="2867"/>
      <c r="Z56" s="2867"/>
      <c r="AA56" s="2867"/>
      <c r="AB56" s="2867"/>
      <c r="AC56" s="2867"/>
      <c r="AD56" s="2867"/>
      <c r="AE56" s="2867"/>
      <c r="AF56" s="2867"/>
      <c r="AG56" s="2867"/>
      <c r="AH56" s="2867"/>
      <c r="AI56" s="2867"/>
      <c r="AJ56" s="2867"/>
      <c r="AK56" s="2867"/>
      <c r="AL56" s="2867"/>
      <c r="AM56" s="2867"/>
      <c r="AN56" s="2867"/>
      <c r="AO56" s="2867"/>
      <c r="AP56" s="2867"/>
      <c r="AQ56" s="2867"/>
      <c r="AR56" s="2867"/>
      <c r="AS56" s="2867"/>
      <c r="AT56" s="2867"/>
      <c r="AU56" s="2867"/>
      <c r="AV56" s="2867"/>
      <c r="AW56" s="2867"/>
      <c r="AX56" s="2867"/>
      <c r="AY56" s="2867"/>
      <c r="AZ56" s="2867"/>
    </row>
    <row r="57" ht="14.25" spans="1:52">
      <c r="A57" s="2927" t="s">
        <v>275</v>
      </c>
      <c r="B57" s="2928">
        <v>12</v>
      </c>
      <c r="C57" s="2886">
        <v>12</v>
      </c>
      <c r="D57" s="2929"/>
      <c r="E57" s="2869"/>
      <c r="F57" s="2869"/>
      <c r="G57" s="2869"/>
      <c r="H57" s="2869"/>
      <c r="I57" s="2869"/>
      <c r="J57" s="2869"/>
      <c r="K57" s="2956"/>
      <c r="L57" s="2956"/>
      <c r="M57" s="286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c r="AS57" s="2867"/>
      <c r="AT57" s="2867"/>
      <c r="AU57" s="2867"/>
      <c r="AV57" s="2867"/>
      <c r="AW57" s="2867"/>
      <c r="AX57" s="2867"/>
      <c r="AY57" s="2867"/>
      <c r="AZ57" s="2867"/>
    </row>
    <row r="58" ht="14.25" spans="1:52">
      <c r="A58" s="2927" t="s">
        <v>284</v>
      </c>
      <c r="B58" s="2928">
        <v>3</v>
      </c>
      <c r="C58" s="2886">
        <v>3</v>
      </c>
      <c r="D58" s="2929"/>
      <c r="E58" s="2869"/>
      <c r="F58" s="2869"/>
      <c r="G58" s="2869"/>
      <c r="H58" s="2869"/>
      <c r="I58" s="2869"/>
      <c r="J58" s="2869"/>
      <c r="K58" s="2956"/>
      <c r="L58" s="2956"/>
      <c r="M58" s="286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c r="AS58" s="2867"/>
      <c r="AT58" s="2867"/>
      <c r="AU58" s="2867"/>
      <c r="AV58" s="2867"/>
      <c r="AW58" s="2867"/>
      <c r="AX58" s="2867"/>
      <c r="AY58" s="2867"/>
      <c r="AZ58" s="2867"/>
    </row>
    <row r="59" ht="14.25" spans="1:52">
      <c r="A59" s="2927" t="s">
        <v>292</v>
      </c>
      <c r="B59" s="2928">
        <v>1.5</v>
      </c>
      <c r="C59" s="2886">
        <v>1.5</v>
      </c>
      <c r="D59" s="2929"/>
      <c r="E59" s="2869"/>
      <c r="F59" s="2869"/>
      <c r="G59" s="2869"/>
      <c r="H59" s="2869"/>
      <c r="I59" s="2869"/>
      <c r="J59" s="2869"/>
      <c r="K59" s="2956"/>
      <c r="L59" s="2956"/>
      <c r="M59" s="286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c r="AS59" s="2867"/>
      <c r="AT59" s="2867"/>
      <c r="AU59" s="2867"/>
      <c r="AV59" s="2867"/>
      <c r="AW59" s="2867"/>
      <c r="AX59" s="2867"/>
      <c r="AY59" s="2867"/>
      <c r="AZ59" s="2867"/>
    </row>
    <row r="60" ht="14.25" spans="1:52">
      <c r="A60" s="2927" t="s">
        <v>297</v>
      </c>
      <c r="B60" s="2928"/>
      <c r="C60" s="2869"/>
      <c r="D60" s="2870"/>
      <c r="E60" s="2869"/>
      <c r="F60" s="2869"/>
      <c r="G60" s="2869"/>
      <c r="H60" s="2869"/>
      <c r="I60" s="2869"/>
      <c r="J60" s="2869"/>
      <c r="K60" s="2956"/>
      <c r="L60" s="2956"/>
      <c r="M60" s="286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c r="AS60" s="2867"/>
      <c r="AT60" s="2867"/>
      <c r="AU60" s="2867"/>
      <c r="AV60" s="2867"/>
      <c r="AW60" s="2867"/>
      <c r="AX60" s="2867"/>
      <c r="AY60" s="2867"/>
      <c r="AZ60" s="2867"/>
    </row>
    <row r="61" ht="14.25" spans="1:52">
      <c r="A61" s="2927" t="s">
        <v>302</v>
      </c>
      <c r="B61" s="2928"/>
      <c r="C61" s="2869"/>
      <c r="D61" s="2870"/>
      <c r="E61" s="2869"/>
      <c r="F61" s="2869"/>
      <c r="G61" s="2869"/>
      <c r="H61" s="2869"/>
      <c r="I61" s="2869"/>
      <c r="J61" s="2869"/>
      <c r="K61" s="2956"/>
      <c r="L61" s="2956"/>
      <c r="M61" s="286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c r="AS61" s="2867"/>
      <c r="AT61" s="2867"/>
      <c r="AU61" s="2867"/>
      <c r="AV61" s="2867"/>
      <c r="AW61" s="2867"/>
      <c r="AX61" s="2867"/>
      <c r="AY61" s="2867"/>
      <c r="AZ61" s="2867"/>
    </row>
    <row r="62" ht="14.25" spans="1:52">
      <c r="A62" s="2927" t="s">
        <v>305</v>
      </c>
      <c r="B62" s="2928"/>
      <c r="C62" s="2869"/>
      <c r="D62" s="2870"/>
      <c r="E62" s="2869"/>
      <c r="F62" s="2869"/>
      <c r="G62" s="2869"/>
      <c r="H62" s="2869"/>
      <c r="I62" s="2869"/>
      <c r="J62" s="2869"/>
      <c r="K62" s="2956"/>
      <c r="L62" s="2956"/>
      <c r="M62" s="286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c r="AS62" s="2867"/>
      <c r="AT62" s="2867"/>
      <c r="AU62" s="2867"/>
      <c r="AV62" s="2867"/>
      <c r="AW62" s="2867"/>
      <c r="AX62" s="2867"/>
      <c r="AY62" s="2867"/>
      <c r="AZ62" s="2867"/>
    </row>
    <row r="63" ht="15" spans="1:52">
      <c r="A63" s="2930" t="s">
        <v>308</v>
      </c>
      <c r="B63" s="2931"/>
      <c r="C63" s="2869"/>
      <c r="D63" s="2870"/>
      <c r="E63" s="2869"/>
      <c r="F63" s="2869"/>
      <c r="G63" s="2869"/>
      <c r="H63" s="2869"/>
      <c r="I63" s="2869"/>
      <c r="J63" s="2869"/>
      <c r="K63" s="2956"/>
      <c r="L63" s="2956"/>
      <c r="M63" s="286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c r="AS63" s="2867"/>
      <c r="AT63" s="2867"/>
      <c r="AU63" s="2867"/>
      <c r="AV63" s="2867"/>
      <c r="AW63" s="2867"/>
      <c r="AX63" s="2867"/>
      <c r="AY63" s="2867"/>
      <c r="AZ63" s="2867"/>
    </row>
    <row r="64" s="2822" customFormat="1" spans="1:12">
      <c r="A64" s="2346"/>
      <c r="D64" s="2932"/>
      <c r="K64" s="193"/>
      <c r="L64" s="193"/>
    </row>
    <row r="65" s="2822" customFormat="1" spans="1:12">
      <c r="A65" s="2346"/>
      <c r="D65" s="2932"/>
      <c r="K65" s="193"/>
      <c r="L65" s="193"/>
    </row>
    <row r="66" s="2822" customFormat="1" spans="1:12">
      <c r="A66" s="2346"/>
      <c r="D66" s="2932"/>
      <c r="K66" s="193"/>
      <c r="L66" s="193"/>
    </row>
    <row r="67" s="2822" customFormat="1" spans="1:12">
      <c r="A67" s="2346"/>
      <c r="D67" s="2932"/>
      <c r="K67" s="193"/>
      <c r="L67" s="193"/>
    </row>
    <row r="68" s="2822" customFormat="1" spans="1:12">
      <c r="A68" s="2346"/>
      <c r="D68" s="2932"/>
      <c r="K68" s="193"/>
      <c r="L68" s="193"/>
    </row>
    <row r="69" s="2822" customFormat="1" spans="1:12">
      <c r="A69" s="2346"/>
      <c r="D69" s="2932"/>
      <c r="K69" s="193"/>
      <c r="L69" s="193"/>
    </row>
    <row r="70" s="2822" customFormat="1" spans="1:12">
      <c r="A70" s="2346"/>
      <c r="D70" s="2932"/>
      <c r="K70" s="193"/>
      <c r="L70" s="193"/>
    </row>
    <row r="71" s="2822" customFormat="1" spans="1:12">
      <c r="A71" s="2346"/>
      <c r="D71" s="2932"/>
      <c r="K71" s="193"/>
      <c r="L71" s="193"/>
    </row>
    <row r="72" s="2822" customFormat="1" spans="1:12">
      <c r="A72" s="2346"/>
      <c r="D72" s="2932"/>
      <c r="K72" s="193"/>
      <c r="L72" s="193"/>
    </row>
    <row r="73" s="2822" customFormat="1" spans="1:12">
      <c r="A73" s="2346"/>
      <c r="D73" s="2932"/>
      <c r="K73" s="193"/>
      <c r="L73" s="193"/>
    </row>
    <row r="74" s="2822" customFormat="1" spans="1:12">
      <c r="A74" s="2346"/>
      <c r="D74" s="2932"/>
      <c r="K74" s="193"/>
      <c r="L74" s="193"/>
    </row>
    <row r="75" s="2822" customFormat="1" spans="1:12">
      <c r="A75" s="2346"/>
      <c r="D75" s="2932"/>
      <c r="K75" s="193"/>
      <c r="L75" s="193"/>
    </row>
    <row r="76" s="2822" customFormat="1" spans="1:12">
      <c r="A76" s="2346"/>
      <c r="D76" s="2932"/>
      <c r="K76" s="193"/>
      <c r="L76" s="193"/>
    </row>
    <row r="77" s="2822" customFormat="1" spans="1:12">
      <c r="A77" s="2346"/>
      <c r="D77" s="2932"/>
      <c r="K77" s="193"/>
      <c r="L77" s="193"/>
    </row>
    <row r="78" s="2822" customFormat="1" spans="1:12">
      <c r="A78" s="2346"/>
      <c r="D78" s="2932"/>
      <c r="K78" s="193"/>
      <c r="L78" s="193"/>
    </row>
    <row r="79" s="2822" customFormat="1" spans="1:12">
      <c r="A79" s="2346"/>
      <c r="D79" s="2932"/>
      <c r="K79" s="193"/>
      <c r="L79" s="193"/>
    </row>
    <row r="80" s="2822" customFormat="1" spans="1:12">
      <c r="A80" s="2346"/>
      <c r="D80" s="2932"/>
      <c r="K80" s="193"/>
      <c r="L80" s="193"/>
    </row>
    <row r="81" s="2822" customFormat="1" spans="1:12">
      <c r="A81" s="2346"/>
      <c r="D81" s="2932"/>
      <c r="K81" s="193"/>
      <c r="L81" s="193"/>
    </row>
    <row r="82" s="2822" customFormat="1" spans="1:12">
      <c r="A82" s="2346"/>
      <c r="D82" s="2932"/>
      <c r="K82" s="193"/>
      <c r="L82" s="193"/>
    </row>
    <row r="83" s="2822" customFormat="1" spans="1:12">
      <c r="A83" s="2346"/>
      <c r="D83" s="2932"/>
      <c r="K83" s="193"/>
      <c r="L83" s="193"/>
    </row>
    <row r="84" s="2822" customFormat="1" spans="1:12">
      <c r="A84" s="2346"/>
      <c r="D84" s="2932"/>
      <c r="K84" s="193"/>
      <c r="L84" s="193"/>
    </row>
    <row r="85" s="2822" customFormat="1" spans="1:12">
      <c r="A85" s="2346"/>
      <c r="D85" s="2932"/>
      <c r="K85" s="193"/>
      <c r="L85" s="193"/>
    </row>
    <row r="86" s="2822" customFormat="1" spans="1:12">
      <c r="A86" s="2346"/>
      <c r="D86" s="2932"/>
      <c r="K86" s="193"/>
      <c r="L86" s="193"/>
    </row>
    <row r="87" s="2822" customFormat="1" spans="1:12">
      <c r="A87" s="2346"/>
      <c r="D87" s="2932"/>
      <c r="K87" s="193"/>
      <c r="L87" s="193"/>
    </row>
    <row r="88" s="2822" customFormat="1" spans="1:12">
      <c r="A88" s="2346"/>
      <c r="D88" s="2932"/>
      <c r="K88" s="193"/>
      <c r="L88" s="193"/>
    </row>
    <row r="89" s="2822" customFormat="1" spans="1:12">
      <c r="A89" s="2346"/>
      <c r="D89" s="2932"/>
      <c r="K89" s="193"/>
      <c r="L89" s="193"/>
    </row>
    <row r="90" s="2822" customFormat="1" spans="1:12">
      <c r="A90" s="2346"/>
      <c r="D90" s="2932"/>
      <c r="K90" s="193"/>
      <c r="L90" s="193"/>
    </row>
    <row r="91" s="2822" customFormat="1" spans="1:12">
      <c r="A91" s="2346"/>
      <c r="D91" s="2932"/>
      <c r="K91" s="193"/>
      <c r="L91" s="193"/>
    </row>
    <row r="92" s="2822" customFormat="1" spans="1:12">
      <c r="A92" s="2346"/>
      <c r="D92" s="2932"/>
      <c r="K92" s="193"/>
      <c r="L92" s="193"/>
    </row>
    <row r="93" s="2822" customFormat="1" spans="1:12">
      <c r="A93" s="2346"/>
      <c r="D93" s="2932"/>
      <c r="K93" s="193"/>
      <c r="L93" s="193"/>
    </row>
    <row r="94" s="2822" customFormat="1" spans="1:12">
      <c r="A94" s="2346"/>
      <c r="D94" s="2932"/>
      <c r="K94" s="193"/>
      <c r="L94" s="193"/>
    </row>
    <row r="95" s="2822" customFormat="1" spans="1:12">
      <c r="A95" s="2346"/>
      <c r="D95" s="2932"/>
      <c r="K95" s="193"/>
      <c r="L95" s="193"/>
    </row>
    <row r="96" s="2822" customFormat="1" spans="1:12">
      <c r="A96" s="2346"/>
      <c r="D96" s="2932"/>
      <c r="K96" s="193"/>
      <c r="L96" s="193"/>
    </row>
    <row r="97" s="2822" customFormat="1" spans="1:12">
      <c r="A97" s="2346"/>
      <c r="D97" s="2932"/>
      <c r="K97" s="193"/>
      <c r="L97" s="193"/>
    </row>
    <row r="98" s="2822" customFormat="1" spans="1:12">
      <c r="A98" s="2346"/>
      <c r="D98" s="2932"/>
      <c r="K98" s="193"/>
      <c r="L98" s="193"/>
    </row>
    <row r="99" s="2822" customFormat="1" spans="1:12">
      <c r="A99" s="2346"/>
      <c r="D99" s="2932"/>
      <c r="K99" s="193"/>
      <c r="L99" s="193"/>
    </row>
    <row r="100" s="2822" customFormat="1" spans="1:12">
      <c r="A100" s="2346"/>
      <c r="D100" s="2932"/>
      <c r="K100" s="193"/>
      <c r="L100" s="193"/>
    </row>
    <row r="101" s="2822" customFormat="1" spans="1:12">
      <c r="A101" s="2346"/>
      <c r="D101" s="2932"/>
      <c r="K101" s="193"/>
      <c r="L101" s="193"/>
    </row>
    <row r="102" s="2822" customFormat="1" spans="1:12">
      <c r="A102" s="2346"/>
      <c r="D102" s="2932"/>
      <c r="K102" s="193"/>
      <c r="L102" s="193"/>
    </row>
    <row r="103" s="2822" customFormat="1" spans="1:12">
      <c r="A103" s="2346"/>
      <c r="D103" s="2932"/>
      <c r="K103" s="193"/>
      <c r="L103" s="193"/>
    </row>
    <row r="104" s="2822" customFormat="1" spans="1:12">
      <c r="A104" s="2346"/>
      <c r="D104" s="2932"/>
      <c r="K104" s="193"/>
      <c r="L104" s="193"/>
    </row>
    <row r="105" s="2822" customFormat="1" spans="1:12">
      <c r="A105" s="2346"/>
      <c r="D105" s="2932"/>
      <c r="K105" s="193"/>
      <c r="L105" s="193"/>
    </row>
    <row r="106" s="2822" customFormat="1" spans="1:12">
      <c r="A106" s="2346"/>
      <c r="D106" s="2932"/>
      <c r="K106" s="193"/>
      <c r="L106" s="193"/>
    </row>
    <row r="107" s="2822" customFormat="1" spans="1:12">
      <c r="A107" s="2346"/>
      <c r="D107" s="2932"/>
      <c r="K107" s="193"/>
      <c r="L107" s="193"/>
    </row>
    <row r="108" s="2822" customFormat="1" spans="1:12">
      <c r="A108" s="2346"/>
      <c r="D108" s="2932"/>
      <c r="K108" s="193"/>
      <c r="L108" s="193"/>
    </row>
    <row r="109" s="2822" customFormat="1" spans="1:12">
      <c r="A109" s="2346"/>
      <c r="D109" s="2932"/>
      <c r="K109" s="193"/>
      <c r="L109" s="193"/>
    </row>
    <row r="110" s="2822" customFormat="1" spans="1:12">
      <c r="A110" s="2346"/>
      <c r="D110" s="2932"/>
      <c r="K110" s="193"/>
      <c r="L110" s="193"/>
    </row>
    <row r="111" s="2822" customFormat="1" spans="1:12">
      <c r="A111" s="2346"/>
      <c r="D111" s="2932"/>
      <c r="K111" s="193"/>
      <c r="L111" s="193"/>
    </row>
    <row r="112" s="2822" customFormat="1" spans="1:12">
      <c r="A112" s="2346"/>
      <c r="D112" s="2932"/>
      <c r="K112" s="193"/>
      <c r="L112" s="193"/>
    </row>
    <row r="113" s="2822" customFormat="1" spans="1:12">
      <c r="A113" s="2346"/>
      <c r="D113" s="2932"/>
      <c r="K113" s="193"/>
      <c r="L113" s="193"/>
    </row>
    <row r="114" s="2822" customFormat="1" spans="1:12">
      <c r="A114" s="2346"/>
      <c r="D114" s="2932"/>
      <c r="K114" s="193"/>
      <c r="L114" s="193"/>
    </row>
    <row r="115" s="2822" customFormat="1" spans="1:12">
      <c r="A115" s="2346"/>
      <c r="D115" s="2932"/>
      <c r="K115" s="193"/>
      <c r="L115" s="193"/>
    </row>
    <row r="116" s="2822" customFormat="1" spans="1:12">
      <c r="A116" s="2346"/>
      <c r="D116" s="2932"/>
      <c r="K116" s="193"/>
      <c r="L116" s="193"/>
    </row>
    <row r="117" s="2822" customFormat="1" spans="1:12">
      <c r="A117" s="2346"/>
      <c r="D117" s="2932"/>
      <c r="K117" s="193"/>
      <c r="L117" s="193"/>
    </row>
    <row r="118" s="2822" customFormat="1" spans="1:12">
      <c r="A118" s="2346"/>
      <c r="D118" s="2932"/>
      <c r="K118" s="193"/>
      <c r="L118" s="193"/>
    </row>
    <row r="119" s="2822" customFormat="1" spans="1:12">
      <c r="A119" s="2346"/>
      <c r="D119" s="2932"/>
      <c r="K119" s="193"/>
      <c r="L119" s="193"/>
    </row>
    <row r="120" s="2822" customFormat="1" spans="1:12">
      <c r="A120" s="2346"/>
      <c r="D120" s="2932"/>
      <c r="K120" s="193"/>
      <c r="L120" s="193"/>
    </row>
    <row r="121" s="2822" customFormat="1" spans="1:12">
      <c r="A121" s="2346"/>
      <c r="D121" s="2932"/>
      <c r="K121" s="193"/>
      <c r="L121" s="193"/>
    </row>
    <row r="122" s="2822" customFormat="1" spans="1:12">
      <c r="A122" s="2346"/>
      <c r="D122" s="2932"/>
      <c r="K122" s="193"/>
      <c r="L122" s="193"/>
    </row>
    <row r="123" s="2822" customFormat="1" spans="1:12">
      <c r="A123" s="2346"/>
      <c r="D123" s="2932"/>
      <c r="K123" s="193"/>
      <c r="L123" s="193"/>
    </row>
    <row r="124" s="2822" customFormat="1" spans="1:12">
      <c r="A124" s="2346"/>
      <c r="D124" s="2932"/>
      <c r="K124" s="193"/>
      <c r="L124" s="193"/>
    </row>
    <row r="125" s="2822" customFormat="1" spans="1:12">
      <c r="A125" s="2346"/>
      <c r="D125" s="2932"/>
      <c r="K125" s="193"/>
      <c r="L125" s="193"/>
    </row>
    <row r="126" s="2822" customFormat="1" spans="1:12">
      <c r="A126" s="2346"/>
      <c r="D126" s="2932"/>
      <c r="K126" s="193"/>
      <c r="L126" s="193"/>
    </row>
    <row r="127" s="2822" customFormat="1" spans="1:12">
      <c r="A127" s="2346"/>
      <c r="D127" s="2932"/>
      <c r="K127" s="193"/>
      <c r="L127" s="193"/>
    </row>
    <row r="128" s="2822" customFormat="1" spans="1:12">
      <c r="A128" s="2346"/>
      <c r="D128" s="2932"/>
      <c r="K128" s="193"/>
      <c r="L128" s="193"/>
    </row>
    <row r="129" s="2822" customFormat="1" spans="1:12">
      <c r="A129" s="2346"/>
      <c r="D129" s="2932"/>
      <c r="K129" s="193"/>
      <c r="L129" s="193"/>
    </row>
    <row r="130" s="2822" customFormat="1" spans="1:12">
      <c r="A130" s="2346"/>
      <c r="D130" s="2932"/>
      <c r="K130" s="193"/>
      <c r="L130" s="193"/>
    </row>
    <row r="131" s="2822" customFormat="1" spans="1:12">
      <c r="A131" s="2346"/>
      <c r="D131" s="2932"/>
      <c r="K131" s="193"/>
      <c r="L131" s="193"/>
    </row>
    <row r="132" s="2822" customFormat="1" spans="1:12">
      <c r="A132" s="2346"/>
      <c r="D132" s="2932"/>
      <c r="K132" s="193"/>
      <c r="L132" s="193"/>
    </row>
    <row r="133" s="2822" customFormat="1" spans="1:12">
      <c r="A133" s="2346"/>
      <c r="D133" s="2932"/>
      <c r="K133" s="193"/>
      <c r="L133" s="193"/>
    </row>
    <row r="134" s="2822" customFormat="1" spans="1:12">
      <c r="A134" s="2346"/>
      <c r="D134" s="2932"/>
      <c r="K134" s="193"/>
      <c r="L134" s="193"/>
    </row>
    <row r="135" s="2822" customFormat="1" spans="1:12">
      <c r="A135" s="2346"/>
      <c r="D135" s="2932"/>
      <c r="K135" s="193"/>
      <c r="L135" s="193"/>
    </row>
    <row r="136" s="2822" customFormat="1" spans="1:12">
      <c r="A136" s="2346"/>
      <c r="D136" s="2932"/>
      <c r="K136" s="193"/>
      <c r="L136" s="193"/>
    </row>
    <row r="137" s="2822" customFormat="1" spans="1:12">
      <c r="A137" s="2346"/>
      <c r="D137" s="2932"/>
      <c r="K137" s="193"/>
      <c r="L137" s="193"/>
    </row>
    <row r="138" s="2822" customFormat="1" spans="1:12">
      <c r="A138" s="2346"/>
      <c r="D138" s="2932"/>
      <c r="K138" s="193"/>
      <c r="L138" s="193"/>
    </row>
    <row r="139" s="2822" customFormat="1" spans="1:12">
      <c r="A139" s="2346"/>
      <c r="D139" s="2932"/>
      <c r="K139" s="193"/>
      <c r="L139" s="193"/>
    </row>
    <row r="140" s="2822" customFormat="1" spans="1:12">
      <c r="A140" s="2346"/>
      <c r="D140" s="2932"/>
      <c r="K140" s="193"/>
      <c r="L140" s="193"/>
    </row>
    <row r="141" s="2822" customFormat="1" spans="1:12">
      <c r="A141" s="2346"/>
      <c r="D141" s="2932"/>
      <c r="K141" s="193"/>
      <c r="L141" s="193"/>
    </row>
    <row r="142" s="2822" customFormat="1" spans="1:12">
      <c r="A142" s="2346"/>
      <c r="D142" s="2932"/>
      <c r="K142" s="193"/>
      <c r="L142" s="193"/>
    </row>
    <row r="143" s="2822" customFormat="1" spans="1:12">
      <c r="A143" s="2346"/>
      <c r="D143" s="2932"/>
      <c r="K143" s="193"/>
      <c r="L143" s="193"/>
    </row>
    <row r="144" s="2822" customFormat="1" spans="1:12">
      <c r="A144" s="2346"/>
      <c r="D144" s="2932"/>
      <c r="K144" s="193"/>
      <c r="L144" s="193"/>
    </row>
    <row r="145" s="2822" customFormat="1" spans="1:12">
      <c r="A145" s="2346"/>
      <c r="D145" s="2932"/>
      <c r="K145" s="193"/>
      <c r="L145" s="193"/>
    </row>
    <row r="146" s="2822" customFormat="1" spans="1:12">
      <c r="A146" s="2346"/>
      <c r="D146" s="2932"/>
      <c r="K146" s="193"/>
      <c r="L146" s="193"/>
    </row>
    <row r="147" s="2822" customFormat="1" spans="1:12">
      <c r="A147" s="2346"/>
      <c r="D147" s="2932"/>
      <c r="K147" s="193"/>
      <c r="L147" s="193"/>
    </row>
    <row r="148" s="2822" customFormat="1" spans="1:12">
      <c r="A148" s="2346"/>
      <c r="D148" s="2932"/>
      <c r="K148" s="193"/>
      <c r="L148" s="193"/>
    </row>
    <row r="149" s="2822" customFormat="1" spans="1:12">
      <c r="A149" s="2346"/>
      <c r="D149" s="2932"/>
      <c r="K149" s="193"/>
      <c r="L149" s="193"/>
    </row>
    <row r="150" s="2822" customFormat="1" spans="1:12">
      <c r="A150" s="2346"/>
      <c r="D150" s="2932"/>
      <c r="K150" s="193"/>
      <c r="L150" s="193"/>
    </row>
    <row r="151" s="2822" customFormat="1" spans="1:12">
      <c r="A151" s="2346"/>
      <c r="D151" s="2932"/>
      <c r="K151" s="193"/>
      <c r="L151" s="193"/>
    </row>
    <row r="152" s="2822" customFormat="1" spans="1:12">
      <c r="A152" s="2346"/>
      <c r="D152" s="2932"/>
      <c r="K152" s="193"/>
      <c r="L152" s="193"/>
    </row>
    <row r="153" s="2822" customFormat="1" spans="1:12">
      <c r="A153" s="2346"/>
      <c r="D153" s="2932"/>
      <c r="K153" s="193"/>
      <c r="L153" s="193"/>
    </row>
    <row r="154" s="2822" customFormat="1" spans="1:12">
      <c r="A154" s="2346"/>
      <c r="D154" s="2932"/>
      <c r="K154" s="193"/>
      <c r="L154" s="193"/>
    </row>
    <row r="155" s="2822" customFormat="1" spans="1:12">
      <c r="A155" s="2346"/>
      <c r="D155" s="2932"/>
      <c r="K155" s="193"/>
      <c r="L155" s="193"/>
    </row>
    <row r="156" s="2822" customFormat="1" spans="1:12">
      <c r="A156" s="2346"/>
      <c r="D156" s="2932"/>
      <c r="K156" s="193"/>
      <c r="L156" s="193"/>
    </row>
    <row r="157" s="2822" customFormat="1" spans="1:12">
      <c r="A157" s="2346"/>
      <c r="D157" s="2932"/>
      <c r="K157" s="193"/>
      <c r="L157" s="193"/>
    </row>
    <row r="158" s="2822" customFormat="1" spans="1:12">
      <c r="A158" s="2346"/>
      <c r="D158" s="2932"/>
      <c r="K158" s="193"/>
      <c r="L158" s="193"/>
    </row>
    <row r="159" s="2822" customFormat="1" spans="1:12">
      <c r="A159" s="2346"/>
      <c r="D159" s="2932"/>
      <c r="K159" s="193"/>
      <c r="L159" s="193"/>
    </row>
    <row r="160" s="2822" customFormat="1" spans="1:12">
      <c r="A160" s="2346"/>
      <c r="D160" s="2932"/>
      <c r="K160" s="193"/>
      <c r="L160" s="193"/>
    </row>
    <row r="161" s="2822" customFormat="1" spans="1:12">
      <c r="A161" s="2346"/>
      <c r="D161" s="2932"/>
      <c r="K161" s="193"/>
      <c r="L161" s="193"/>
    </row>
    <row r="162" s="2822" customFormat="1" spans="1:12">
      <c r="A162" s="2346"/>
      <c r="D162" s="2932"/>
      <c r="K162" s="193"/>
      <c r="L162" s="193"/>
    </row>
    <row r="163" s="2822" customFormat="1" spans="1:12">
      <c r="A163" s="2346"/>
      <c r="D163" s="2932"/>
      <c r="K163" s="193"/>
      <c r="L163" s="193"/>
    </row>
    <row r="164" s="2822" customFormat="1" spans="1:12">
      <c r="A164" s="2346"/>
      <c r="D164" s="2932"/>
      <c r="K164" s="193"/>
      <c r="L164" s="193"/>
    </row>
    <row r="165" s="2822" customFormat="1" spans="1:12">
      <c r="A165" s="2346"/>
      <c r="D165" s="2932"/>
      <c r="K165" s="193"/>
      <c r="L165" s="193"/>
    </row>
    <row r="166" s="2822" customFormat="1" spans="1:12">
      <c r="A166" s="2346"/>
      <c r="D166" s="2932"/>
      <c r="K166" s="193"/>
      <c r="L166" s="193"/>
    </row>
    <row r="167" s="2822" customFormat="1" spans="1:12">
      <c r="A167" s="2346"/>
      <c r="D167" s="2932"/>
      <c r="K167" s="193"/>
      <c r="L167" s="193"/>
    </row>
    <row r="168" s="2822" customFormat="1" spans="1:12">
      <c r="A168" s="2346"/>
      <c r="D168" s="2932"/>
      <c r="K168" s="193"/>
      <c r="L168" s="193"/>
    </row>
    <row r="169" s="2822" customFormat="1" spans="1:12">
      <c r="A169" s="2346"/>
      <c r="D169" s="2932"/>
      <c r="K169" s="193"/>
      <c r="L169" s="193"/>
    </row>
    <row r="170" s="2822" customFormat="1" spans="1:12">
      <c r="A170" s="2346"/>
      <c r="D170" s="2932"/>
      <c r="K170" s="193"/>
      <c r="L170" s="193"/>
    </row>
    <row r="171" s="2822" customFormat="1" spans="1:12">
      <c r="A171" s="2346"/>
      <c r="D171" s="2932"/>
      <c r="K171" s="193"/>
      <c r="L171" s="193"/>
    </row>
    <row r="172" s="2822" customFormat="1" spans="1:12">
      <c r="A172" s="2346"/>
      <c r="D172" s="2932"/>
      <c r="K172" s="193"/>
      <c r="L172" s="193"/>
    </row>
    <row r="173" s="2822" customFormat="1" spans="1:12">
      <c r="A173" s="2346"/>
      <c r="D173" s="2932"/>
      <c r="K173" s="193"/>
      <c r="L173" s="193"/>
    </row>
    <row r="174" s="2822" customFormat="1" spans="1:12">
      <c r="A174" s="2346"/>
      <c r="D174" s="2932"/>
      <c r="K174" s="193"/>
      <c r="L174" s="193"/>
    </row>
    <row r="175" s="2822" customFormat="1" spans="1:12">
      <c r="A175" s="2346"/>
      <c r="D175" s="2932"/>
      <c r="K175" s="193"/>
      <c r="L175" s="193"/>
    </row>
    <row r="176" s="2822" customFormat="1" spans="1:12">
      <c r="A176" s="2346"/>
      <c r="D176" s="2932"/>
      <c r="K176" s="193"/>
      <c r="L176" s="193"/>
    </row>
    <row r="177" s="2822" customFormat="1" spans="1:12">
      <c r="A177" s="2346"/>
      <c r="D177" s="2932"/>
      <c r="K177" s="193"/>
      <c r="L177" s="193"/>
    </row>
    <row r="178" s="2822" customFormat="1" spans="1:12">
      <c r="A178" s="2346"/>
      <c r="D178" s="2932"/>
      <c r="K178" s="193"/>
      <c r="L178" s="193"/>
    </row>
    <row r="179" s="2822" customFormat="1" spans="1:12">
      <c r="A179" s="2346"/>
      <c r="D179" s="2932"/>
      <c r="K179" s="193"/>
      <c r="L179" s="193"/>
    </row>
    <row r="180" s="2822" customFormat="1" spans="1:12">
      <c r="A180" s="2346"/>
      <c r="D180" s="2932"/>
      <c r="K180" s="193"/>
      <c r="L180" s="193"/>
    </row>
    <row r="181" s="2822" customFormat="1" spans="1:12">
      <c r="A181" s="2346"/>
      <c r="D181" s="2932"/>
      <c r="K181" s="193"/>
      <c r="L181" s="193"/>
    </row>
    <row r="182" s="2822" customFormat="1" spans="1:12">
      <c r="A182" s="2346"/>
      <c r="D182" s="2932"/>
      <c r="K182" s="193"/>
      <c r="L182" s="193"/>
    </row>
    <row r="183" s="2822" customFormat="1" spans="1:12">
      <c r="A183" s="2346"/>
      <c r="D183" s="2932"/>
      <c r="K183" s="193"/>
      <c r="L183" s="193"/>
    </row>
    <row r="184" s="2822" customFormat="1" spans="1:12">
      <c r="A184" s="2346"/>
      <c r="D184" s="2932"/>
      <c r="K184" s="193"/>
      <c r="L184" s="193"/>
    </row>
    <row r="185" s="2822" customFormat="1" spans="1:12">
      <c r="A185" s="2346"/>
      <c r="D185" s="2932"/>
      <c r="K185" s="193"/>
      <c r="L185" s="193"/>
    </row>
    <row r="186" s="2822" customFormat="1" spans="1:12">
      <c r="A186" s="2346"/>
      <c r="D186" s="2932"/>
      <c r="K186" s="193"/>
      <c r="L186" s="193"/>
    </row>
    <row r="187" s="2822" customFormat="1" spans="1:12">
      <c r="A187" s="2346"/>
      <c r="D187" s="2932"/>
      <c r="K187" s="193"/>
      <c r="L187" s="193"/>
    </row>
    <row r="188" s="2822" customFormat="1" spans="1:12">
      <c r="A188" s="2346"/>
      <c r="D188" s="2932"/>
      <c r="K188" s="193"/>
      <c r="L188" s="193"/>
    </row>
    <row r="189" s="2822" customFormat="1" spans="1:12">
      <c r="A189" s="2346"/>
      <c r="D189" s="2932"/>
      <c r="K189" s="193"/>
      <c r="L189" s="193"/>
    </row>
    <row r="190" s="2822" customFormat="1" spans="1:12">
      <c r="A190" s="2346"/>
      <c r="D190" s="2932"/>
      <c r="K190" s="193"/>
      <c r="L190" s="193"/>
    </row>
    <row r="191" s="2822" customFormat="1" spans="1:12">
      <c r="A191" s="2346"/>
      <c r="D191" s="2932"/>
      <c r="K191" s="193"/>
      <c r="L191" s="193"/>
    </row>
    <row r="192" s="2822" customFormat="1" spans="1:12">
      <c r="A192" s="2346"/>
      <c r="D192" s="2932"/>
      <c r="K192" s="193"/>
      <c r="L192" s="193"/>
    </row>
  </sheetData>
  <sheetProtection password="CEE9" sheet="1" formatCells="0" formatColumns="0" formatRows="0" objects="1" scenarios="1"/>
  <conditionalFormatting sqref="T6:T15">
    <cfRule type="containsText" dxfId="5" priority="12" stopIfTrue="1" operator="between" text="自行计算">
      <formula>NOT(ISERROR(SEARCH("自行计算",T6)))</formula>
    </cfRule>
    <cfRule type="containsText" dxfId="6" priority="13" stopIfTrue="1" operator="between" text="自行计算">
      <formula>NOT(ISERROR(SEARCH("自行计算",T6)))</formula>
    </cfRule>
    <cfRule type="expression" dxfId="7" priority="1" stopIfTrue="1">
      <formula>$T$4="按面积比例"</formula>
    </cfRule>
  </conditionalFormatting>
  <conditionalFormatting sqref="T6:T13">
    <cfRule type="containsText" dxfId="5" priority="10" stopIfTrue="1" operator="between" text="自行计算">
      <formula>NOT(ISERROR(SEARCH("自行计算",T6)))</formula>
    </cfRule>
    <cfRule type="containsText" dxfId="6" priority="11" stopIfTrue="1" operator="between" text="自行计算">
      <formula>NOT(ISERROR(SEARCH("自行计算",T6)))</formula>
    </cfRule>
  </conditionalFormatting>
  <conditionalFormatting sqref="T12:T13">
    <cfRule type="containsText" dxfId="5" priority="4" stopIfTrue="1" operator="between" text="自行计算">
      <formula>NOT(ISERROR(SEARCH("自行计算",T12)))</formula>
    </cfRule>
    <cfRule type="containsText" dxfId="6" priority="5" stopIfTrue="1" operator="between" text="自行计算">
      <formula>NOT(ISERROR(SEARCH("自行计算",T12)))</formula>
    </cfRule>
    <cfRule type="containsText" dxfId="5" priority="2" stopIfTrue="1" operator="between" text="自行计算">
      <formula>NOT(ISERROR(SEARCH("自行计算",T12)))</formula>
    </cfRule>
    <cfRule type="containsText" dxfId="6" priority="3" stopIfTrue="1" operator="between" text="自行计算">
      <formula>NOT(ISERROR(SEARCH("自行计算",T12)))</formula>
    </cfRule>
  </conditionalFormatting>
  <dataValidations count="7">
    <dataValidation type="list" allowBlank="1" showInputMessage="1" showErrorMessage="1" sqref="B44">
      <formula1>"7%,5%,1%"</formula1>
    </dataValidation>
    <dataValidation type="list" allowBlank="1" showInputMessage="1" showErrorMessage="1" sqref="N5">
      <formula1>"工程进度,成新度"</formula1>
    </dataValidation>
    <dataValidation type="list" allowBlank="1" showInputMessage="1" showErrorMessage="1" sqref="B14:B15">
      <formula1>类别</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4" fitToHeight="0" orientation="portrait"/>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R37"/>
  <sheetViews>
    <sheetView view="pageBreakPreview" zoomScale="70" zoomScaleNormal="80" workbookViewId="0">
      <pane xSplit="1" ySplit="2" topLeftCell="B3" activePane="bottomRight" state="frozen"/>
      <selection/>
      <selection pane="topRight"/>
      <selection pane="bottomLeft"/>
      <selection pane="bottomRight" activeCell="K16" sqref="K16"/>
    </sheetView>
  </sheetViews>
  <sheetFormatPr defaultColWidth="9" defaultRowHeight="13.5"/>
  <cols>
    <col min="1" max="1" width="9.5" style="2746" customWidth="1"/>
    <col min="2" max="2" width="23.5" style="2747" customWidth="1"/>
    <col min="3" max="3" width="32.25" style="2748" customWidth="1"/>
    <col min="4" max="4" width="2.625" style="2748" customWidth="1"/>
    <col min="5" max="5" width="5.875" style="2748" customWidth="1"/>
    <col min="6" max="6" width="23.625" style="2747" customWidth="1"/>
    <col min="7" max="7" width="33.375" style="2749" customWidth="1"/>
    <col min="8" max="8" width="11.875" style="2747" customWidth="1"/>
    <col min="9" max="9" width="16.75" style="2749" customWidth="1"/>
    <col min="10" max="10" width="2.625" style="2748" customWidth="1"/>
    <col min="11" max="11" width="11.875" style="2747" customWidth="1"/>
    <col min="12" max="12" width="16.75" style="2749" customWidth="1"/>
    <col min="13" max="13" width="2.625" style="2748" customWidth="1"/>
    <col min="14" max="14" width="11.875" style="2747" customWidth="1"/>
    <col min="15" max="15" width="16.75" style="2749" customWidth="1"/>
    <col min="16" max="16" width="2.625" style="2748" customWidth="1"/>
    <col min="17" max="17" width="11.875" style="2747" customWidth="1"/>
    <col min="18" max="18" width="16.75" style="2750" customWidth="1"/>
    <col min="19" max="16384" width="9" style="2746"/>
  </cols>
  <sheetData>
    <row r="1" s="2744" customFormat="1" ht="19.5" spans="1:18">
      <c r="A1" s="2751" t="s">
        <v>676</v>
      </c>
      <c r="B1" s="2752"/>
      <c r="C1" s="2752"/>
      <c r="D1" s="2752"/>
      <c r="E1" s="2752"/>
      <c r="F1" s="2752"/>
      <c r="G1" s="2752"/>
      <c r="H1" s="2753"/>
      <c r="I1" s="2808"/>
      <c r="J1" s="2809"/>
      <c r="K1" s="2753"/>
      <c r="L1" s="2808"/>
      <c r="M1" s="2809"/>
      <c r="N1" s="2753"/>
      <c r="O1" s="2808"/>
      <c r="P1" s="2809"/>
      <c r="Q1" s="2817"/>
      <c r="R1" s="2818"/>
    </row>
    <row r="2" ht="14.25" spans="1:18">
      <c r="A2" s="2754"/>
      <c r="B2" s="2755"/>
      <c r="C2" s="2756" t="s">
        <v>677</v>
      </c>
      <c r="D2" s="2757"/>
      <c r="E2" s="2754"/>
      <c r="F2" s="2758"/>
      <c r="G2" s="2756" t="s">
        <v>164</v>
      </c>
      <c r="H2" s="2746"/>
      <c r="I2" s="2746"/>
      <c r="J2" s="2746"/>
      <c r="K2" s="2746"/>
      <c r="L2" s="2746"/>
      <c r="M2" s="2746"/>
      <c r="N2" s="2746"/>
      <c r="O2" s="2746"/>
      <c r="P2" s="2746"/>
      <c r="Q2" s="2746"/>
      <c r="R2" s="2746"/>
    </row>
    <row r="3" ht="40.5" spans="1:18">
      <c r="A3" s="2759" t="s">
        <v>678</v>
      </c>
      <c r="B3" s="2760" t="s">
        <v>679</v>
      </c>
      <c r="C3" s="2761" t="s">
        <v>680</v>
      </c>
      <c r="D3" s="2762"/>
      <c r="E3" s="2763" t="s">
        <v>678</v>
      </c>
      <c r="F3" s="2764" t="s">
        <v>681</v>
      </c>
      <c r="G3" s="2765" t="s">
        <v>682</v>
      </c>
      <c r="H3" s="2746"/>
      <c r="I3" s="2746"/>
      <c r="J3" s="2746"/>
      <c r="K3" s="2746"/>
      <c r="L3" s="2746"/>
      <c r="M3" s="2746"/>
      <c r="N3" s="2746"/>
      <c r="O3" s="2746"/>
      <c r="P3" s="2746"/>
      <c r="Q3" s="2746"/>
      <c r="R3" s="2746"/>
    </row>
    <row r="4" ht="40.5" spans="1:18">
      <c r="A4" s="2763"/>
      <c r="B4" s="2766" t="s">
        <v>683</v>
      </c>
      <c r="C4" s="2767" t="s">
        <v>684</v>
      </c>
      <c r="D4" s="2762"/>
      <c r="E4" s="2768"/>
      <c r="F4" s="2769" t="s">
        <v>685</v>
      </c>
      <c r="G4" s="2770" t="s">
        <v>686</v>
      </c>
      <c r="H4" s="2746"/>
      <c r="I4" s="2746"/>
      <c r="J4" s="2746"/>
      <c r="K4" s="2746"/>
      <c r="L4" s="2746"/>
      <c r="M4" s="2746"/>
      <c r="N4" s="2746"/>
      <c r="O4" s="2746"/>
      <c r="P4" s="2746"/>
      <c r="Q4" s="2746"/>
      <c r="R4" s="2746"/>
    </row>
    <row r="5" ht="41.25" spans="1:18">
      <c r="A5" s="2763"/>
      <c r="B5" s="2766" t="s">
        <v>687</v>
      </c>
      <c r="C5" s="2767" t="s">
        <v>688</v>
      </c>
      <c r="D5" s="2762"/>
      <c r="E5" s="2768"/>
      <c r="F5" s="2766" t="s">
        <v>231</v>
      </c>
      <c r="G5" s="2770" t="s">
        <v>689</v>
      </c>
      <c r="H5" s="2746"/>
      <c r="I5" s="2746"/>
      <c r="J5" s="2746"/>
      <c r="K5" s="2746"/>
      <c r="L5" s="2746"/>
      <c r="M5" s="2746"/>
      <c r="N5" s="2746"/>
      <c r="O5" s="2746"/>
      <c r="P5" s="2746"/>
      <c r="Q5" s="2746"/>
      <c r="R5" s="2746"/>
    </row>
    <row r="6" ht="40.5" spans="1:18">
      <c r="A6" s="2763"/>
      <c r="B6" s="2766" t="s">
        <v>685</v>
      </c>
      <c r="C6" s="2770" t="s">
        <v>686</v>
      </c>
      <c r="D6" s="2762"/>
      <c r="E6" s="2768"/>
      <c r="F6" s="2766" t="s">
        <v>232</v>
      </c>
      <c r="G6" s="2770" t="s">
        <v>690</v>
      </c>
      <c r="H6" s="2746"/>
      <c r="I6" s="2746"/>
      <c r="J6" s="2746"/>
      <c r="K6" s="2746"/>
      <c r="L6" s="2746"/>
      <c r="M6" s="2746"/>
      <c r="N6" s="2746"/>
      <c r="O6" s="2746"/>
      <c r="P6" s="2746"/>
      <c r="Q6" s="2746"/>
      <c r="R6" s="2746"/>
    </row>
    <row r="7" ht="27.75" spans="1:18">
      <c r="A7" s="2763"/>
      <c r="B7" s="2766" t="s">
        <v>231</v>
      </c>
      <c r="C7" s="2770" t="s">
        <v>689</v>
      </c>
      <c r="D7" s="2771"/>
      <c r="E7" s="2772"/>
      <c r="F7" s="2773" t="s">
        <v>691</v>
      </c>
      <c r="G7" s="2774" t="s">
        <v>692</v>
      </c>
      <c r="H7" s="2746"/>
      <c r="I7" s="2746"/>
      <c r="J7" s="2746"/>
      <c r="K7" s="2746"/>
      <c r="L7" s="2746"/>
      <c r="M7" s="2746"/>
      <c r="N7" s="2746"/>
      <c r="O7" s="2746"/>
      <c r="P7" s="2746"/>
      <c r="Q7" s="2746"/>
      <c r="R7" s="2746"/>
    </row>
    <row r="8" spans="1:18">
      <c r="A8" s="2763"/>
      <c r="B8" s="2766" t="s">
        <v>232</v>
      </c>
      <c r="C8" s="2770" t="s">
        <v>690</v>
      </c>
      <c r="D8" s="2771"/>
      <c r="E8" s="2771"/>
      <c r="F8" s="2775"/>
      <c r="G8" s="2775"/>
      <c r="H8" s="2746"/>
      <c r="I8" s="2746"/>
      <c r="J8" s="2746"/>
      <c r="K8" s="2746"/>
      <c r="L8" s="2746"/>
      <c r="M8" s="2746"/>
      <c r="N8" s="2746"/>
      <c r="O8" s="2746"/>
      <c r="P8" s="2746"/>
      <c r="Q8" s="2746"/>
      <c r="R8" s="2746"/>
    </row>
    <row r="9" ht="27" spans="1:18">
      <c r="A9" s="2763"/>
      <c r="B9" s="2766" t="s">
        <v>693</v>
      </c>
      <c r="C9" s="2767" t="s">
        <v>694</v>
      </c>
      <c r="D9" s="2762"/>
      <c r="E9" s="2771"/>
      <c r="F9" s="2775"/>
      <c r="G9" s="2775"/>
      <c r="H9" s="2746"/>
      <c r="I9" s="2746"/>
      <c r="J9" s="2746"/>
      <c r="K9" s="2746"/>
      <c r="L9" s="2746"/>
      <c r="M9" s="2746"/>
      <c r="N9" s="2746"/>
      <c r="O9" s="2746"/>
      <c r="P9" s="2746"/>
      <c r="Q9" s="2746"/>
      <c r="R9" s="2746"/>
    </row>
    <row r="10" s="2745" customFormat="1" ht="15" spans="1:18">
      <c r="A10" s="2776"/>
      <c r="B10" s="2777" t="s">
        <v>695</v>
      </c>
      <c r="C10" s="2778"/>
      <c r="D10" s="2762"/>
      <c r="E10" s="2762"/>
      <c r="F10" s="2775"/>
      <c r="G10" s="2775"/>
      <c r="H10" s="2779"/>
      <c r="I10" s="2810"/>
      <c r="J10" s="2811"/>
      <c r="K10" s="2779"/>
      <c r="L10" s="2810"/>
      <c r="M10" s="2811"/>
      <c r="N10" s="2779"/>
      <c r="O10" s="2810"/>
      <c r="P10" s="2811"/>
      <c r="Q10" s="2779"/>
      <c r="R10" s="2810"/>
    </row>
    <row r="11" s="2745" customFormat="1" spans="1:18">
      <c r="A11" s="2780"/>
      <c r="B11" s="2771"/>
      <c r="C11" s="2762"/>
      <c r="D11" s="2762"/>
      <c r="E11" s="2762"/>
      <c r="F11" s="2771"/>
      <c r="G11" s="2781"/>
      <c r="H11" s="2779"/>
      <c r="I11" s="2810"/>
      <c r="J11" s="2811"/>
      <c r="K11" s="2779"/>
      <c r="L11" s="2810"/>
      <c r="M11" s="2811"/>
      <c r="N11" s="2779"/>
      <c r="O11" s="2810"/>
      <c r="P11" s="2811"/>
      <c r="Q11" s="2779"/>
      <c r="R11" s="2810"/>
    </row>
    <row r="12" s="2744" customFormat="1" ht="18.75" spans="1:18">
      <c r="A12" s="2780"/>
      <c r="B12" s="2771"/>
      <c r="C12" s="2762"/>
      <c r="D12" s="2782"/>
      <c r="E12" s="2762"/>
      <c r="F12" s="2771"/>
      <c r="G12" s="2781"/>
      <c r="H12" s="2783"/>
      <c r="I12" s="2812"/>
      <c r="J12" s="2783"/>
      <c r="K12" s="2783"/>
      <c r="L12" s="2813"/>
      <c r="M12" s="2783"/>
      <c r="N12" s="2814"/>
      <c r="O12" s="2815"/>
      <c r="P12" s="2816"/>
      <c r="Q12" s="2814"/>
      <c r="R12" s="2818"/>
    </row>
    <row r="13" ht="19.5" spans="1:7">
      <c r="A13" s="2784" t="s">
        <v>696</v>
      </c>
      <c r="B13" s="2782"/>
      <c r="C13" s="2782"/>
      <c r="D13" s="2757"/>
      <c r="E13" s="2782"/>
      <c r="F13" s="2782"/>
      <c r="G13" s="2782"/>
    </row>
    <row r="14" ht="14.25" spans="1:7">
      <c r="A14" s="2785"/>
      <c r="B14" s="2785"/>
      <c r="C14" s="2786" t="s">
        <v>677</v>
      </c>
      <c r="D14" s="2762"/>
      <c r="E14" s="2787"/>
      <c r="F14" s="2787"/>
      <c r="G14" s="2756" t="s">
        <v>164</v>
      </c>
    </row>
    <row r="15" ht="40.5" spans="1:7">
      <c r="A15" s="2788" t="s">
        <v>678</v>
      </c>
      <c r="B15" s="2789" t="s">
        <v>679</v>
      </c>
      <c r="C15" s="2790" t="str">
        <f>C3</f>
        <v>估价对象周边居住用地比例、居住小区规模和社区发展完善程度，综合评价居住社区成熟度一般</v>
      </c>
      <c r="D15" s="2762"/>
      <c r="E15" s="2791" t="s">
        <v>678</v>
      </c>
      <c r="F15" s="2789" t="s">
        <v>681</v>
      </c>
      <c r="G15" s="2792" t="str">
        <f>G3</f>
        <v>估价对象位于XX开发区，园区建设成熟度XX，产业集聚程度XX</v>
      </c>
    </row>
    <row r="16" ht="40.5" spans="1:7">
      <c r="A16" s="2793"/>
      <c r="B16" s="2794" t="s">
        <v>683</v>
      </c>
      <c r="C16" s="2795" t="str">
        <f>C4</f>
        <v>估价对象位于XX商圈，周边商业氛围成熟，人流量大，商业繁华度好</v>
      </c>
      <c r="D16" s="2762"/>
      <c r="E16" s="2796"/>
      <c r="F16" s="2797" t="s">
        <v>685</v>
      </c>
      <c r="G16" s="2798" t="str">
        <f>G4</f>
        <v>估价对象周边道路状况、公共交通通达情况、停车便捷程度，综合评价交通便捷度较好</v>
      </c>
    </row>
    <row r="17" ht="40.5" spans="1:7">
      <c r="A17" s="2793"/>
      <c r="B17" s="2794" t="s">
        <v>687</v>
      </c>
      <c r="C17" s="2795" t="str">
        <f>C5</f>
        <v>估价对象位于XX商圈，周边办公楼项目较多，入驻率高，办公集聚程度较好</v>
      </c>
      <c r="D17" s="2771"/>
      <c r="E17" s="2796"/>
      <c r="F17" s="2797" t="s">
        <v>697</v>
      </c>
      <c r="G17" s="2799"/>
    </row>
    <row r="18" ht="40.5" spans="1:7">
      <c r="A18" s="2793"/>
      <c r="B18" s="2797" t="s">
        <v>685</v>
      </c>
      <c r="C18" s="2798" t="str">
        <f>C6</f>
        <v>估价对象周边道路状况、公共交通通达情况、停车便捷程度，综合评价交通便捷度较好</v>
      </c>
      <c r="D18" s="2771"/>
      <c r="E18" s="2796"/>
      <c r="F18" s="2797" t="s">
        <v>691</v>
      </c>
      <c r="G18" s="2798" t="str">
        <f>G7</f>
        <v>该园区内是否有污染型企业，绿化情况，卫生条件，整体环境状况判断</v>
      </c>
    </row>
    <row r="19" ht="27" spans="1:7">
      <c r="A19" s="2793"/>
      <c r="B19" s="2797" t="s">
        <v>697</v>
      </c>
      <c r="C19" s="2799"/>
      <c r="D19" s="2762"/>
      <c r="E19" s="2796"/>
      <c r="F19" s="2766" t="s">
        <v>231</v>
      </c>
      <c r="G19" s="2798" t="str">
        <f>G5</f>
        <v>估价对象所在区域公共配套设施齐备情况</v>
      </c>
    </row>
    <row r="20" ht="27" spans="1:7">
      <c r="A20" s="2793"/>
      <c r="B20" s="2797" t="s">
        <v>698</v>
      </c>
      <c r="C20" s="2795" t="str">
        <f>C9</f>
        <v>区域自然环境：；人文环境；综合评价环境状况一般</v>
      </c>
      <c r="D20" s="2771"/>
      <c r="E20" s="2796"/>
      <c r="F20" s="2766" t="s">
        <v>232</v>
      </c>
      <c r="G20" s="2798" t="str">
        <f>G6</f>
        <v>估价对象所在区域基础设施水平</v>
      </c>
    </row>
    <row r="21" ht="27" spans="1:7">
      <c r="A21" s="2793"/>
      <c r="B21" s="2766" t="s">
        <v>231</v>
      </c>
      <c r="C21" s="2798" t="str">
        <f>C7</f>
        <v>估价对象所在区域公共配套设施齐备情况</v>
      </c>
      <c r="D21" s="2762"/>
      <c r="E21" s="2796"/>
      <c r="F21" s="2797" t="s">
        <v>699</v>
      </c>
      <c r="G21" s="2800"/>
    </row>
    <row r="22" ht="14.25" spans="1:7">
      <c r="A22" s="2793"/>
      <c r="B22" s="2766" t="s">
        <v>232</v>
      </c>
      <c r="C22" s="2798" t="str">
        <f>C8</f>
        <v>估价对象所在区域基础设施水平</v>
      </c>
      <c r="D22" s="2762"/>
      <c r="E22" s="2796"/>
      <c r="F22" s="2797" t="s">
        <v>695</v>
      </c>
      <c r="G22" s="2799"/>
    </row>
    <row r="23" ht="15" spans="1:7">
      <c r="A23" s="2793"/>
      <c r="B23" s="2797" t="s">
        <v>699</v>
      </c>
      <c r="C23" s="2800"/>
      <c r="E23" s="2801"/>
      <c r="F23" s="2802" t="s">
        <v>217</v>
      </c>
      <c r="G23" s="2803"/>
    </row>
    <row r="24" ht="14.25" spans="1:7">
      <c r="A24" s="2804"/>
      <c r="B24" s="2802" t="s">
        <v>695</v>
      </c>
      <c r="C24" s="2805">
        <f>C10</f>
        <v>0</v>
      </c>
      <c r="E24" s="2806"/>
      <c r="F24" s="2806"/>
      <c r="G24" s="2807"/>
    </row>
    <row r="25" spans="5:7">
      <c r="E25" s="2746"/>
      <c r="F25" s="2746"/>
      <c r="G25" s="2746"/>
    </row>
    <row r="26" spans="5:7">
      <c r="E26" s="2746"/>
      <c r="F26" s="2746"/>
      <c r="G26" s="2746"/>
    </row>
    <row r="27" spans="5:7">
      <c r="E27" s="2746"/>
      <c r="F27" s="2746"/>
      <c r="G27" s="2746"/>
    </row>
    <row r="28" spans="5:7">
      <c r="E28" s="2746"/>
      <c r="F28" s="2746"/>
      <c r="G28" s="2746"/>
    </row>
    <row r="29" spans="5:7">
      <c r="E29" s="2746"/>
      <c r="F29" s="2746"/>
      <c r="G29" s="2746"/>
    </row>
    <row r="30" spans="5:7">
      <c r="E30" s="2746"/>
      <c r="F30" s="2746"/>
      <c r="G30" s="2746"/>
    </row>
    <row r="31" spans="5:7">
      <c r="E31" s="2746"/>
      <c r="F31" s="2746"/>
      <c r="G31" s="2746"/>
    </row>
    <row r="32" spans="5:7">
      <c r="E32" s="2746"/>
      <c r="F32" s="2746"/>
      <c r="G32" s="2746"/>
    </row>
    <row r="33" spans="5:7">
      <c r="E33" s="2746"/>
      <c r="F33" s="2746"/>
      <c r="G33" s="2746"/>
    </row>
    <row r="34" spans="5:7">
      <c r="E34" s="2746"/>
      <c r="F34" s="2746"/>
      <c r="G34" s="2746"/>
    </row>
    <row r="35" spans="5:7">
      <c r="E35" s="2746"/>
      <c r="F35" s="2746"/>
      <c r="G35" s="2746"/>
    </row>
    <row r="36" spans="5:7">
      <c r="E36" s="2746"/>
      <c r="F36" s="2746"/>
      <c r="G36" s="2746"/>
    </row>
    <row r="37" spans="5:7">
      <c r="E37" s="2746"/>
      <c r="F37" s="2746"/>
      <c r="G37" s="274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8"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topLeftCell="A8" workbookViewId="0">
      <selection activeCell="F15" sqref="F15"/>
    </sheetView>
  </sheetViews>
  <sheetFormatPr defaultColWidth="9" defaultRowHeight="13.5"/>
  <cols>
    <col min="1" max="1" width="9" style="5"/>
    <col min="2" max="2" width="10.75" style="5" customWidth="1"/>
    <col min="3" max="16384" width="9" style="5"/>
  </cols>
  <sheetData>
    <row r="1" ht="14.25" spans="1:17">
      <c r="A1" s="2722" t="s">
        <v>700</v>
      </c>
      <c r="B1" s="2723" t="s">
        <v>102</v>
      </c>
      <c r="C1" s="2723" t="s">
        <v>701</v>
      </c>
      <c r="D1" s="2723" t="s">
        <v>702</v>
      </c>
      <c r="E1" s="2723" t="s">
        <v>703</v>
      </c>
      <c r="F1" s="2724" t="s">
        <v>704</v>
      </c>
      <c r="G1" s="2725"/>
      <c r="H1" s="2726"/>
      <c r="I1" s="2738" t="s">
        <v>705</v>
      </c>
      <c r="J1" s="2723" t="s">
        <v>706</v>
      </c>
      <c r="K1" s="2723" t="s">
        <v>707</v>
      </c>
      <c r="L1" s="2723" t="s">
        <v>708</v>
      </c>
      <c r="M1" s="2723" t="s">
        <v>709</v>
      </c>
      <c r="N1" s="2723" t="s">
        <v>710</v>
      </c>
      <c r="O1" s="2723" t="s">
        <v>711</v>
      </c>
      <c r="P1" s="2723" t="s">
        <v>712</v>
      </c>
      <c r="Q1" s="2740" t="s">
        <v>713</v>
      </c>
    </row>
    <row r="2" ht="14.25" spans="1:18">
      <c r="A2" s="2727"/>
      <c r="B2" s="2728"/>
      <c r="C2" s="2728"/>
      <c r="D2" s="2728"/>
      <c r="E2" s="2728"/>
      <c r="F2" s="2729"/>
      <c r="G2" s="2729"/>
      <c r="H2" s="2729"/>
      <c r="I2" s="2739"/>
      <c r="J2" s="2728"/>
      <c r="K2" s="2728"/>
      <c r="L2" s="2728"/>
      <c r="M2" s="2728"/>
      <c r="N2" s="2728"/>
      <c r="O2" s="2728"/>
      <c r="P2" s="2728"/>
      <c r="Q2" s="2741"/>
      <c r="R2" s="5" t="s">
        <v>714</v>
      </c>
    </row>
    <row r="3" ht="87" spans="1:20">
      <c r="A3" s="2730" t="s">
        <v>715</v>
      </c>
      <c r="B3" s="2731" t="s">
        <v>716</v>
      </c>
      <c r="C3" s="2732" t="s">
        <v>717</v>
      </c>
      <c r="D3" s="2733">
        <v>44153</v>
      </c>
      <c r="E3" s="2732">
        <v>570500</v>
      </c>
      <c r="F3" s="2732">
        <v>51788.13</v>
      </c>
      <c r="G3" s="2732">
        <v>51788.13</v>
      </c>
      <c r="H3" s="2732">
        <v>0</v>
      </c>
      <c r="I3" s="2732">
        <v>184800</v>
      </c>
      <c r="J3" s="2732" t="s">
        <v>718</v>
      </c>
      <c r="K3" s="2732" t="s">
        <v>719</v>
      </c>
      <c r="L3" s="2733">
        <v>44167</v>
      </c>
      <c r="M3" s="2732">
        <v>579500</v>
      </c>
      <c r="N3" s="2732" t="s">
        <v>720</v>
      </c>
      <c r="O3" s="2732" t="s">
        <v>721</v>
      </c>
      <c r="P3" s="2732"/>
      <c r="Q3" s="2742">
        <v>115000</v>
      </c>
      <c r="R3" s="5">
        <f t="shared" ref="R3:R9" si="0">M3*10000/I3</f>
        <v>31358.2251082251</v>
      </c>
      <c r="S3" s="5" t="s">
        <v>722</v>
      </c>
      <c r="T3" s="5">
        <v>1.3</v>
      </c>
    </row>
    <row r="4" ht="14.25"/>
    <row r="5" ht="161.25" hidden="1" spans="1:18">
      <c r="A5" s="2730" t="s">
        <v>723</v>
      </c>
      <c r="B5" s="2731" t="s">
        <v>724</v>
      </c>
      <c r="C5" s="2732" t="s">
        <v>725</v>
      </c>
      <c r="D5" s="2733">
        <v>43872</v>
      </c>
      <c r="E5" s="2732">
        <v>603400</v>
      </c>
      <c r="F5" s="2732">
        <v>67309.96</v>
      </c>
      <c r="G5" s="2732">
        <v>67309.96</v>
      </c>
      <c r="H5" s="2732">
        <v>0</v>
      </c>
      <c r="I5" s="2732">
        <v>162845</v>
      </c>
      <c r="J5" s="2732" t="s">
        <v>718</v>
      </c>
      <c r="K5" s="2732" t="s">
        <v>726</v>
      </c>
      <c r="L5" s="2733">
        <v>43886</v>
      </c>
      <c r="M5" s="2732">
        <v>760000</v>
      </c>
      <c r="N5" s="2732" t="s">
        <v>727</v>
      </c>
      <c r="O5" s="2732" t="s">
        <v>728</v>
      </c>
      <c r="P5" s="2732"/>
      <c r="Q5" s="2742">
        <v>121000</v>
      </c>
      <c r="R5" s="5">
        <f t="shared" si="0"/>
        <v>46670.1464582886</v>
      </c>
    </row>
    <row r="6" ht="114" spans="1:18">
      <c r="A6" s="2730" t="s">
        <v>729</v>
      </c>
      <c r="B6" s="2731" t="s">
        <v>730</v>
      </c>
      <c r="C6" s="2732" t="s">
        <v>731</v>
      </c>
      <c r="D6" s="2733">
        <v>43852</v>
      </c>
      <c r="E6" s="2732">
        <v>0</v>
      </c>
      <c r="F6" s="2732">
        <v>101366.808</v>
      </c>
      <c r="G6" s="2732">
        <v>47115.366</v>
      </c>
      <c r="H6" s="2732">
        <v>54251.442</v>
      </c>
      <c r="I6" s="2732">
        <v>99865</v>
      </c>
      <c r="J6" s="2732" t="s">
        <v>732</v>
      </c>
      <c r="K6" s="2732" t="s">
        <v>733</v>
      </c>
      <c r="L6" s="2733">
        <v>43853</v>
      </c>
      <c r="M6" s="2732">
        <v>278800</v>
      </c>
      <c r="N6" s="2732" t="s">
        <v>734</v>
      </c>
      <c r="O6" s="2732" t="s">
        <v>735</v>
      </c>
      <c r="P6" s="2732"/>
      <c r="Q6" s="2742">
        <v>56500</v>
      </c>
      <c r="R6" s="5">
        <f t="shared" si="0"/>
        <v>27917.688879988</v>
      </c>
    </row>
    <row r="7" ht="120.75" spans="1:20">
      <c r="A7" s="2730" t="s">
        <v>736</v>
      </c>
      <c r="B7" s="2731" t="s">
        <v>737</v>
      </c>
      <c r="C7" s="2732" t="s">
        <v>738</v>
      </c>
      <c r="D7" s="2733">
        <v>43798</v>
      </c>
      <c r="E7" s="2732">
        <v>0</v>
      </c>
      <c r="F7" s="2732">
        <v>70601.065</v>
      </c>
      <c r="G7" s="2732">
        <v>70601.065</v>
      </c>
      <c r="H7" s="2732">
        <v>0</v>
      </c>
      <c r="I7" s="2732">
        <v>285523</v>
      </c>
      <c r="J7" s="2732" t="s">
        <v>732</v>
      </c>
      <c r="K7" s="2732" t="s">
        <v>739</v>
      </c>
      <c r="L7" s="2733">
        <v>43801</v>
      </c>
      <c r="M7" s="2732">
        <v>660900</v>
      </c>
      <c r="N7" s="2732" t="s">
        <v>740</v>
      </c>
      <c r="O7" s="2732" t="s">
        <v>741</v>
      </c>
      <c r="P7" s="2732"/>
      <c r="Q7" s="2742">
        <v>131000</v>
      </c>
      <c r="R7" s="5">
        <f t="shared" si="0"/>
        <v>23146.9969144342</v>
      </c>
      <c r="S7" s="5" t="s">
        <v>742</v>
      </c>
      <c r="T7" s="5">
        <v>4.04</v>
      </c>
    </row>
    <row r="8" ht="62.25" spans="1:20">
      <c r="A8" s="2734" t="s">
        <v>743</v>
      </c>
      <c r="B8" s="2735" t="s">
        <v>744</v>
      </c>
      <c r="C8" s="2736" t="s">
        <v>745</v>
      </c>
      <c r="D8" s="2737">
        <v>43636</v>
      </c>
      <c r="E8" s="2736">
        <v>103700</v>
      </c>
      <c r="F8" s="2736">
        <v>22035.93</v>
      </c>
      <c r="G8" s="2736">
        <v>22035.93</v>
      </c>
      <c r="H8" s="2736">
        <v>0</v>
      </c>
      <c r="I8" s="2736">
        <v>61700.604</v>
      </c>
      <c r="J8" s="2736" t="s">
        <v>718</v>
      </c>
      <c r="K8" s="2736" t="s">
        <v>746</v>
      </c>
      <c r="L8" s="2737">
        <v>43650</v>
      </c>
      <c r="M8" s="2736">
        <v>103700</v>
      </c>
      <c r="N8" s="2736" t="s">
        <v>747</v>
      </c>
      <c r="O8" s="2736" t="s">
        <v>748</v>
      </c>
      <c r="P8" s="2736">
        <v>0</v>
      </c>
      <c r="Q8" s="2743">
        <v>21000</v>
      </c>
      <c r="R8" s="5">
        <f t="shared" si="0"/>
        <v>16806.9667518976</v>
      </c>
      <c r="S8" s="5" t="s">
        <v>749</v>
      </c>
      <c r="T8" s="5">
        <v>2.8</v>
      </c>
    </row>
    <row r="9" ht="100.5" spans="1:20">
      <c r="A9" s="2730" t="s">
        <v>750</v>
      </c>
      <c r="B9" s="2731" t="s">
        <v>751</v>
      </c>
      <c r="C9" s="2732" t="s">
        <v>725</v>
      </c>
      <c r="D9" s="2733">
        <v>43599</v>
      </c>
      <c r="E9" s="2732">
        <v>263800</v>
      </c>
      <c r="F9" s="2732">
        <v>32158.94</v>
      </c>
      <c r="G9" s="2732">
        <v>32158.94</v>
      </c>
      <c r="H9" s="2732">
        <v>0</v>
      </c>
      <c r="I9" s="2732">
        <v>96476.82</v>
      </c>
      <c r="J9" s="2732" t="s">
        <v>718</v>
      </c>
      <c r="K9" s="2732" t="s">
        <v>752</v>
      </c>
      <c r="L9" s="2733">
        <v>43613</v>
      </c>
      <c r="M9" s="2732">
        <v>263800</v>
      </c>
      <c r="N9" s="2732" t="s">
        <v>753</v>
      </c>
      <c r="O9" s="2732" t="s">
        <v>748</v>
      </c>
      <c r="P9" s="2732">
        <v>0</v>
      </c>
      <c r="Q9" s="2742">
        <v>53000</v>
      </c>
      <c r="R9" s="5">
        <f t="shared" si="0"/>
        <v>27343.3556371365</v>
      </c>
      <c r="S9" s="5" t="s">
        <v>754</v>
      </c>
      <c r="T9" s="5">
        <v>3</v>
      </c>
    </row>
    <row r="11" spans="18:18">
      <c r="R11" s="5">
        <f>AVERAGE(R8:R9)</f>
        <v>22075.161194517</v>
      </c>
    </row>
  </sheetData>
  <mergeCells count="15">
    <mergeCell ref="F1:H1"/>
    <mergeCell ref="A1:A2"/>
    <mergeCell ref="B1:B2"/>
    <mergeCell ref="C1:C2"/>
    <mergeCell ref="D1:D2"/>
    <mergeCell ref="E1:E2"/>
    <mergeCell ref="I1:I2"/>
    <mergeCell ref="J1:J2"/>
    <mergeCell ref="K1:K2"/>
    <mergeCell ref="L1:L2"/>
    <mergeCell ref="M1:M2"/>
    <mergeCell ref="N1:N2"/>
    <mergeCell ref="O1:O2"/>
    <mergeCell ref="P1:P2"/>
    <mergeCell ref="Q1:Q2"/>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abSelected="1" topLeftCell="E28" workbookViewId="0">
      <selection activeCell="H74" sqref="H74"/>
    </sheetView>
  </sheetViews>
  <sheetFormatPr defaultColWidth="9" defaultRowHeight="14.25"/>
  <cols>
    <col min="1" max="1" width="9" style="2713"/>
    <col min="2" max="2" width="14.125" style="2713" customWidth="1"/>
    <col min="3" max="3" width="12" style="2713" customWidth="1"/>
    <col min="4" max="4" width="12.5" style="2713" customWidth="1"/>
    <col min="5" max="5" width="8.625" style="2713" customWidth="1"/>
    <col min="6" max="6" width="13" style="2713" customWidth="1"/>
    <col min="7" max="7" width="14.5" style="2713" customWidth="1"/>
    <col min="8" max="8" width="18.875" style="2713" customWidth="1"/>
    <col min="9" max="9" width="24.375" style="2713" customWidth="1"/>
    <col min="10" max="16384" width="9" style="2713"/>
  </cols>
  <sheetData>
    <row r="1" spans="1:5">
      <c r="A1" s="2713" t="s">
        <v>755</v>
      </c>
      <c r="B1" s="2713" t="s">
        <v>173</v>
      </c>
      <c r="C1" s="2713" t="s">
        <v>756</v>
      </c>
      <c r="D1" s="2713" t="s">
        <v>173</v>
      </c>
      <c r="E1" s="2713" t="s">
        <v>756</v>
      </c>
    </row>
    <row r="2" spans="1:6">
      <c r="A2" s="2713" t="s">
        <v>376</v>
      </c>
      <c r="B2" s="2713">
        <v>8170</v>
      </c>
      <c r="C2" s="2713">
        <v>12136</v>
      </c>
      <c r="D2" s="2713">
        <v>8170</v>
      </c>
      <c r="E2" s="2713">
        <v>13155</v>
      </c>
      <c r="F2" s="2713">
        <f>(C2+E2)/2</f>
        <v>12645.5</v>
      </c>
    </row>
    <row r="3" spans="1:15">
      <c r="A3" s="2713" t="s">
        <v>377</v>
      </c>
      <c r="B3" s="2713">
        <v>8140</v>
      </c>
      <c r="C3" s="2713">
        <v>11541</v>
      </c>
      <c r="D3" s="2713">
        <v>8140</v>
      </c>
      <c r="E3" s="2713">
        <v>12550</v>
      </c>
      <c r="M3" s="2713" t="s">
        <v>376</v>
      </c>
      <c r="N3" s="2713" t="s">
        <v>377</v>
      </c>
      <c r="O3" s="2713" t="s">
        <v>375</v>
      </c>
    </row>
    <row r="4" spans="12:15">
      <c r="L4" s="2718">
        <v>2021</v>
      </c>
      <c r="M4" s="2713">
        <v>1.3906</v>
      </c>
      <c r="N4" s="2713">
        <v>1.3906</v>
      </c>
      <c r="O4" s="2713">
        <v>1.7712</v>
      </c>
    </row>
    <row r="5" spans="1:15">
      <c r="A5" s="2713" t="s">
        <v>757</v>
      </c>
      <c r="L5" s="2718"/>
      <c r="M5" s="2713">
        <v>1.3906</v>
      </c>
      <c r="N5" s="2713">
        <v>1.3906</v>
      </c>
      <c r="O5" s="2713">
        <v>1.7712</v>
      </c>
    </row>
    <row r="6" spans="1:15">
      <c r="A6" s="2713" t="s">
        <v>376</v>
      </c>
      <c r="B6" s="2713">
        <v>8170</v>
      </c>
      <c r="C6" s="2713">
        <v>13640</v>
      </c>
      <c r="L6" s="2718"/>
      <c r="M6" s="2713">
        <v>1.3807</v>
      </c>
      <c r="N6" s="2713">
        <v>1.3807</v>
      </c>
      <c r="O6" s="2713">
        <v>1.7546</v>
      </c>
    </row>
    <row r="7" spans="1:15">
      <c r="A7" s="2713" t="s">
        <v>377</v>
      </c>
      <c r="B7" s="2713">
        <v>8140</v>
      </c>
      <c r="C7" s="2713">
        <v>13576</v>
      </c>
      <c r="D7" s="2713">
        <v>10490</v>
      </c>
      <c r="E7" s="2713">
        <v>12048</v>
      </c>
      <c r="L7" s="2718">
        <v>2020</v>
      </c>
      <c r="M7" s="2719">
        <v>1.3785</v>
      </c>
      <c r="N7" s="2719">
        <v>1.3785</v>
      </c>
      <c r="O7" s="2719">
        <v>1.7353</v>
      </c>
    </row>
    <row r="8" spans="5:15">
      <c r="E8" s="2713" t="s">
        <v>173</v>
      </c>
      <c r="G8" s="2713">
        <v>2018</v>
      </c>
      <c r="H8" s="2713">
        <v>2019</v>
      </c>
      <c r="I8" s="2713">
        <v>2020</v>
      </c>
      <c r="L8" s="2718"/>
      <c r="M8" s="2713">
        <v>1.3734</v>
      </c>
      <c r="N8" s="2713">
        <v>1.3734</v>
      </c>
      <c r="O8" s="2713">
        <v>1.6955</v>
      </c>
    </row>
    <row r="9" spans="5:15">
      <c r="E9" s="2713" t="s">
        <v>376</v>
      </c>
      <c r="F9" s="2713" t="e">
        <f>'[1]基准地价（商业）-满年限'!C5</f>
        <v>#DIV/0!</v>
      </c>
      <c r="G9" s="2714" t="e">
        <f>F9*M15</f>
        <v>#DIV/0!</v>
      </c>
      <c r="H9" s="2714" t="e">
        <f>F9*N11</f>
        <v>#DIV/0!</v>
      </c>
      <c r="I9" s="2714" t="e">
        <f>F9*M7</f>
        <v>#DIV/0!</v>
      </c>
      <c r="L9" s="2718"/>
      <c r="M9" s="2713">
        <v>1.3788</v>
      </c>
      <c r="N9" s="2713">
        <v>1.3788</v>
      </c>
      <c r="O9" s="2713">
        <v>1.6872</v>
      </c>
    </row>
    <row r="10" spans="5:15">
      <c r="E10" s="2713" t="s">
        <v>377</v>
      </c>
      <c r="F10" s="2713">
        <f>基准地价出结果用!C6*0.2</f>
        <v>1164</v>
      </c>
      <c r="G10" s="2714">
        <f>F10*N15</f>
        <v>1593.0504</v>
      </c>
      <c r="H10" s="2714">
        <f>F10*N11</f>
        <v>1624.0128</v>
      </c>
      <c r="I10" s="2714">
        <f>F10*N7</f>
        <v>1604.574</v>
      </c>
      <c r="L10" s="2718"/>
      <c r="M10" s="2713">
        <v>1.3896</v>
      </c>
      <c r="N10" s="2713">
        <v>1.3896</v>
      </c>
      <c r="O10" s="2713">
        <v>1.6788</v>
      </c>
    </row>
    <row r="11" spans="5:15">
      <c r="E11" s="2713" t="s">
        <v>375</v>
      </c>
      <c r="F11" s="2713">
        <f>'[1]基准地价 住宅-满年限'!C29</f>
        <v>0</v>
      </c>
      <c r="G11" s="2714">
        <f>F11*O15</f>
        <v>0</v>
      </c>
      <c r="H11" s="2714">
        <f>F11*O11</f>
        <v>0</v>
      </c>
      <c r="I11" s="2714">
        <f>F11*O7</f>
        <v>0</v>
      </c>
      <c r="L11" s="2718">
        <v>2019</v>
      </c>
      <c r="M11" s="2719">
        <v>1.3952</v>
      </c>
      <c r="N11" s="2719">
        <v>1.3952</v>
      </c>
      <c r="O11" s="2719">
        <v>1.6753</v>
      </c>
    </row>
    <row r="12" spans="2:15">
      <c r="B12" s="2713" t="s">
        <v>755</v>
      </c>
      <c r="C12" s="2713" t="s">
        <v>376</v>
      </c>
      <c r="D12" s="2713" t="s">
        <v>377</v>
      </c>
      <c r="L12" s="2718"/>
      <c r="M12" s="2713">
        <v>1.3969</v>
      </c>
      <c r="N12" s="2713">
        <v>1.3969</v>
      </c>
      <c r="O12" s="2713">
        <v>1.6663</v>
      </c>
    </row>
    <row r="13" spans="3:15">
      <c r="C13" s="2713">
        <f>C2</f>
        <v>12136</v>
      </c>
      <c r="D13" s="2713">
        <f>C3</f>
        <v>11541</v>
      </c>
      <c r="L13" s="2718"/>
      <c r="M13" s="2713">
        <v>1.3876</v>
      </c>
      <c r="N13" s="2713">
        <v>1.3876</v>
      </c>
      <c r="O13" s="2713">
        <v>1.6563</v>
      </c>
    </row>
    <row r="14" spans="3:15">
      <c r="C14" s="2713">
        <f>E2</f>
        <v>13155</v>
      </c>
      <c r="D14" s="2713">
        <f>E3</f>
        <v>12550</v>
      </c>
      <c r="L14" s="2718"/>
      <c r="M14" s="2713">
        <v>1.3737</v>
      </c>
      <c r="N14" s="2713">
        <v>1.3737</v>
      </c>
      <c r="O14" s="2713">
        <v>1.6299</v>
      </c>
    </row>
    <row r="15" s="2711" customFormat="1" spans="2:15">
      <c r="B15" s="2711" t="s">
        <v>758</v>
      </c>
      <c r="C15" s="2711">
        <f>ROUND((C13+C14)/2,0)</f>
        <v>12646</v>
      </c>
      <c r="D15" s="2711">
        <f>ROUND((D13+D14)/2,0)</f>
        <v>12046</v>
      </c>
      <c r="K15" s="2711">
        <v>1.3456</v>
      </c>
      <c r="L15" s="2720">
        <v>2018</v>
      </c>
      <c r="M15" s="2721">
        <v>1.3686</v>
      </c>
      <c r="N15" s="2721">
        <v>1.3686</v>
      </c>
      <c r="O15" s="2721">
        <v>1.6197</v>
      </c>
    </row>
    <row r="16" spans="2:15">
      <c r="B16" s="2713" t="str">
        <f>A5</f>
        <v>2019年</v>
      </c>
      <c r="C16" s="2713" t="s">
        <v>376</v>
      </c>
      <c r="D16" s="2713" t="s">
        <v>377</v>
      </c>
      <c r="L16" s="2720"/>
      <c r="M16" s="2713">
        <v>1.3547</v>
      </c>
      <c r="N16" s="2713">
        <v>1.3547</v>
      </c>
      <c r="O16" s="2713">
        <v>1.605</v>
      </c>
    </row>
    <row r="17" spans="3:15">
      <c r="C17" s="2713">
        <f>C6</f>
        <v>13640</v>
      </c>
      <c r="D17" s="2713">
        <f>C7</f>
        <v>13576</v>
      </c>
      <c r="L17" s="2720"/>
      <c r="M17" s="2713">
        <v>1.3358</v>
      </c>
      <c r="N17" s="2713">
        <v>1.3358</v>
      </c>
      <c r="O17" s="2713">
        <v>1.5809</v>
      </c>
    </row>
    <row r="18" s="2711" customFormat="1" spans="2:15">
      <c r="B18" s="2711" t="s">
        <v>758</v>
      </c>
      <c r="C18" s="2711">
        <f>C17</f>
        <v>13640</v>
      </c>
      <c r="D18" s="2711">
        <f>D17</f>
        <v>13576</v>
      </c>
      <c r="L18" s="2720"/>
      <c r="M18" s="2711">
        <v>1.3231</v>
      </c>
      <c r="N18" s="2711">
        <v>1.3231</v>
      </c>
      <c r="O18" s="2711">
        <v>1.5564</v>
      </c>
    </row>
    <row r="20" spans="2:2">
      <c r="B20" s="2713">
        <v>2018</v>
      </c>
    </row>
    <row r="21" spans="3:4">
      <c r="C21" s="2713">
        <v>15424</v>
      </c>
      <c r="D21" s="2713">
        <v>13971</v>
      </c>
    </row>
    <row r="22" s="2712" customFormat="1" spans="4:4">
      <c r="D22" s="2712">
        <v>13971</v>
      </c>
    </row>
    <row r="23" s="2711" customFormat="1" spans="2:4">
      <c r="B23" s="2711" t="s">
        <v>758</v>
      </c>
      <c r="C23" s="2715">
        <f>AVERAGE(C20:C21)</f>
        <v>15424</v>
      </c>
      <c r="D23" s="2711">
        <f>AVERAGE(D20:D22)</f>
        <v>13971</v>
      </c>
    </row>
    <row r="27" spans="6:9">
      <c r="F27" s="2713" t="s">
        <v>173</v>
      </c>
      <c r="G27" s="2713" t="s">
        <v>759</v>
      </c>
      <c r="H27" s="2713" t="s">
        <v>760</v>
      </c>
      <c r="I27" s="2713" t="s">
        <v>761</v>
      </c>
    </row>
    <row r="28" spans="4:9">
      <c r="D28" s="2713" t="s">
        <v>376</v>
      </c>
      <c r="E28" s="2713" t="s">
        <v>762</v>
      </c>
      <c r="F28" s="2716" t="e">
        <f>G9</f>
        <v>#DIV/0!</v>
      </c>
      <c r="G28" s="2716">
        <v>20066</v>
      </c>
      <c r="I28" s="2717">
        <f>[1]结果汇总表!E12</f>
        <v>3037</v>
      </c>
    </row>
    <row r="29" spans="5:9">
      <c r="E29" s="2713" t="s">
        <v>757</v>
      </c>
      <c r="F29" s="2716" t="e">
        <f>H9</f>
        <v>#DIV/0!</v>
      </c>
      <c r="G29" s="2713">
        <v>21264</v>
      </c>
      <c r="H29" s="2716">
        <v>22423</v>
      </c>
      <c r="I29" s="2717">
        <f>I28</f>
        <v>3037</v>
      </c>
    </row>
    <row r="30" spans="5:9">
      <c r="E30" s="2713" t="s">
        <v>755</v>
      </c>
      <c r="F30" s="2716" t="e">
        <f>I9</f>
        <v>#DIV/0!</v>
      </c>
      <c r="G30" s="2713">
        <v>19215</v>
      </c>
      <c r="H30" s="2716">
        <v>31358</v>
      </c>
      <c r="I30" s="2717">
        <f>I28</f>
        <v>3037</v>
      </c>
    </row>
    <row r="31" spans="6:9">
      <c r="F31" s="2713" t="s">
        <v>173</v>
      </c>
      <c r="G31" s="2713" t="s">
        <v>759</v>
      </c>
      <c r="H31" s="2713" t="s">
        <v>760</v>
      </c>
      <c r="I31" s="2713" t="s">
        <v>761</v>
      </c>
    </row>
    <row r="32" spans="4:16">
      <c r="D32" s="2713" t="s">
        <v>377</v>
      </c>
      <c r="E32" s="2713" t="s">
        <v>762</v>
      </c>
      <c r="F32" s="2716">
        <f>G10</f>
        <v>1593.0504</v>
      </c>
      <c r="G32" s="2713">
        <f>[1]土地案例!T7</f>
        <v>3659</v>
      </c>
      <c r="I32" s="2717">
        <f ca="1">结果汇总表!E12</f>
        <v>1748</v>
      </c>
      <c r="K32" s="2713" t="s">
        <v>763</v>
      </c>
      <c r="L32" s="2713" t="s">
        <v>764</v>
      </c>
      <c r="M32" s="2713">
        <f>[1]结果汇总表!G24</f>
        <v>9364</v>
      </c>
      <c r="N32" s="2713">
        <v>0.3</v>
      </c>
      <c r="O32" s="2713">
        <f>M32*N32+M33*N33+M34*N34</f>
        <v>10960</v>
      </c>
      <c r="P32" s="2713">
        <v>4071</v>
      </c>
    </row>
    <row r="33" spans="5:14">
      <c r="E33" s="2713" t="s">
        <v>757</v>
      </c>
      <c r="F33" s="2716">
        <f>H10</f>
        <v>1624.0128</v>
      </c>
      <c r="G33" s="2713">
        <f>[1]土地案例!T14</f>
        <v>3551</v>
      </c>
      <c r="H33" s="2716"/>
      <c r="I33" s="2717">
        <f ca="1">I32</f>
        <v>1748</v>
      </c>
      <c r="L33" s="2713" t="s">
        <v>765</v>
      </c>
      <c r="M33" s="2713">
        <f>[1]结果汇总表!G25</f>
        <v>10076</v>
      </c>
      <c r="N33" s="2713">
        <v>0.3</v>
      </c>
    </row>
    <row r="34" spans="5:14">
      <c r="E34" s="2713" t="s">
        <v>755</v>
      </c>
      <c r="F34" s="2716">
        <f>I10</f>
        <v>1604.574</v>
      </c>
      <c r="G34" s="2713">
        <v>0</v>
      </c>
      <c r="H34" s="2716"/>
      <c r="I34" s="2717">
        <f ca="1">I32</f>
        <v>1748</v>
      </c>
      <c r="L34" s="2713" t="s">
        <v>766</v>
      </c>
      <c r="M34" s="2713">
        <f>[1]结果汇总表!G26</f>
        <v>12820</v>
      </c>
      <c r="N34" s="2713">
        <v>0.4</v>
      </c>
    </row>
    <row r="36" spans="6:9">
      <c r="F36" s="2713" t="s">
        <v>173</v>
      </c>
      <c r="G36" s="2713" t="s">
        <v>759</v>
      </c>
      <c r="H36" s="2713" t="s">
        <v>760</v>
      </c>
      <c r="I36" s="2713" t="s">
        <v>767</v>
      </c>
    </row>
    <row r="37" spans="4:9">
      <c r="D37" s="2713" t="s">
        <v>375</v>
      </c>
      <c r="E37" s="2713" t="s">
        <v>762</v>
      </c>
      <c r="F37" s="2716">
        <f>G11</f>
        <v>0</v>
      </c>
      <c r="G37" s="2713">
        <v>21765</v>
      </c>
      <c r="H37" s="2713">
        <v>40865</v>
      </c>
      <c r="I37" s="2717">
        <f>[1]结果汇总表!E9</f>
        <v>12824</v>
      </c>
    </row>
    <row r="38" spans="5:9">
      <c r="E38" s="2713" t="s">
        <v>757</v>
      </c>
      <c r="F38" s="2716">
        <f>H11</f>
        <v>0</v>
      </c>
      <c r="H38" s="2716">
        <v>24865</v>
      </c>
      <c r="I38" s="2717">
        <f>I37</f>
        <v>12824</v>
      </c>
    </row>
    <row r="39" spans="5:9">
      <c r="E39" s="2713" t="s">
        <v>755</v>
      </c>
      <c r="F39" s="2716">
        <f>I11</f>
        <v>0</v>
      </c>
      <c r="G39" s="2713">
        <v>19622</v>
      </c>
      <c r="H39" s="2716">
        <v>48354</v>
      </c>
      <c r="I39" s="2717">
        <f>I37</f>
        <v>12824</v>
      </c>
    </row>
    <row r="40" spans="6:7">
      <c r="F40" s="2716"/>
      <c r="G40" s="2716"/>
    </row>
    <row r="41" spans="5:7">
      <c r="E41" s="2717"/>
      <c r="F41" s="2717"/>
      <c r="G41" s="2717"/>
    </row>
  </sheetData>
  <mergeCells count="4">
    <mergeCell ref="L4:L6"/>
    <mergeCell ref="L7:L10"/>
    <mergeCell ref="L11:L14"/>
    <mergeCell ref="L15:L18"/>
  </mergeCells>
  <pageMargins left="0.7" right="0.7" top="0.75" bottom="0.75" header="0.3" footer="0.3"/>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67"/>
  <sheetViews>
    <sheetView zoomScale="80" zoomScaleNormal="80" workbookViewId="0">
      <selection activeCell="E42" sqref="E42:E43"/>
    </sheetView>
  </sheetViews>
  <sheetFormatPr defaultColWidth="9" defaultRowHeight="13.5"/>
  <cols>
    <col min="1" max="1" width="13.25" customWidth="1"/>
    <col min="2" max="2" width="17.125" customWidth="1"/>
    <col min="3" max="3" width="10.875" customWidth="1"/>
    <col min="4" max="4" width="14" customWidth="1"/>
    <col min="5" max="5" width="14.75" customWidth="1"/>
    <col min="6" max="6" width="12.25" customWidth="1"/>
    <col min="7" max="7" width="17" customWidth="1"/>
    <col min="8" max="8" width="10.5" customWidth="1"/>
    <col min="9" max="9" width="12.875" customWidth="1"/>
    <col min="10" max="10" width="16" customWidth="1"/>
    <col min="11" max="11" width="11.375" customWidth="1"/>
    <col min="12" max="12" width="10.875" customWidth="1"/>
    <col min="13" max="13" width="12.625" customWidth="1"/>
    <col min="14" max="14" width="14.125" customWidth="1"/>
    <col min="15" max="15" width="13.125" customWidth="1"/>
  </cols>
  <sheetData>
    <row r="1" ht="28.5" customHeight="1" spans="1:10">
      <c r="A1" s="2621" t="s">
        <v>348</v>
      </c>
      <c r="B1" s="2621" t="s">
        <v>768</v>
      </c>
      <c r="C1" s="2621" t="s">
        <v>769</v>
      </c>
      <c r="D1" s="2621" t="s">
        <v>770</v>
      </c>
      <c r="E1" s="2621" t="s">
        <v>771</v>
      </c>
      <c r="F1" s="2621" t="s">
        <v>772</v>
      </c>
      <c r="G1" s="2622" t="s">
        <v>773</v>
      </c>
      <c r="H1" s="2622" t="s">
        <v>774</v>
      </c>
      <c r="I1" s="2622" t="s">
        <v>775</v>
      </c>
      <c r="J1" s="2622" t="s">
        <v>776</v>
      </c>
    </row>
    <row r="2" hidden="1" spans="1:9">
      <c r="A2" s="2623" t="s">
        <v>777</v>
      </c>
      <c r="B2" s="2624" t="s">
        <v>764</v>
      </c>
      <c r="C2" s="2624">
        <f>'[1]基准地价 住宅-满年限'!C29</f>
        <v>0</v>
      </c>
      <c r="D2" s="2623">
        <v>0.4</v>
      </c>
      <c r="E2" s="2625" t="e">
        <f>ROUND(C2*D2+C3*D3+C4*D4,0)</f>
        <v>#DIV/0!</v>
      </c>
      <c r="F2" s="2626" t="e">
        <f>ROUND(E2*0.25,0)</f>
        <v>#DIV/0!</v>
      </c>
      <c r="G2" s="2627" t="e">
        <f>E2-E5</f>
        <v>#DIV/0!</v>
      </c>
      <c r="H2" s="2628">
        <f>[1]面积信息!G3</f>
        <v>0</v>
      </c>
      <c r="I2" s="2654" t="e">
        <f>G2*H2/10000</f>
        <v>#DIV/0!</v>
      </c>
    </row>
    <row r="3" hidden="1" customHeight="1" spans="1:9">
      <c r="A3" s="2623"/>
      <c r="B3" s="2624" t="s">
        <v>765</v>
      </c>
      <c r="C3" s="2624" t="e">
        <f>[1]剩余法住宅!B3</f>
        <v>#DIV/0!</v>
      </c>
      <c r="D3" s="2624">
        <f>1-D2</f>
        <v>0.6</v>
      </c>
      <c r="E3" s="2629"/>
      <c r="F3" s="2630"/>
      <c r="G3" s="2627"/>
      <c r="H3" s="2628"/>
      <c r="I3" s="2654"/>
    </row>
    <row r="4" hidden="1" spans="1:9">
      <c r="A4" s="2623"/>
      <c r="B4" s="2623" t="s">
        <v>766</v>
      </c>
      <c r="C4" s="2624"/>
      <c r="D4" s="2624">
        <v>0</v>
      </c>
      <c r="E4" s="2631"/>
      <c r="F4" s="2632"/>
      <c r="G4" s="2627"/>
      <c r="H4" s="2628"/>
      <c r="I4" s="2654"/>
    </row>
    <row r="5" hidden="1" spans="1:9">
      <c r="A5" s="2633" t="s">
        <v>778</v>
      </c>
      <c r="B5" s="2634" t="s">
        <v>764</v>
      </c>
      <c r="C5" s="2634" t="e">
        <f>'[1]基准地价（商业）-满年限'!C29</f>
        <v>#DIV/0!</v>
      </c>
      <c r="D5" s="2635">
        <v>0.3</v>
      </c>
      <c r="E5" s="2636" t="e">
        <f>ROUND(C5*D5+C7*D7+C8*D8,0)</f>
        <v>#DIV/0!</v>
      </c>
      <c r="F5" s="2637" t="e">
        <f>ROUND(E5*0.25,0)</f>
        <v>#DIV/0!</v>
      </c>
      <c r="G5" s="2627"/>
      <c r="H5" s="2628"/>
      <c r="I5" s="2654"/>
    </row>
    <row r="6" hidden="1" customHeight="1" spans="1:9">
      <c r="A6" s="2633"/>
      <c r="B6" s="2634"/>
      <c r="C6" s="2634"/>
      <c r="D6" s="2635"/>
      <c r="E6" s="2638"/>
      <c r="F6" s="2639"/>
      <c r="G6" s="2627"/>
      <c r="H6" s="2628"/>
      <c r="I6" s="2654"/>
    </row>
    <row r="7" hidden="1" customHeight="1" spans="1:9">
      <c r="A7" s="2633"/>
      <c r="B7" s="2634" t="s">
        <v>765</v>
      </c>
      <c r="C7" s="2634" t="e">
        <f>'[1]剩余法-待开发（商业）'!B3</f>
        <v>#N/A</v>
      </c>
      <c r="D7" s="2635">
        <v>0.3</v>
      </c>
      <c r="E7" s="2638"/>
      <c r="F7" s="2639"/>
      <c r="G7" s="2627"/>
      <c r="H7" s="2628"/>
      <c r="I7" s="2654"/>
    </row>
    <row r="8" hidden="1" customHeight="1" spans="1:9">
      <c r="A8" s="2633"/>
      <c r="B8" s="2633" t="s">
        <v>766</v>
      </c>
      <c r="C8" s="2634" t="e">
        <f>'[1]比较法-商业土地'!B3</f>
        <v>#DIV/0!</v>
      </c>
      <c r="D8" s="2635">
        <v>0.4</v>
      </c>
      <c r="E8" s="2640"/>
      <c r="F8" s="2641"/>
      <c r="G8" s="2627"/>
      <c r="H8" s="2628"/>
      <c r="I8" s="2654"/>
    </row>
    <row r="9" ht="18" customHeight="1" spans="1:10">
      <c r="A9" s="2642" t="s">
        <v>451</v>
      </c>
      <c r="B9" s="2643" t="s">
        <v>764</v>
      </c>
      <c r="C9" s="2644">
        <f ca="1">基准地价出结果用!B3</f>
        <v>8993</v>
      </c>
      <c r="D9" s="2644">
        <v>0.5</v>
      </c>
      <c r="E9" s="2645">
        <f ca="1">ROUND(C9*D9+C10*D10+C11*D11,0)</f>
        <v>8959</v>
      </c>
      <c r="F9" s="2646">
        <f ca="1">ROUND(E9*0.25,0)</f>
        <v>2240</v>
      </c>
      <c r="G9" s="2647">
        <f ca="1">E9</f>
        <v>8959</v>
      </c>
      <c r="H9" s="2648">
        <f>面积表!H6</f>
        <v>58.7099999999991</v>
      </c>
      <c r="I9" s="2654"/>
      <c r="J9" s="2654">
        <f ca="1">ROUND(G9*H9/10000,4)</f>
        <v>52.5983</v>
      </c>
    </row>
    <row r="10" customHeight="1" spans="1:10">
      <c r="A10" s="2642"/>
      <c r="B10" s="2643" t="s">
        <v>765</v>
      </c>
      <c r="C10" s="2644">
        <f ca="1">'剩余法-待开发'!B3</f>
        <v>8925</v>
      </c>
      <c r="D10" s="2644">
        <f>1-D9</f>
        <v>0.5</v>
      </c>
      <c r="E10" s="2649"/>
      <c r="F10" s="2650"/>
      <c r="G10" s="2647"/>
      <c r="H10" s="2648"/>
      <c r="I10" s="2654"/>
      <c r="J10" s="2654"/>
    </row>
    <row r="11" customHeight="1" spans="1:10">
      <c r="A11" s="2642"/>
      <c r="B11" s="2642" t="s">
        <v>766</v>
      </c>
      <c r="C11" s="2644"/>
      <c r="D11" s="2644">
        <v>0</v>
      </c>
      <c r="E11" s="2651"/>
      <c r="F11" s="2652"/>
      <c r="G11" s="2647"/>
      <c r="H11" s="2648"/>
      <c r="I11" s="2654"/>
      <c r="J11" s="2654"/>
    </row>
    <row r="12" customHeight="1" spans="1:10">
      <c r="A12" s="2633" t="s">
        <v>453</v>
      </c>
      <c r="B12" s="2634" t="s">
        <v>764</v>
      </c>
      <c r="C12" s="2635">
        <f ca="1">基准地价出结果用!C37</f>
        <v>1710</v>
      </c>
      <c r="D12" s="2635">
        <f>D9</f>
        <v>0.5</v>
      </c>
      <c r="E12" s="2636">
        <f ca="1">ROUND(C12*D12+C13*D13+C14*D14,0)</f>
        <v>1748</v>
      </c>
      <c r="F12" s="2637">
        <f ca="1">ROUND(E12*0.25,0)</f>
        <v>437</v>
      </c>
      <c r="G12" s="2653">
        <f ca="1">C12/C13</f>
        <v>0.957983193277311</v>
      </c>
      <c r="H12" s="2654">
        <f>面积表!H8</f>
        <v>4312.67</v>
      </c>
      <c r="I12" s="2654">
        <f ca="1">ROUND(E12*H12/10000,4)</f>
        <v>753.8547</v>
      </c>
      <c r="J12" s="2654">
        <f ca="1">ROUND(F12*H12/10000,4)</f>
        <v>188.4637</v>
      </c>
    </row>
    <row r="13" customHeight="1" spans="1:10">
      <c r="A13" s="2633"/>
      <c r="B13" s="2634" t="s">
        <v>765</v>
      </c>
      <c r="C13" s="2635">
        <f ca="1">ROUND(C10*基准地价出结果用!F37*基准地价出结果用!C41,0)</f>
        <v>1785</v>
      </c>
      <c r="D13" s="2635">
        <f>D10</f>
        <v>0.5</v>
      </c>
      <c r="E13" s="2638"/>
      <c r="F13" s="2639"/>
      <c r="G13" s="2653">
        <f ca="1">C13/C12</f>
        <v>1.04385964912281</v>
      </c>
      <c r="H13" s="2654"/>
      <c r="I13" s="2654"/>
      <c r="J13" s="2654"/>
    </row>
    <row r="14" customHeight="1" spans="1:10">
      <c r="A14" s="2633"/>
      <c r="B14" s="2633" t="s">
        <v>766</v>
      </c>
      <c r="C14" s="2635"/>
      <c r="D14" s="2635">
        <v>0</v>
      </c>
      <c r="E14" s="2640"/>
      <c r="F14" s="2641"/>
      <c r="G14" s="2653"/>
      <c r="H14" s="2654"/>
      <c r="I14" s="2654"/>
      <c r="J14" s="2654"/>
    </row>
    <row r="15" ht="18" hidden="1" customHeight="1" spans="1:8">
      <c r="A15" s="2655" t="s">
        <v>779</v>
      </c>
      <c r="B15" s="2656" t="s">
        <v>764</v>
      </c>
      <c r="C15" s="2657" t="e">
        <f>'[1]基准地价（商业）-满年限'!C34</f>
        <v>#DIV/0!</v>
      </c>
      <c r="D15" s="2657">
        <f>D12</f>
        <v>0.5</v>
      </c>
      <c r="E15" s="2658" t="e">
        <f>ROUND(C15*D15+C16*D16+C17*D17,0)</f>
        <v>#DIV/0!</v>
      </c>
      <c r="F15" s="2659" t="e">
        <f>ROUND(E15*0.25,0)</f>
        <v>#DIV/0!</v>
      </c>
      <c r="G15" s="2660" t="e">
        <f>#REF!</f>
        <v>#REF!</v>
      </c>
      <c r="H15" t="e">
        <f>C15*$G$15</f>
        <v>#DIV/0!</v>
      </c>
    </row>
    <row r="16" hidden="1" customHeight="1" spans="1:6">
      <c r="A16" s="2661"/>
      <c r="B16" s="2656" t="s">
        <v>765</v>
      </c>
      <c r="C16" s="2657" t="e">
        <f>ROUND(C7*0.4,0)</f>
        <v>#N/A</v>
      </c>
      <c r="D16" s="2657">
        <f>D13</f>
        <v>0.5</v>
      </c>
      <c r="E16" s="2662"/>
      <c r="F16" s="2663"/>
    </row>
    <row r="17" hidden="1" customHeight="1" spans="1:6">
      <c r="A17" s="2664"/>
      <c r="B17" s="2656" t="s">
        <v>766</v>
      </c>
      <c r="C17" s="2657" t="e">
        <f>ROUND(C8*0.4,0)</f>
        <v>#DIV/0!</v>
      </c>
      <c r="D17" s="2657">
        <f>D8</f>
        <v>0.4</v>
      </c>
      <c r="E17" s="2665"/>
      <c r="F17" s="2666"/>
    </row>
    <row r="18" hidden="1" customHeight="1" spans="1:10">
      <c r="A18" s="2642" t="s">
        <v>780</v>
      </c>
      <c r="B18" s="2643" t="s">
        <v>764</v>
      </c>
      <c r="C18" s="2644">
        <f>'[1]基准地价 (办公)'!C38</f>
        <v>2926</v>
      </c>
      <c r="D18" s="2644">
        <v>0.5</v>
      </c>
      <c r="E18" s="2645">
        <f ca="1">ROUND(C18*D18+C19*D19+C20*D20,0)</f>
        <v>2545</v>
      </c>
      <c r="F18" s="2646">
        <f ca="1">ROUND(E18*0.25,0)</f>
        <v>636</v>
      </c>
      <c r="H18" s="2648">
        <f>[1]面积信息!J4</f>
        <v>6633.04</v>
      </c>
      <c r="I18" s="2654">
        <f ca="1">ROUND(H18*E18/10000,4)</f>
        <v>1688.1087</v>
      </c>
      <c r="J18" s="2654">
        <f ca="1">ROUND(F18*H18/10000,4)</f>
        <v>421.8613</v>
      </c>
    </row>
    <row r="19" hidden="1" spans="1:10">
      <c r="A19" s="2642"/>
      <c r="B19" s="2643" t="s">
        <v>765</v>
      </c>
      <c r="C19" s="2644">
        <f ca="1">ROUND(C10*0.25*'[1]基准地价 (办公)'!C41,0)</f>
        <v>2163</v>
      </c>
      <c r="D19" s="2644">
        <f>1-D18</f>
        <v>0.5</v>
      </c>
      <c r="E19" s="2649"/>
      <c r="F19" s="2650"/>
      <c r="H19" s="2648"/>
      <c r="I19" s="2654"/>
      <c r="J19" s="2654"/>
    </row>
    <row r="20" hidden="1" spans="1:10">
      <c r="A20" s="2642"/>
      <c r="B20" s="2642" t="s">
        <v>766</v>
      </c>
      <c r="C20" s="2644"/>
      <c r="D20" s="2644">
        <v>0</v>
      </c>
      <c r="E20" s="2651"/>
      <c r="F20" s="2652"/>
      <c r="H20" s="2648"/>
      <c r="I20" s="2654"/>
      <c r="J20" s="2654"/>
    </row>
    <row r="21" hidden="1" customHeight="1" spans="1:8">
      <c r="A21" s="2656" t="s">
        <v>781</v>
      </c>
      <c r="B21" s="2656" t="s">
        <v>764</v>
      </c>
      <c r="C21" s="2657" t="e">
        <f>'[1]基准地价（商业）-满年限'!C38</f>
        <v>#DIV/0!</v>
      </c>
      <c r="D21" s="2656">
        <f>D5</f>
        <v>0.3</v>
      </c>
      <c r="E21" s="2655" t="e">
        <f>ROUND(C21*D21+C22*D22+C23*D23,0)</f>
        <v>#DIV/0!</v>
      </c>
      <c r="F21" s="2667" t="e">
        <f>ROUND(E21*0.25,0)</f>
        <v>#DIV/0!</v>
      </c>
      <c r="G21" t="e">
        <f>#REF!</f>
        <v>#REF!</v>
      </c>
      <c r="H21" t="e">
        <f>C21*$G$21</f>
        <v>#DIV/0!</v>
      </c>
    </row>
    <row r="22" hidden="1" customHeight="1" spans="1:6">
      <c r="A22" s="2656"/>
      <c r="B22" s="2656" t="s">
        <v>765</v>
      </c>
      <c r="C22" s="2657" t="e">
        <f>ROUND(C7*0.25,0)</f>
        <v>#N/A</v>
      </c>
      <c r="D22" s="2656">
        <f>D7</f>
        <v>0.3</v>
      </c>
      <c r="E22" s="2661"/>
      <c r="F22" s="2668"/>
    </row>
    <row r="23" hidden="1" spans="1:6">
      <c r="A23" s="2656"/>
      <c r="B23" s="2656" t="s">
        <v>766</v>
      </c>
      <c r="C23" s="2657" t="e">
        <f>ROUND(C8*0.25,0)</f>
        <v>#DIV/0!</v>
      </c>
      <c r="D23" s="2656">
        <f>D8</f>
        <v>0.4</v>
      </c>
      <c r="E23" s="2664"/>
      <c r="F23" s="2669"/>
    </row>
    <row r="24" ht="18" spans="1:10">
      <c r="A24" s="2633" t="s">
        <v>383</v>
      </c>
      <c r="B24" s="2634" t="s">
        <v>764</v>
      </c>
      <c r="C24" s="2635">
        <f ca="1">基准地价出结果用!C39</f>
        <v>1283</v>
      </c>
      <c r="D24" s="2634">
        <f>D12</f>
        <v>0.5</v>
      </c>
      <c r="E24" s="2670">
        <f ca="1">ROUND(C24*D24+C25*D25+C26*D26,0)</f>
        <v>1311</v>
      </c>
      <c r="F24" s="2670">
        <f ca="1">ROUND(E24*0.25,0)</f>
        <v>328</v>
      </c>
      <c r="G24" s="2653">
        <f ca="1">C24/C25</f>
        <v>0.958177744585512</v>
      </c>
      <c r="H24" s="2648">
        <f>面积表!H9</f>
        <v>-3533.02</v>
      </c>
      <c r="I24" s="2654">
        <f ca="1">ROUND(H24*E24/10000,4)</f>
        <v>-463.1789</v>
      </c>
      <c r="J24" s="2654">
        <f ca="1">ROUND(F24*H24/10000,4)</f>
        <v>-115.8831</v>
      </c>
    </row>
    <row r="25" ht="18" spans="1:10">
      <c r="A25" s="2633"/>
      <c r="B25" s="2634" t="s">
        <v>765</v>
      </c>
      <c r="C25" s="2635">
        <f ca="1">ROUND(C10*基准地价出结果用!F39*基准地价出结果用!C41,0)</f>
        <v>1339</v>
      </c>
      <c r="D25" s="2634">
        <f>D13</f>
        <v>0.5</v>
      </c>
      <c r="E25" s="2671"/>
      <c r="F25" s="2671"/>
      <c r="G25" s="2653">
        <f ca="1">C25/C24</f>
        <v>1.04364770070148</v>
      </c>
      <c r="H25" s="2654"/>
      <c r="I25" s="2654"/>
      <c r="J25" s="2654"/>
    </row>
    <row r="26" spans="1:10">
      <c r="A26" s="2633"/>
      <c r="B26" s="2634" t="s">
        <v>766</v>
      </c>
      <c r="C26" s="2635"/>
      <c r="D26" s="2634">
        <v>0</v>
      </c>
      <c r="E26" s="2672"/>
      <c r="F26" s="2672"/>
      <c r="G26">
        <f t="shared" ref="G26" si="0">C26*4</f>
        <v>0</v>
      </c>
      <c r="H26" s="2654"/>
      <c r="I26" s="2654"/>
      <c r="J26" s="2654"/>
    </row>
    <row r="27" hidden="1" spans="1:6">
      <c r="A27" s="2656" t="s">
        <v>763</v>
      </c>
      <c r="B27" s="2656" t="s">
        <v>764</v>
      </c>
      <c r="C27" s="2656">
        <f>'[1]基准地价 (办公)'!C29</f>
        <v>12659</v>
      </c>
      <c r="D27" s="2656">
        <v>0.3</v>
      </c>
      <c r="E27" s="2655">
        <f>ROUND(C27*D27+C28*D28+C29*D29,0)</f>
        <v>9311</v>
      </c>
      <c r="F27" s="2655">
        <f>ROUND(E27*0.25,0)</f>
        <v>2328</v>
      </c>
    </row>
    <row r="28" hidden="1" spans="1:6">
      <c r="A28" s="2656"/>
      <c r="B28" s="2656" t="s">
        <v>765</v>
      </c>
      <c r="C28" s="2656">
        <f>'[1]剩余法-待开发 (研发)'!B3</f>
        <v>12988</v>
      </c>
      <c r="D28" s="2656">
        <v>0.3</v>
      </c>
      <c r="E28" s="2661"/>
      <c r="F28" s="2661"/>
    </row>
    <row r="29" hidden="1" spans="1:6">
      <c r="A29" s="2656"/>
      <c r="B29" s="2673" t="s">
        <v>766</v>
      </c>
      <c r="C29" s="2656">
        <f>'[1]比较法-地下研发'!C49</f>
        <v>4041</v>
      </c>
      <c r="D29" s="2656">
        <v>0.4</v>
      </c>
      <c r="E29" s="2664"/>
      <c r="F29" s="2664"/>
    </row>
    <row r="30" hidden="1" spans="1:6">
      <c r="A30" s="2674" t="s">
        <v>782</v>
      </c>
      <c r="B30" s="2674" t="s">
        <v>764</v>
      </c>
      <c r="C30" s="2674" t="e">
        <f ca="1">ROUND((C12*#REF!+#REF!*C15)/#REF!,0)</f>
        <v>#REF!</v>
      </c>
      <c r="D30" s="2674">
        <f t="shared" ref="D30:D32" si="1">D12</f>
        <v>0.5</v>
      </c>
      <c r="E30" s="2675" t="e">
        <f ca="1">ROUND(C30*D30+C31*D31+C32*D32,0)</f>
        <v>#REF!</v>
      </c>
      <c r="F30" s="2675" t="e">
        <f ca="1">ROUND(E30*0.25,0)</f>
        <v>#REF!</v>
      </c>
    </row>
    <row r="31" hidden="1" spans="1:6">
      <c r="A31" s="2674"/>
      <c r="B31" s="2674" t="s">
        <v>765</v>
      </c>
      <c r="C31" s="2674" t="e">
        <f ca="1">ROUND((C13*#REF!+#REF!*C16)/#REF!,0)</f>
        <v>#REF!</v>
      </c>
      <c r="D31" s="2674">
        <f t="shared" si="1"/>
        <v>0.5</v>
      </c>
      <c r="E31" s="2676"/>
      <c r="F31" s="2676"/>
    </row>
    <row r="32" hidden="1" spans="1:6">
      <c r="A32" s="2674"/>
      <c r="B32" s="2674" t="s">
        <v>766</v>
      </c>
      <c r="C32" s="2674" t="e">
        <f>ROUND((C14*#REF!+#REF!*C17)/#REF!,0)</f>
        <v>#REF!</v>
      </c>
      <c r="D32" s="2674">
        <f t="shared" si="1"/>
        <v>0</v>
      </c>
      <c r="E32" s="2677"/>
      <c r="F32" s="2677"/>
    </row>
    <row r="40" ht="27" customHeight="1"/>
    <row r="41" ht="14.25" spans="1:1">
      <c r="A41" s="1100" t="s">
        <v>783</v>
      </c>
    </row>
    <row r="42" ht="14.25" spans="1:7">
      <c r="A42" s="2678" t="s">
        <v>784</v>
      </c>
      <c r="B42" s="2679" t="s">
        <v>785</v>
      </c>
      <c r="C42" s="2679" t="s">
        <v>348</v>
      </c>
      <c r="D42" s="2679" t="s">
        <v>786</v>
      </c>
      <c r="E42" s="2679" t="s">
        <v>787</v>
      </c>
      <c r="F42" s="2679" t="s">
        <v>788</v>
      </c>
      <c r="G42" s="2679" t="s">
        <v>789</v>
      </c>
    </row>
    <row r="43" ht="14.25" spans="1:7">
      <c r="A43" s="2678"/>
      <c r="B43" s="2679"/>
      <c r="C43" s="2679"/>
      <c r="D43" s="2679"/>
      <c r="E43" s="2679"/>
      <c r="F43" s="2679"/>
      <c r="G43" s="2680" t="s">
        <v>790</v>
      </c>
    </row>
    <row r="44" ht="27.75" spans="1:7">
      <c r="A44" s="2681" t="s">
        <v>491</v>
      </c>
      <c r="B44" s="2682" t="s">
        <v>791</v>
      </c>
      <c r="C44" s="2679" t="s">
        <v>792</v>
      </c>
      <c r="D44" s="2683">
        <f ca="1">E12</f>
        <v>1748</v>
      </c>
      <c r="E44" s="2684">
        <f ca="1">D44-D45</f>
        <v>437</v>
      </c>
      <c r="F44" s="2684">
        <v>3533.02</v>
      </c>
      <c r="G44" s="2684">
        <f ca="1">ROUND(F44*E44/10000,4)</f>
        <v>154.393</v>
      </c>
    </row>
    <row r="45" ht="27.75" spans="1:7">
      <c r="A45" s="2681"/>
      <c r="B45" s="2685"/>
      <c r="C45" s="2680" t="s">
        <v>793</v>
      </c>
      <c r="D45" s="2686">
        <f ca="1">E24</f>
        <v>1311</v>
      </c>
      <c r="E45" s="2686"/>
      <c r="F45" s="2686"/>
      <c r="G45" s="2686"/>
    </row>
    <row r="46" ht="15" spans="1:7">
      <c r="A46" s="2681"/>
      <c r="B46" s="2687" t="s">
        <v>514</v>
      </c>
      <c r="C46" s="2687"/>
      <c r="D46" s="2687"/>
      <c r="E46" s="2687"/>
      <c r="F46" s="2688">
        <f>F44</f>
        <v>3533.02</v>
      </c>
      <c r="G46" s="2689">
        <f ca="1">G44</f>
        <v>154.393</v>
      </c>
    </row>
    <row r="47" ht="15" spans="1:7">
      <c r="A47" s="2690" t="s">
        <v>511</v>
      </c>
      <c r="B47" s="2690"/>
      <c r="C47" s="2690"/>
      <c r="D47" s="2690"/>
      <c r="E47" s="2690"/>
      <c r="F47" s="2686">
        <f>F46</f>
        <v>3533.02</v>
      </c>
      <c r="G47" s="2691">
        <f ca="1">G46</f>
        <v>154.393</v>
      </c>
    </row>
    <row r="50" spans="1:8">
      <c r="A50" s="2654"/>
      <c r="B50" s="2654"/>
      <c r="C50" s="2654"/>
      <c r="D50" s="2654"/>
      <c r="E50" s="2654"/>
      <c r="F50" s="2654"/>
      <c r="G50" s="2654"/>
      <c r="H50" s="2654"/>
    </row>
    <row r="51" ht="14.25" spans="1:8">
      <c r="A51" s="2692" t="s">
        <v>772</v>
      </c>
      <c r="B51" s="2654"/>
      <c r="C51" s="2654"/>
      <c r="D51" s="2654"/>
      <c r="E51" s="2654"/>
      <c r="F51" s="2654"/>
      <c r="G51" s="2654"/>
      <c r="H51" s="2654"/>
    </row>
    <row r="52" ht="27.75" spans="1:7">
      <c r="A52" s="2678" t="s">
        <v>784</v>
      </c>
      <c r="B52" s="2679" t="s">
        <v>785</v>
      </c>
      <c r="C52" s="2679" t="s">
        <v>348</v>
      </c>
      <c r="D52" s="2679" t="s">
        <v>794</v>
      </c>
      <c r="E52" s="2679" t="s">
        <v>787</v>
      </c>
      <c r="F52" s="2679" t="s">
        <v>788</v>
      </c>
      <c r="G52" s="2679" t="s">
        <v>795</v>
      </c>
    </row>
    <row r="53" ht="14.25" spans="1:7">
      <c r="A53" s="2678"/>
      <c r="B53" s="2679"/>
      <c r="C53" s="2679"/>
      <c r="D53" s="2679"/>
      <c r="E53" s="2679"/>
      <c r="F53" s="2679"/>
      <c r="G53" s="2680" t="s">
        <v>790</v>
      </c>
    </row>
    <row r="54" ht="27.75" spans="1:7">
      <c r="A54" s="2681" t="s">
        <v>491</v>
      </c>
      <c r="B54" s="2682" t="s">
        <v>791</v>
      </c>
      <c r="C54" s="2679" t="s">
        <v>792</v>
      </c>
      <c r="D54" s="2683">
        <f ca="1">F12</f>
        <v>437</v>
      </c>
      <c r="E54" s="2684">
        <f ca="1">D54-D55</f>
        <v>109</v>
      </c>
      <c r="F54" s="2684">
        <v>3533.02</v>
      </c>
      <c r="G54" s="2684">
        <f ca="1">ROUND(F54*E54/10000,4)</f>
        <v>38.5099</v>
      </c>
    </row>
    <row r="55" ht="27.75" spans="1:7">
      <c r="A55" s="2681"/>
      <c r="B55" s="2685"/>
      <c r="C55" s="2680" t="s">
        <v>793</v>
      </c>
      <c r="D55" s="2686">
        <f ca="1">F24</f>
        <v>328</v>
      </c>
      <c r="E55" s="2686"/>
      <c r="F55" s="2686"/>
      <c r="G55" s="2686"/>
    </row>
    <row r="56" ht="15" spans="1:7">
      <c r="A56" s="2681"/>
      <c r="B56" s="2687" t="s">
        <v>514</v>
      </c>
      <c r="C56" s="2687"/>
      <c r="D56" s="2687"/>
      <c r="E56" s="2687"/>
      <c r="F56" s="2688">
        <f>F54</f>
        <v>3533.02</v>
      </c>
      <c r="G56" s="2686">
        <f ca="1">G54</f>
        <v>38.5099</v>
      </c>
    </row>
    <row r="57" ht="15" spans="1:7">
      <c r="A57" s="2690" t="s">
        <v>511</v>
      </c>
      <c r="B57" s="2690"/>
      <c r="C57" s="2690"/>
      <c r="D57" s="2690"/>
      <c r="E57" s="2690"/>
      <c r="F57" s="2686">
        <f>F56</f>
        <v>3533.02</v>
      </c>
      <c r="G57" s="2686">
        <f ca="1">G56</f>
        <v>38.5099</v>
      </c>
    </row>
    <row r="60" ht="21" customHeight="1" spans="1:8">
      <c r="A60" s="2692" t="s">
        <v>796</v>
      </c>
      <c r="B60" s="2654"/>
      <c r="C60" s="2654"/>
      <c r="D60" s="2654"/>
      <c r="E60" s="2654"/>
      <c r="F60" s="2654"/>
      <c r="G60" s="2654"/>
      <c r="H60" s="2654"/>
    </row>
    <row r="61" ht="14.25" spans="1:7">
      <c r="A61" s="2693" t="s">
        <v>784</v>
      </c>
      <c r="B61" s="2694" t="s">
        <v>785</v>
      </c>
      <c r="C61" s="2694" t="s">
        <v>348</v>
      </c>
      <c r="D61" s="2695" t="s">
        <v>797</v>
      </c>
      <c r="E61" s="2695" t="s">
        <v>798</v>
      </c>
      <c r="F61" s="2694" t="s">
        <v>799</v>
      </c>
      <c r="G61" s="2695" t="s">
        <v>800</v>
      </c>
    </row>
    <row r="62" ht="14.25" spans="1:7">
      <c r="A62" s="2693"/>
      <c r="B62" s="2694"/>
      <c r="C62" s="2694"/>
      <c r="D62" s="2696"/>
      <c r="E62" s="2696"/>
      <c r="F62" s="2694"/>
      <c r="G62" s="2696"/>
    </row>
    <row r="63" ht="14.25" spans="1:7">
      <c r="A63" s="2693"/>
      <c r="B63" s="2694"/>
      <c r="C63" s="2694"/>
      <c r="D63" s="2697"/>
      <c r="E63" s="2697"/>
      <c r="F63" s="2694"/>
      <c r="G63" s="2696"/>
    </row>
    <row r="64" ht="28.5" spans="1:7">
      <c r="A64" s="2698" t="s">
        <v>491</v>
      </c>
      <c r="B64" s="2696" t="s">
        <v>791</v>
      </c>
      <c r="C64" s="2697" t="s">
        <v>801</v>
      </c>
      <c r="D64" s="2699">
        <f ca="1">D54</f>
        <v>437</v>
      </c>
      <c r="E64" s="2700">
        <f ca="1">E54</f>
        <v>109</v>
      </c>
      <c r="F64" s="2701">
        <f>F54</f>
        <v>3533.02</v>
      </c>
      <c r="G64" s="2702">
        <f ca="1">G54</f>
        <v>38.5099</v>
      </c>
    </row>
    <row r="65" ht="28.5" spans="1:7">
      <c r="A65" s="2698"/>
      <c r="B65" s="2697"/>
      <c r="C65" s="2697" t="s">
        <v>802</v>
      </c>
      <c r="D65" s="2699">
        <f ca="1">D55</f>
        <v>328</v>
      </c>
      <c r="E65" s="2699"/>
      <c r="F65" s="2703"/>
      <c r="G65" s="2704"/>
    </row>
    <row r="66" ht="15.75" spans="1:7">
      <c r="A66" s="2705"/>
      <c r="B66" s="2706" t="s">
        <v>514</v>
      </c>
      <c r="C66" s="2706"/>
      <c r="D66" s="2706"/>
      <c r="E66" s="2706"/>
      <c r="F66" s="2707" t="s">
        <v>138</v>
      </c>
      <c r="G66" s="2708">
        <f ca="1">G56</f>
        <v>38.5099</v>
      </c>
    </row>
    <row r="67" ht="15.75" spans="1:7">
      <c r="A67" s="2709" t="s">
        <v>511</v>
      </c>
      <c r="B67" s="2709"/>
      <c r="C67" s="2709"/>
      <c r="D67" s="2709"/>
      <c r="E67" s="2709"/>
      <c r="F67" s="2710" t="s">
        <v>138</v>
      </c>
      <c r="G67" s="2708">
        <f ca="1">G57</f>
        <v>38.5099</v>
      </c>
    </row>
  </sheetData>
  <mergeCells count="89">
    <mergeCell ref="B46:E46"/>
    <mergeCell ref="A47:E47"/>
    <mergeCell ref="B56:E56"/>
    <mergeCell ref="A57:E57"/>
    <mergeCell ref="B66:E66"/>
    <mergeCell ref="A67:E67"/>
    <mergeCell ref="A2:A4"/>
    <mergeCell ref="A5:A8"/>
    <mergeCell ref="A9:A11"/>
    <mergeCell ref="A12:A14"/>
    <mergeCell ref="A15:A17"/>
    <mergeCell ref="A18:A20"/>
    <mergeCell ref="A21:A23"/>
    <mergeCell ref="A24:A26"/>
    <mergeCell ref="A27:A29"/>
    <mergeCell ref="A30:A32"/>
    <mergeCell ref="A42:A43"/>
    <mergeCell ref="A44:A46"/>
    <mergeCell ref="A52:A53"/>
    <mergeCell ref="A54:A56"/>
    <mergeCell ref="A61:A63"/>
    <mergeCell ref="A64:A66"/>
    <mergeCell ref="B5:B6"/>
    <mergeCell ref="B42:B43"/>
    <mergeCell ref="B44:B45"/>
    <mergeCell ref="B52:B53"/>
    <mergeCell ref="B54:B55"/>
    <mergeCell ref="B61:B63"/>
    <mergeCell ref="B64:B65"/>
    <mergeCell ref="C5:C6"/>
    <mergeCell ref="C42:C43"/>
    <mergeCell ref="C52:C53"/>
    <mergeCell ref="C61:C63"/>
    <mergeCell ref="D5:D6"/>
    <mergeCell ref="D42:D43"/>
    <mergeCell ref="D52:D53"/>
    <mergeCell ref="D61:D63"/>
    <mergeCell ref="E2:E4"/>
    <mergeCell ref="E5:E8"/>
    <mergeCell ref="E9:E11"/>
    <mergeCell ref="E12:E14"/>
    <mergeCell ref="E15:E17"/>
    <mergeCell ref="E18:E20"/>
    <mergeCell ref="E21:E23"/>
    <mergeCell ref="E24:E26"/>
    <mergeCell ref="E27:E29"/>
    <mergeCell ref="E30:E32"/>
    <mergeCell ref="E42:E43"/>
    <mergeCell ref="E44:E45"/>
    <mergeCell ref="E52:E53"/>
    <mergeCell ref="E54:E55"/>
    <mergeCell ref="E61:E63"/>
    <mergeCell ref="E64:E65"/>
    <mergeCell ref="F2:F4"/>
    <mergeCell ref="F5:F8"/>
    <mergeCell ref="F9:F11"/>
    <mergeCell ref="F12:F14"/>
    <mergeCell ref="F15:F17"/>
    <mergeCell ref="F18:F20"/>
    <mergeCell ref="F21:F23"/>
    <mergeCell ref="F24:F26"/>
    <mergeCell ref="F27:F29"/>
    <mergeCell ref="F30:F32"/>
    <mergeCell ref="F42:F43"/>
    <mergeCell ref="F44:F45"/>
    <mergeCell ref="F52:F53"/>
    <mergeCell ref="F54:F55"/>
    <mergeCell ref="F61:F63"/>
    <mergeCell ref="F64:F65"/>
    <mergeCell ref="G2:G8"/>
    <mergeCell ref="G9:G11"/>
    <mergeCell ref="G44:G45"/>
    <mergeCell ref="G54:G55"/>
    <mergeCell ref="G61:G63"/>
    <mergeCell ref="G64:G65"/>
    <mergeCell ref="H2:H8"/>
    <mergeCell ref="H9:H11"/>
    <mergeCell ref="H12:H14"/>
    <mergeCell ref="H18:H20"/>
    <mergeCell ref="H24:H26"/>
    <mergeCell ref="I2:I8"/>
    <mergeCell ref="I9:I11"/>
    <mergeCell ref="I12:I14"/>
    <mergeCell ref="I18:I20"/>
    <mergeCell ref="I24:I26"/>
    <mergeCell ref="J9:J11"/>
    <mergeCell ref="J12:J14"/>
    <mergeCell ref="J18:J20"/>
    <mergeCell ref="J24:J26"/>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7" workbookViewId="0">
      <selection activeCell="B37" sqref="B37:I37"/>
    </sheetView>
  </sheetViews>
  <sheetFormatPr defaultColWidth="9" defaultRowHeight="13.5"/>
  <cols>
    <col min="1" max="1" width="3.5" style="3592" customWidth="1"/>
    <col min="2" max="2" width="10.75" style="3592" customWidth="1"/>
    <col min="3" max="4" width="11.625" style="3592" customWidth="1"/>
    <col min="5" max="5" width="6.625" style="3592" customWidth="1"/>
    <col min="6" max="16384" width="9" style="3592"/>
  </cols>
  <sheetData>
    <row r="36" spans="1:2">
      <c r="A36" s="3591" t="s">
        <v>75</v>
      </c>
      <c r="B36" s="3591" t="s">
        <v>76</v>
      </c>
    </row>
    <row r="37" ht="28.5" customHeight="1" spans="1:9">
      <c r="A37" s="3591"/>
      <c r="B37" s="3593" t="str">
        <f>项目基本情况!B1</f>
        <v>北京市出让国有建设用地使用权市场价格预评估</v>
      </c>
      <c r="C37" s="3593"/>
      <c r="D37" s="3593"/>
      <c r="E37" s="3593"/>
      <c r="F37" s="3593"/>
      <c r="G37" s="3593"/>
      <c r="H37" s="3593"/>
      <c r="I37" s="3593"/>
    </row>
    <row r="38" spans="1:2">
      <c r="A38" s="3594"/>
      <c r="B38" s="3594"/>
    </row>
    <row r="39" spans="1:2">
      <c r="A39" s="3591" t="s">
        <v>75</v>
      </c>
      <c r="B39" s="3591" t="s">
        <v>77</v>
      </c>
    </row>
    <row r="40" spans="1:2">
      <c r="A40" s="3591"/>
      <c r="B40" s="3591">
        <f>项目基本情况!B5</f>
        <v>0</v>
      </c>
    </row>
    <row r="41" spans="1:2">
      <c r="A41" s="3591"/>
      <c r="B41" s="3591"/>
    </row>
    <row r="42" spans="1:2">
      <c r="A42" s="3591" t="s">
        <v>75</v>
      </c>
      <c r="B42" s="3591" t="s">
        <v>78</v>
      </c>
    </row>
    <row r="43" spans="1:2">
      <c r="A43" s="3591"/>
      <c r="B43" s="3591" t="s">
        <v>79</v>
      </c>
    </row>
    <row r="44" spans="1:2">
      <c r="A44" s="3591"/>
      <c r="B44" s="3591"/>
    </row>
    <row r="45" spans="1:2">
      <c r="A45" s="3591" t="s">
        <v>75</v>
      </c>
      <c r="B45" s="3591" t="s">
        <v>80</v>
      </c>
    </row>
    <row r="46" s="3591" customFormat="1" ht="12.75" spans="2:2">
      <c r="B46" s="3591" t="str">
        <f>项目基本情况!K4</f>
        <v>陈颖、崔锴</v>
      </c>
    </row>
    <row r="47" spans="1:2">
      <c r="A47" s="3591"/>
      <c r="B47" s="3591"/>
    </row>
    <row r="48" spans="1:2">
      <c r="A48" s="3591" t="s">
        <v>75</v>
      </c>
      <c r="B48" s="3591" t="s">
        <v>81</v>
      </c>
    </row>
    <row r="49" spans="2:2">
      <c r="B49" s="3591" t="str">
        <f>"康正预评字"&amp;项目基本情况!B2&amp;"号"</f>
        <v>康正预评字号</v>
      </c>
    </row>
  </sheetData>
  <sheetProtection sheet="1" formatCells="0" formatRows="0" objects="1" scenarios="1"/>
  <mergeCells count="1">
    <mergeCell ref="B37:I37"/>
  </mergeCells>
  <printOptions horizontalCentered="1"/>
  <pageMargins left="0.984251968503937" right="0.78740157480315" top="1.18110236220472" bottom="0.905511811023622" header="0.866141732283464" footer="0.590551181102362"/>
  <pageSetup paperSize="9" orientation="portrait"/>
  <headerFooter>
    <oddHeader>&amp;C&amp;G</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R118"/>
  <sheetViews>
    <sheetView view="pageBreakPreview" zoomScale="85" zoomScaleNormal="60" workbookViewId="0">
      <selection activeCell="C37" sqref="C37"/>
    </sheetView>
  </sheetViews>
  <sheetFormatPr defaultColWidth="12" defaultRowHeight="12"/>
  <cols>
    <col min="1" max="1" width="9.75" style="1387" customWidth="1"/>
    <col min="2" max="2" width="20.875" style="1388" customWidth="1"/>
    <col min="3" max="4" width="12" style="1389"/>
    <col min="5" max="5" width="14.625" style="1389" customWidth="1"/>
    <col min="6" max="8" width="12" style="1389"/>
    <col min="9" max="9" width="12.25" style="1389" customWidth="1"/>
    <col min="10" max="10" width="12" style="1389"/>
    <col min="11" max="11" width="9.625" style="1386" customWidth="1"/>
    <col min="12" max="12" width="12" style="1389"/>
    <col min="13" max="14" width="10.625" style="1389" customWidth="1"/>
    <col min="15" max="17" width="12" style="1389"/>
    <col min="18" max="18" width="12" style="1387"/>
    <col min="19" max="22" width="15.5" style="1387" customWidth="1"/>
    <col min="23" max="28" width="12" style="1389"/>
    <col min="29" max="29" width="9.375" style="1387" customWidth="1"/>
    <col min="30" max="35" width="9.375" style="1390" customWidth="1"/>
    <col min="36" max="39" width="9.375" style="1387" customWidth="1"/>
    <col min="40" max="41" width="9.375" style="1389" customWidth="1"/>
    <col min="42" max="16384" width="12" style="1389"/>
  </cols>
  <sheetData>
    <row r="1" ht="20.25" spans="1:29">
      <c r="A1" s="1391" t="s">
        <v>803</v>
      </c>
      <c r="B1" s="1392"/>
      <c r="C1" s="1393" t="s">
        <v>389</v>
      </c>
      <c r="D1" s="1394">
        <f>SUM(D29:D30,D33:D39)</f>
        <v>25022.71</v>
      </c>
      <c r="E1" s="1393" t="s">
        <v>392</v>
      </c>
      <c r="F1" s="1395">
        <f>'数据-基础表'!A3</f>
        <v>20468.06</v>
      </c>
      <c r="G1" s="1396"/>
      <c r="H1" s="1396"/>
      <c r="I1" s="1396"/>
      <c r="J1" s="1396"/>
      <c r="K1" s="1594"/>
      <c r="L1" s="1595" t="s">
        <v>804</v>
      </c>
      <c r="M1" s="1596">
        <f>SUMPRODUCT((区片价!B5:B9=I2)*(区片价!C3:F3=E2)*(区片价!C5:F9))</f>
        <v>0</v>
      </c>
      <c r="N1" s="1597">
        <f>SUMPRODUCT((因素修正幅度!B5:B9=I2)*(因素修正幅度!C3:F3=E2)*(因素修正幅度!C5:F9))</f>
        <v>0</v>
      </c>
      <c r="O1" s="1594"/>
      <c r="P1" s="1594"/>
      <c r="Q1" s="1594"/>
      <c r="R1" s="1685" t="s">
        <v>805</v>
      </c>
      <c r="S1" s="1685" t="s">
        <v>806</v>
      </c>
      <c r="T1" s="1685" t="s">
        <v>769</v>
      </c>
      <c r="U1" s="1685" t="s">
        <v>807</v>
      </c>
      <c r="V1" s="1685" t="s">
        <v>637</v>
      </c>
      <c r="W1" s="1594"/>
      <c r="X1" s="1594"/>
      <c r="Y1" s="1594"/>
      <c r="Z1" s="1594"/>
      <c r="AA1" s="1594"/>
      <c r="AB1" s="1594"/>
      <c r="AC1" s="1697"/>
    </row>
    <row r="2" ht="15.75" spans="1:29">
      <c r="A2" s="1393" t="s">
        <v>775</v>
      </c>
      <c r="B2" s="1397">
        <f ca="1">C26</f>
        <v>22503</v>
      </c>
      <c r="C2" s="1398" t="s">
        <v>808</v>
      </c>
      <c r="D2" s="1399" t="s">
        <v>348</v>
      </c>
      <c r="E2" s="1400" t="s">
        <v>377</v>
      </c>
      <c r="F2" s="1399" t="s">
        <v>217</v>
      </c>
      <c r="G2" s="1401" t="str">
        <f>IF(E2="商业",项目基本情况!B43,IF(E2="办公",项目基本情况!C43,IF(E2="住宅",项目基本情况!D43,项目基本情况!E43)))</f>
        <v>八级</v>
      </c>
      <c r="H2" s="1399" t="s">
        <v>424</v>
      </c>
      <c r="I2" s="1598" t="str">
        <f>IF(E2="商业",项目基本情况!B44,IF(E2="办公",项目基本情况!C44,IF(E2="住宅",项目基本情况!D44,项目基本情况!E44)))</f>
        <v>Ⅷ-02</v>
      </c>
      <c r="J2" s="1599"/>
      <c r="K2" s="1600"/>
      <c r="L2" s="1601" t="s">
        <v>809</v>
      </c>
      <c r="M2" s="1602">
        <f>SUMPRODUCT((区片价!B10:B28=I2)*(区片价!C3:F3=E2)*(区片价!C10:F28))</f>
        <v>0</v>
      </c>
      <c r="N2" s="1603">
        <f>SUMPRODUCT((因素修正幅度!B10:B28=I2)*(因素修正幅度!C3:F3=E2)*(因素修正幅度!C10:F28))</f>
        <v>0</v>
      </c>
      <c r="O2" s="1600"/>
      <c r="P2" s="1594"/>
      <c r="Q2" s="1594"/>
      <c r="R2" s="1686">
        <v>1</v>
      </c>
      <c r="S2" s="1686">
        <f>ROUND(IF(G3&gt;1,IF(R2&lt;7,SUMPRODUCT((B93:B98=R2)*(C92:N92=G2)*(C93:N98)),SUMIF(C92:N92,G2,C100:N100)),IF(R2&lt;7,SUMPRODUCT((B102:B107=R2)*(C92:N92=G2)*(C102:N107)),SUMIF(C92:N92,G2,C109:N109))),4)</f>
        <v>1.942</v>
      </c>
      <c r="T2" s="1686">
        <f ca="1" t="shared" ref="T2:T16" si="0">ROUND($C$5*$C$18*$C$19*$C$20*S2*$C$24,0)</f>
        <v>14945</v>
      </c>
      <c r="U2" s="1687"/>
      <c r="V2" s="1686">
        <f ca="1" t="shared" ref="V2:V16" si="1">ROUND(T2*U2/10000,0)</f>
        <v>0</v>
      </c>
      <c r="W2" s="1594"/>
      <c r="X2" s="1594"/>
      <c r="Y2" s="1594"/>
      <c r="Z2" s="1594"/>
      <c r="AA2" s="1594"/>
      <c r="AB2" s="1594"/>
      <c r="AC2" s="1697"/>
    </row>
    <row r="3" ht="15.75" spans="1:29">
      <c r="A3" s="1402" t="s">
        <v>714</v>
      </c>
      <c r="B3" s="1397">
        <f ca="1">ROUND(B2*10000/D1,0)</f>
        <v>8993</v>
      </c>
      <c r="C3" s="1398" t="s">
        <v>810</v>
      </c>
      <c r="D3" s="1399" t="s">
        <v>811</v>
      </c>
      <c r="E3" s="1403" t="s">
        <v>812</v>
      </c>
      <c r="F3" s="1404" t="s">
        <v>813</v>
      </c>
      <c r="G3" s="1405">
        <f>IF(F3="宗地容积率",'数据-汇总表'!I4,IF(F3="估价对象容积率",'数据-汇总表'!I6,'数据-汇总表'!I7))</f>
        <v>1.22</v>
      </c>
      <c r="H3" s="1406" t="s">
        <v>814</v>
      </c>
      <c r="I3" s="1604"/>
      <c r="J3" s="1599" t="s">
        <v>815</v>
      </c>
      <c r="K3" s="1600"/>
      <c r="L3" s="1601" t="s">
        <v>816</v>
      </c>
      <c r="M3" s="1602">
        <f>SUMPRODUCT((区片价!B29:B48=I2)*(区片价!C3:F3=E2)*(区片价!C29:F48))</f>
        <v>0</v>
      </c>
      <c r="N3" s="1603">
        <f>SUMPRODUCT((因素修正幅度!B29:B48=I2)*(因素修正幅度!C3:F3=E2)*(因素修正幅度!C29:F48))</f>
        <v>0</v>
      </c>
      <c r="O3" s="1600"/>
      <c r="P3" s="1594"/>
      <c r="Q3" s="1594"/>
      <c r="R3" s="1686">
        <v>2</v>
      </c>
      <c r="S3" s="1686">
        <f>ROUND(IF(G3&gt;1,IF(R3&lt;7,SUMPRODUCT((B93:B98=R3)*(C92:N92=G2)*(C93:N98)),SUMIF(C92:N92,G2,C100:N100)),IF(R3&lt;7,SUMPRODUCT((B102:B107=R3)*(C92:N92=G2)*(C102:N107)),SUMIF(C92:N92,G2,C109:N109))),4)</f>
        <v>1.2799</v>
      </c>
      <c r="T3" s="1686">
        <f ca="1" t="shared" si="0"/>
        <v>9850</v>
      </c>
      <c r="U3" s="1687"/>
      <c r="V3" s="1686">
        <f ca="1" t="shared" si="1"/>
        <v>0</v>
      </c>
      <c r="W3" s="1594"/>
      <c r="X3" s="1594"/>
      <c r="Y3" s="1594"/>
      <c r="Z3" s="1594"/>
      <c r="AA3" s="1594"/>
      <c r="AB3" s="1594"/>
      <c r="AC3" s="1697"/>
    </row>
    <row r="4" ht="28.5" spans="1:29">
      <c r="A4" s="1407" t="s">
        <v>817</v>
      </c>
      <c r="B4" s="1408">
        <f ca="1">ROUND(B2*10000/F1,0)</f>
        <v>10994</v>
      </c>
      <c r="C4" s="1409" t="s">
        <v>810</v>
      </c>
      <c r="D4" s="1409">
        <f ca="1">ROUND(B2/(F1/666.67),0)</f>
        <v>733</v>
      </c>
      <c r="E4" s="1409" t="s">
        <v>818</v>
      </c>
      <c r="F4" s="1410"/>
      <c r="G4" s="1410"/>
      <c r="H4" s="1410"/>
      <c r="I4" s="1410"/>
      <c r="J4" s="1605"/>
      <c r="K4" s="1606"/>
      <c r="L4" s="1601" t="s">
        <v>819</v>
      </c>
      <c r="M4" s="1602">
        <f>SUMPRODUCT((区片价!B49:B75=I2)*(区片价!C3:F3=E2)*(区片价!C49:F75))</f>
        <v>0</v>
      </c>
      <c r="N4" s="1603">
        <f>SUMPRODUCT((因素修正幅度!B49:B75=I2)*(因素修正幅度!C3:F3=E2)*(因素修正幅度!C49:F75))</f>
        <v>0</v>
      </c>
      <c r="O4" s="1606"/>
      <c r="P4" s="1594"/>
      <c r="Q4" s="1594"/>
      <c r="R4" s="1686">
        <v>3</v>
      </c>
      <c r="S4" s="1686">
        <f>ROUND(IF(G3&gt;1,IF(R4&lt;7,SUMPRODUCT((B93:B98=R4)*(C92:N92=G2)*(C93:N98)),SUMIF(C92:N92,G2,C100:N100)),IF(R4&lt;7,SUMPRODUCT((B102:B107=R4)*(C92:N92=G2)*(C102:N107)),SUMIF(C92:N92,G2,C109:N109))),4)</f>
        <v>1.0072</v>
      </c>
      <c r="T4" s="1686">
        <f ca="1" t="shared" si="0"/>
        <v>7751</v>
      </c>
      <c r="U4" s="1687"/>
      <c r="V4" s="1686">
        <f ca="1" t="shared" si="1"/>
        <v>0</v>
      </c>
      <c r="W4" s="1594"/>
      <c r="X4" s="1594"/>
      <c r="Y4" s="1594"/>
      <c r="Z4" s="1594"/>
      <c r="AA4" s="1594"/>
      <c r="AB4" s="1594"/>
      <c r="AC4" s="1697"/>
    </row>
    <row r="5" s="1385" customFormat="1" ht="15.75" spans="1:39">
      <c r="A5" s="1411" t="s">
        <v>820</v>
      </c>
      <c r="B5" s="1412" t="s">
        <v>821</v>
      </c>
      <c r="C5" s="1413">
        <f>ROUND(IF(E2="商业",C6*C7+C16,(IF(E2="住宅",C6*C12+C16,C6+C16))),0)</f>
        <v>5835</v>
      </c>
      <c r="D5" s="1414">
        <f>ROUND(C6+C16,0)</f>
        <v>5835</v>
      </c>
      <c r="E5" s="1414"/>
      <c r="F5" s="1415"/>
      <c r="G5" s="1416"/>
      <c r="H5" s="1416"/>
      <c r="I5" s="1416"/>
      <c r="J5" s="1607"/>
      <c r="K5" s="1608"/>
      <c r="L5" s="1601" t="s">
        <v>822</v>
      </c>
      <c r="M5" s="1602">
        <f>SUMPRODUCT((区片价!B76:B109=I2)*(区片价!C3:F3=E2)*(区片价!C76:F109))</f>
        <v>0</v>
      </c>
      <c r="N5" s="1603">
        <f>SUMPRODUCT((因素修正幅度!B76:B109=I2)*(因素修正幅度!C3:F3=E2)*(因素修正幅度!C76:F109))</f>
        <v>0</v>
      </c>
      <c r="O5" s="1608"/>
      <c r="P5" s="1609"/>
      <c r="Q5" s="1594"/>
      <c r="R5" s="1686">
        <v>4</v>
      </c>
      <c r="S5" s="1686">
        <f>ROUND(IF(G3&gt;1,IF(R5&lt;7,SUMPRODUCT((B93:B98=R5)*(C92:N92=G2)*(C93:N98)),SUMIF(C92:N92,G2,C100:N100)),IF(R5&lt;7,SUMPRODUCT((B102:B107=R5)*(C92:N92=G2)*(C102:N107)),SUMIF(C92:N92,G2,C109:N109))),4)</f>
        <v>0.7525</v>
      </c>
      <c r="T5" s="1686">
        <f ca="1" t="shared" si="0"/>
        <v>5791</v>
      </c>
      <c r="U5" s="1687"/>
      <c r="V5" s="1686">
        <f ca="1" t="shared" si="1"/>
        <v>0</v>
      </c>
      <c r="W5" s="1594"/>
      <c r="X5" s="1594"/>
      <c r="Y5" s="1594"/>
      <c r="Z5" s="1594"/>
      <c r="AA5" s="1594"/>
      <c r="AB5" s="1594"/>
      <c r="AC5" s="1699"/>
      <c r="AD5" s="1700"/>
      <c r="AE5" s="1700"/>
      <c r="AF5" s="1700"/>
      <c r="AG5" s="1700"/>
      <c r="AH5" s="1700"/>
      <c r="AI5" s="1700"/>
      <c r="AJ5" s="1709"/>
      <c r="AK5" s="1709"/>
      <c r="AL5" s="1709"/>
      <c r="AM5" s="1709"/>
    </row>
    <row r="6" ht="15.75" spans="1:36">
      <c r="A6" s="1417" t="s">
        <v>823</v>
      </c>
      <c r="B6" s="1418" t="s">
        <v>821</v>
      </c>
      <c r="C6" s="1419">
        <f>SUMIF(L1:L12,基准地价出结果用!G2,M1:M12)</f>
        <v>5820</v>
      </c>
      <c r="D6" s="1420" t="s">
        <v>824</v>
      </c>
      <c r="E6" s="1421"/>
      <c r="F6" s="1421"/>
      <c r="G6" s="1422"/>
      <c r="H6" s="1422"/>
      <c r="I6" s="1422"/>
      <c r="J6" s="1610"/>
      <c r="K6" s="1611"/>
      <c r="L6" s="1601" t="s">
        <v>825</v>
      </c>
      <c r="M6" s="1602">
        <f>SUMPRODUCT((区片价!B110:B157=I2)*(区片价!C3:F3=E2)*(区片价!C110:F157))</f>
        <v>0</v>
      </c>
      <c r="N6" s="1603">
        <f>SUMPRODUCT((因素修正幅度!B110:B157=I2)*(因素修正幅度!C3:F3=E2)*(因素修正幅度!C110:F157))</f>
        <v>0</v>
      </c>
      <c r="O6" s="1611"/>
      <c r="P6" s="1612"/>
      <c r="Q6" s="1594"/>
      <c r="R6" s="1686">
        <v>5</v>
      </c>
      <c r="S6" s="1686">
        <f>ROUND(IF(G3&gt;1,IF(R6&lt;7,SUMPRODUCT((B93:B98=R6)*(C92:N92=G2)*(C93:N98)),SUMIF(C92:N92,G2,C100:N100)),IF(R6&lt;7,SUMPRODUCT((B102:B107=R6)*(C92:N92=G2)*(C102:N107)),SUMIF(C92:N92,G2,C109:N109))),4)</f>
        <v>0.5659</v>
      </c>
      <c r="T6" s="1686">
        <f ca="1" t="shared" si="0"/>
        <v>4355</v>
      </c>
      <c r="U6" s="1687"/>
      <c r="V6" s="1686">
        <f ca="1" t="shared" si="1"/>
        <v>0</v>
      </c>
      <c r="W6" s="1594"/>
      <c r="X6" s="1594"/>
      <c r="Y6" s="1594"/>
      <c r="Z6" s="1594"/>
      <c r="AA6" s="1594"/>
      <c r="AB6" s="1594"/>
      <c r="AC6" s="1699"/>
      <c r="AD6" s="1700"/>
      <c r="AE6" s="1700"/>
      <c r="AF6" s="1700"/>
      <c r="AG6" s="1700"/>
      <c r="AH6" s="1700"/>
      <c r="AI6" s="1700"/>
      <c r="AJ6" s="1709"/>
    </row>
    <row r="7" ht="24" spans="1:36">
      <c r="A7" s="1423" t="str">
        <f>IF(E2="商业",IF(C8="不临58条商业街","",2),"")</f>
        <v/>
      </c>
      <c r="B7" s="1424" t="s">
        <v>826</v>
      </c>
      <c r="C7" s="1425">
        <f>IF(C8="不临58条商业街",1,ROUND(1+(1.6*E8+1.2*E9+0.8*E10+0.4*E11)*C9,4))</f>
        <v>1</v>
      </c>
      <c r="D7" s="1426" t="s">
        <v>827</v>
      </c>
      <c r="E7" s="1427"/>
      <c r="F7" s="1428"/>
      <c r="G7" s="1429"/>
      <c r="H7" s="1429"/>
      <c r="I7" s="1429"/>
      <c r="J7" s="1613"/>
      <c r="K7" s="1611"/>
      <c r="L7" s="1601" t="s">
        <v>828</v>
      </c>
      <c r="M7" s="1602">
        <f>SUMPRODUCT((区片价!B158:B205=I2)*(区片价!C3:F3=E2)*(区片价!C158:F205))</f>
        <v>0</v>
      </c>
      <c r="N7" s="1603">
        <f>SUMPRODUCT((因素修正幅度!B158:B205=I2)*(因素修正幅度!C3:F3=E2)*(因素修正幅度!C158:F205))</f>
        <v>0</v>
      </c>
      <c r="O7" s="1611"/>
      <c r="P7" s="1612"/>
      <c r="Q7" s="1594"/>
      <c r="R7" s="1686">
        <v>6</v>
      </c>
      <c r="S7" s="1686">
        <f>ROUND(IF(G3&gt;1,IF(R7&lt;7,SUMPRODUCT((B93:B98=R7)*(C92:N92=G2)*(C93:N98)),SUMIF(C92:N92,G2,C100:N100)),IF(R7&lt;7,SUMPRODUCT((B102:B107=R7)*(C92:N92=G2)*(C102:N107)),SUMIF(C92:N92,G2,C109:N109))),4)</f>
        <v>0.4525</v>
      </c>
      <c r="T7" s="1686">
        <f ca="1" t="shared" si="0"/>
        <v>3482</v>
      </c>
      <c r="U7" s="1687"/>
      <c r="V7" s="1686">
        <f ca="1" t="shared" si="1"/>
        <v>0</v>
      </c>
      <c r="W7" s="1688" t="s">
        <v>829</v>
      </c>
      <c r="X7" s="1689" t="str">
        <f>G2</f>
        <v>八级</v>
      </c>
      <c r="Y7" s="1689" t="s">
        <v>830</v>
      </c>
      <c r="Z7" s="1701">
        <f>G3</f>
        <v>1.22</v>
      </c>
      <c r="AA7" s="1694"/>
      <c r="AB7" s="1694"/>
      <c r="AC7" s="1638"/>
      <c r="AD7" s="1702"/>
      <c r="AE7" s="1702"/>
      <c r="AF7" s="1702"/>
      <c r="AG7" s="1702"/>
      <c r="AH7" s="1702"/>
      <c r="AI7" s="1702"/>
      <c r="AJ7" s="1710"/>
    </row>
    <row r="8" ht="24.75" spans="1:36">
      <c r="A8" s="1430"/>
      <c r="B8" s="1406" t="s">
        <v>831</v>
      </c>
      <c r="C8" s="1431" t="s">
        <v>832</v>
      </c>
      <c r="D8" s="1432" t="s">
        <v>833</v>
      </c>
      <c r="E8" s="1433" t="e">
        <f>ROUND(C11/E7,4)</f>
        <v>#DIV/0!</v>
      </c>
      <c r="F8" s="1434" t="s">
        <v>834</v>
      </c>
      <c r="G8" s="1435"/>
      <c r="H8" s="1435"/>
      <c r="I8" s="1435"/>
      <c r="J8" s="1614"/>
      <c r="K8" s="1611"/>
      <c r="L8" s="1601" t="s">
        <v>835</v>
      </c>
      <c r="M8" s="1602">
        <f>SUMPRODUCT((区片价!B206:B244=I2)*(区片价!C3:F3=E2)*(区片价!C206:F244))</f>
        <v>5820</v>
      </c>
      <c r="N8" s="1603">
        <f>SUMPRODUCT((因素修正幅度!B206:B244=I2)*(因素修正幅度!C3:F3=E2)*(因素修正幅度!C206:F244))</f>
        <v>0.15</v>
      </c>
      <c r="O8" s="1611"/>
      <c r="P8" s="1594"/>
      <c r="Q8" s="1594"/>
      <c r="R8" s="1686">
        <v>7</v>
      </c>
      <c r="S8" s="1687"/>
      <c r="T8" s="1686">
        <f ca="1" t="shared" si="0"/>
        <v>0</v>
      </c>
      <c r="U8" s="1687"/>
      <c r="V8" s="1686">
        <f ca="1" t="shared" si="1"/>
        <v>0</v>
      </c>
      <c r="W8" s="1690" t="s">
        <v>836</v>
      </c>
      <c r="X8" s="1691"/>
      <c r="Y8" s="1528" t="s">
        <v>837</v>
      </c>
      <c r="Z8" s="1528" t="s">
        <v>838</v>
      </c>
      <c r="AA8" s="1528" t="s">
        <v>839</v>
      </c>
      <c r="AB8" s="1528" t="s">
        <v>840</v>
      </c>
      <c r="AC8" s="1528" t="s">
        <v>841</v>
      </c>
      <c r="AD8" s="1528" t="s">
        <v>842</v>
      </c>
      <c r="AE8" s="1528" t="s">
        <v>843</v>
      </c>
      <c r="AF8" s="1528" t="s">
        <v>844</v>
      </c>
      <c r="AG8" s="1528" t="s">
        <v>845</v>
      </c>
      <c r="AH8" s="1528" t="s">
        <v>846</v>
      </c>
      <c r="AI8" s="1528" t="s">
        <v>847</v>
      </c>
      <c r="AJ8" s="1528" t="s">
        <v>848</v>
      </c>
    </row>
    <row r="9" ht="15" spans="1:36">
      <c r="A9" s="1430"/>
      <c r="B9" s="1406" t="s">
        <v>849</v>
      </c>
      <c r="C9" s="1436">
        <f>SUMIF(修正!C59:C119,C8,修正!E59:E119)</f>
        <v>0</v>
      </c>
      <c r="D9" s="1437" t="s">
        <v>850</v>
      </c>
      <c r="E9" s="1437" t="e">
        <f>ROUND(C11/E7,4)</f>
        <v>#DIV/0!</v>
      </c>
      <c r="F9" s="1434" t="s">
        <v>851</v>
      </c>
      <c r="G9" s="1435"/>
      <c r="H9" s="1435"/>
      <c r="I9" s="1435"/>
      <c r="J9" s="1614"/>
      <c r="K9" s="1611"/>
      <c r="L9" s="1601" t="s">
        <v>852</v>
      </c>
      <c r="M9" s="1602">
        <f>SUMPRODUCT((区片价!B245:B289=I2)*(区片价!C3:F3=E2)*(区片价!C245:F289))</f>
        <v>0</v>
      </c>
      <c r="N9" s="1603">
        <f>SUMPRODUCT((因素修正幅度!B245:B289=I2)*(因素修正幅度!C3:F3=E2)*(因素修正幅度!C245:F289))</f>
        <v>0</v>
      </c>
      <c r="O9" s="1611"/>
      <c r="P9" s="1594"/>
      <c r="Q9" s="1594"/>
      <c r="R9" s="1686">
        <v>8</v>
      </c>
      <c r="S9" s="1687"/>
      <c r="T9" s="1686">
        <f ca="1" t="shared" si="0"/>
        <v>0</v>
      </c>
      <c r="U9" s="1687"/>
      <c r="V9" s="1686">
        <f ca="1" t="shared" si="1"/>
        <v>0</v>
      </c>
      <c r="W9" s="1688" t="s">
        <v>853</v>
      </c>
      <c r="X9" s="1692" t="s">
        <v>854</v>
      </c>
      <c r="Y9" s="1703"/>
      <c r="Z9" s="1704">
        <f t="shared" ref="Z9:AJ9" si="2">$Y$9</f>
        <v>0</v>
      </c>
      <c r="AA9" s="1704">
        <f t="shared" si="2"/>
        <v>0</v>
      </c>
      <c r="AB9" s="1704">
        <f t="shared" si="2"/>
        <v>0</v>
      </c>
      <c r="AC9" s="1704">
        <f t="shared" si="2"/>
        <v>0</v>
      </c>
      <c r="AD9" s="1704">
        <f t="shared" si="2"/>
        <v>0</v>
      </c>
      <c r="AE9" s="1704">
        <f t="shared" si="2"/>
        <v>0</v>
      </c>
      <c r="AF9" s="1704">
        <f t="shared" si="2"/>
        <v>0</v>
      </c>
      <c r="AG9" s="1704">
        <f t="shared" si="2"/>
        <v>0</v>
      </c>
      <c r="AH9" s="1704">
        <f t="shared" si="2"/>
        <v>0</v>
      </c>
      <c r="AI9" s="1704">
        <f t="shared" si="2"/>
        <v>0</v>
      </c>
      <c r="AJ9" s="1704">
        <f t="shared" si="2"/>
        <v>0</v>
      </c>
    </row>
    <row r="10" ht="15" spans="1:36">
      <c r="A10" s="1430"/>
      <c r="B10" s="1406" t="s">
        <v>855</v>
      </c>
      <c r="C10" s="1437">
        <f>SUMIF(修正!C59:C119,C8,修正!F59:F119)</f>
        <v>0</v>
      </c>
      <c r="D10" s="1437" t="s">
        <v>856</v>
      </c>
      <c r="E10" s="1437" t="e">
        <f>ROUND(C11/E7,4)</f>
        <v>#DIV/0!</v>
      </c>
      <c r="F10" s="1434" t="s">
        <v>857</v>
      </c>
      <c r="G10" s="1435"/>
      <c r="H10" s="1435"/>
      <c r="I10" s="1435"/>
      <c r="J10" s="1614"/>
      <c r="K10" s="1611"/>
      <c r="L10" s="1601" t="s">
        <v>858</v>
      </c>
      <c r="M10" s="1602">
        <f>SUMPRODUCT((区片价!B290:B316=I2)*(区片价!C3:F3=E2)*(区片价!C290:F316))</f>
        <v>0</v>
      </c>
      <c r="N10" s="1603">
        <f>SUMPRODUCT((因素修正幅度!B290:B316=I2)*(因素修正幅度!C3:F3=E2)*(因素修正幅度!C290:F316))</f>
        <v>0</v>
      </c>
      <c r="O10" s="1611"/>
      <c r="P10" s="1594"/>
      <c r="Q10" s="1594"/>
      <c r="R10" s="1686">
        <v>9</v>
      </c>
      <c r="S10" s="1687"/>
      <c r="T10" s="1686">
        <f ca="1" t="shared" si="0"/>
        <v>0</v>
      </c>
      <c r="U10" s="1687"/>
      <c r="V10" s="1686">
        <f ca="1" t="shared" si="1"/>
        <v>0</v>
      </c>
      <c r="W10" s="1688"/>
      <c r="X10" s="1692">
        <v>7</v>
      </c>
      <c r="Y10" s="1705">
        <f>(-0.163*(Y9^2)-0.59*Y9+7617)*(10^(-4))</f>
        <v>0.7617</v>
      </c>
      <c r="Z10" s="1705">
        <f>(-0.163*(Z9^2)-0.59*Z9+7617)*(10^(-4))</f>
        <v>0.7617</v>
      </c>
      <c r="AA10" s="1705">
        <f t="shared" ref="AA10:AE10" si="3">(-0.161*(AA9^2)-7.509*AA9+6533)*(10^(-4))</f>
        <v>0.6533</v>
      </c>
      <c r="AB10" s="1705">
        <f t="shared" si="3"/>
        <v>0.6533</v>
      </c>
      <c r="AC10" s="1705">
        <f t="shared" si="3"/>
        <v>0.6533</v>
      </c>
      <c r="AD10" s="1705">
        <f t="shared" si="3"/>
        <v>0.6533</v>
      </c>
      <c r="AE10" s="1705">
        <f t="shared" si="3"/>
        <v>0.6533</v>
      </c>
      <c r="AF10" s="1705">
        <f t="shared" ref="AF10:AJ10" si="4">(-0.214*(AF9^2)-21.991*AF9+4665)*(10^(-4))</f>
        <v>0.4665</v>
      </c>
      <c r="AG10" s="1705">
        <f t="shared" si="4"/>
        <v>0.4665</v>
      </c>
      <c r="AH10" s="1705">
        <f t="shared" si="4"/>
        <v>0.4665</v>
      </c>
      <c r="AI10" s="1705">
        <f t="shared" si="4"/>
        <v>0.4665</v>
      </c>
      <c r="AJ10" s="1705">
        <f t="shared" si="4"/>
        <v>0.4665</v>
      </c>
    </row>
    <row r="11" ht="15.75" customHeight="1" spans="1:36">
      <c r="A11" s="1430"/>
      <c r="B11" s="1438" t="s">
        <v>859</v>
      </c>
      <c r="C11" s="1439">
        <f>C10/4</f>
        <v>0</v>
      </c>
      <c r="D11" s="1439" t="s">
        <v>860</v>
      </c>
      <c r="E11" s="1439" t="e">
        <f>ROUND(C11/E7,4)</f>
        <v>#DIV/0!</v>
      </c>
      <c r="F11" s="1440" t="s">
        <v>861</v>
      </c>
      <c r="G11" s="1441"/>
      <c r="H11" s="1441"/>
      <c r="I11" s="1441"/>
      <c r="J11" s="1615"/>
      <c r="K11" s="1611"/>
      <c r="L11" s="1601" t="s">
        <v>862</v>
      </c>
      <c r="M11" s="1602">
        <f>SUMPRODUCT((区片价!B317:B337=I2)*(区片价!C3:F3=E2)*(区片价!C317:F337))</f>
        <v>0</v>
      </c>
      <c r="N11" s="1603">
        <f>SUMPRODUCT((因素修正幅度!B317:B337=I2)*(因素修正幅度!C3:F3=E2)*(因素修正幅度!C317:F337))</f>
        <v>0</v>
      </c>
      <c r="O11" s="1611"/>
      <c r="P11" s="1594"/>
      <c r="Q11" s="1594"/>
      <c r="R11" s="1686">
        <v>10</v>
      </c>
      <c r="S11" s="1687"/>
      <c r="T11" s="1686">
        <f ca="1" t="shared" si="0"/>
        <v>0</v>
      </c>
      <c r="U11" s="1687"/>
      <c r="V11" s="1686">
        <f ca="1" t="shared" si="1"/>
        <v>0</v>
      </c>
      <c r="W11" s="1688" t="s">
        <v>863</v>
      </c>
      <c r="X11" s="1437" t="s">
        <v>830</v>
      </c>
      <c r="Y11" s="1598">
        <f t="shared" ref="Y11:AJ11" si="5">$G$3</f>
        <v>1.22</v>
      </c>
      <c r="Z11" s="1598">
        <f t="shared" si="5"/>
        <v>1.22</v>
      </c>
      <c r="AA11" s="1598">
        <f t="shared" si="5"/>
        <v>1.22</v>
      </c>
      <c r="AB11" s="1598">
        <f t="shared" si="5"/>
        <v>1.22</v>
      </c>
      <c r="AC11" s="1598">
        <f t="shared" si="5"/>
        <v>1.22</v>
      </c>
      <c r="AD11" s="1598">
        <f t="shared" si="5"/>
        <v>1.22</v>
      </c>
      <c r="AE11" s="1598">
        <f t="shared" si="5"/>
        <v>1.22</v>
      </c>
      <c r="AF11" s="1598">
        <f t="shared" si="5"/>
        <v>1.22</v>
      </c>
      <c r="AG11" s="1598">
        <f t="shared" si="5"/>
        <v>1.22</v>
      </c>
      <c r="AH11" s="1598">
        <f t="shared" si="5"/>
        <v>1.22</v>
      </c>
      <c r="AI11" s="1598">
        <f t="shared" si="5"/>
        <v>1.22</v>
      </c>
      <c r="AJ11" s="1598">
        <f t="shared" si="5"/>
        <v>1.22</v>
      </c>
    </row>
    <row r="12" ht="25.5" spans="1:36">
      <c r="A12" s="1423" t="s">
        <v>864</v>
      </c>
      <c r="B12" s="1442" t="s">
        <v>865</v>
      </c>
      <c r="C12" s="1425">
        <f>ROUND(C15*D15*E15*F15*G15*H15*I15*J15,4)</f>
        <v>1</v>
      </c>
      <c r="D12" s="1443" t="s">
        <v>866</v>
      </c>
      <c r="E12" s="1444"/>
      <c r="F12" s="1444"/>
      <c r="G12" s="1445"/>
      <c r="H12" s="1445"/>
      <c r="I12" s="1445"/>
      <c r="J12" s="1616"/>
      <c r="K12" s="1611"/>
      <c r="L12" s="1617" t="s">
        <v>867</v>
      </c>
      <c r="M12" s="1618">
        <f>SUMPRODUCT((区片价!B338:B344=I2)*(区片价!C3:F3=E2)*(区片价!C338:F344))</f>
        <v>0</v>
      </c>
      <c r="N12" s="1619">
        <f>SUMPRODUCT((因素修正幅度!B338:B344=I2)*(因素修正幅度!C3:F3=E2)*(因素修正幅度!C338:F344))</f>
        <v>0</v>
      </c>
      <c r="O12" s="1611"/>
      <c r="P12" s="1594"/>
      <c r="Q12" s="1594"/>
      <c r="R12" s="1686">
        <v>11</v>
      </c>
      <c r="S12" s="1687"/>
      <c r="T12" s="1686">
        <f ca="1" t="shared" si="0"/>
        <v>0</v>
      </c>
      <c r="U12" s="1687"/>
      <c r="V12" s="1686">
        <f ca="1" t="shared" si="1"/>
        <v>0</v>
      </c>
      <c r="W12" s="1688"/>
      <c r="X12" s="1693" t="s">
        <v>868</v>
      </c>
      <c r="Y12" s="1704">
        <f t="shared" ref="Y12:AJ12" si="6">Y9</f>
        <v>0</v>
      </c>
      <c r="Z12" s="1704">
        <f t="shared" si="6"/>
        <v>0</v>
      </c>
      <c r="AA12" s="1704">
        <f t="shared" si="6"/>
        <v>0</v>
      </c>
      <c r="AB12" s="1704">
        <f t="shared" si="6"/>
        <v>0</v>
      </c>
      <c r="AC12" s="1704">
        <f t="shared" si="6"/>
        <v>0</v>
      </c>
      <c r="AD12" s="1704">
        <f t="shared" si="6"/>
        <v>0</v>
      </c>
      <c r="AE12" s="1704">
        <f t="shared" si="6"/>
        <v>0</v>
      </c>
      <c r="AF12" s="1704">
        <f t="shared" si="6"/>
        <v>0</v>
      </c>
      <c r="AG12" s="1704">
        <f t="shared" si="6"/>
        <v>0</v>
      </c>
      <c r="AH12" s="1704">
        <f t="shared" si="6"/>
        <v>0</v>
      </c>
      <c r="AI12" s="1704">
        <f t="shared" si="6"/>
        <v>0</v>
      </c>
      <c r="AJ12" s="1704">
        <f t="shared" si="6"/>
        <v>0</v>
      </c>
    </row>
    <row r="13" ht="24" spans="1:36">
      <c r="A13" s="1446"/>
      <c r="B13" s="1447" t="s">
        <v>869</v>
      </c>
      <c r="C13" s="1448" t="s">
        <v>870</v>
      </c>
      <c r="D13" s="1321" t="s">
        <v>871</v>
      </c>
      <c r="E13" s="1321" t="s">
        <v>872</v>
      </c>
      <c r="F13" s="1449" t="s">
        <v>873</v>
      </c>
      <c r="G13" s="1450" t="s">
        <v>874</v>
      </c>
      <c r="H13" s="1451" t="s">
        <v>874</v>
      </c>
      <c r="I13" s="1620" t="s">
        <v>874</v>
      </c>
      <c r="J13" s="1621" t="s">
        <v>874</v>
      </c>
      <c r="K13" s="1622"/>
      <c r="L13" s="1622"/>
      <c r="M13" s="1622"/>
      <c r="N13" s="1622"/>
      <c r="O13" s="1622"/>
      <c r="P13" s="1594"/>
      <c r="Q13" s="1594"/>
      <c r="R13" s="1686">
        <v>12</v>
      </c>
      <c r="S13" s="1687"/>
      <c r="T13" s="1686">
        <f ca="1" t="shared" si="0"/>
        <v>0</v>
      </c>
      <c r="U13" s="1687"/>
      <c r="V13" s="1686">
        <f ca="1" t="shared" si="1"/>
        <v>0</v>
      </c>
      <c r="W13" s="1688"/>
      <c r="X13" s="1693"/>
      <c r="Y13" s="1705">
        <f t="shared" ref="Y13:AJ13" si="7">(-0.163*(Y12^2)-0.59*Y12+7617)*(10^(-4))/Y11</f>
        <v>0.624344262295082</v>
      </c>
      <c r="Z13" s="1705">
        <f t="shared" si="7"/>
        <v>0.624344262295082</v>
      </c>
      <c r="AA13" s="1705">
        <f t="shared" si="7"/>
        <v>0.624344262295082</v>
      </c>
      <c r="AB13" s="1705">
        <f t="shared" si="7"/>
        <v>0.624344262295082</v>
      </c>
      <c r="AC13" s="1705">
        <f t="shared" si="7"/>
        <v>0.624344262295082</v>
      </c>
      <c r="AD13" s="1705">
        <f t="shared" si="7"/>
        <v>0.624344262295082</v>
      </c>
      <c r="AE13" s="1705">
        <f t="shared" si="7"/>
        <v>0.624344262295082</v>
      </c>
      <c r="AF13" s="1705">
        <f t="shared" si="7"/>
        <v>0.624344262295082</v>
      </c>
      <c r="AG13" s="1705">
        <f t="shared" si="7"/>
        <v>0.624344262295082</v>
      </c>
      <c r="AH13" s="1705">
        <f t="shared" si="7"/>
        <v>0.624344262295082</v>
      </c>
      <c r="AI13" s="1705">
        <f t="shared" si="7"/>
        <v>0.624344262295082</v>
      </c>
      <c r="AJ13" s="1705">
        <f t="shared" si="7"/>
        <v>0.624344262295082</v>
      </c>
    </row>
    <row r="14" ht="12.75" customHeight="1" spans="1:29">
      <c r="A14" s="1446"/>
      <c r="B14" s="1452"/>
      <c r="C14" s="1453"/>
      <c r="D14" s="1454"/>
      <c r="E14" s="1454"/>
      <c r="F14" s="1455"/>
      <c r="G14" s="1456" t="s">
        <v>875</v>
      </c>
      <c r="H14" s="1457"/>
      <c r="I14" s="1623"/>
      <c r="J14" s="1624"/>
      <c r="K14" s="1625"/>
      <c r="L14" s="1625"/>
      <c r="M14" s="1625"/>
      <c r="N14" s="1625"/>
      <c r="O14" s="1625"/>
      <c r="P14" s="1594"/>
      <c r="Q14" s="1594"/>
      <c r="R14" s="1686">
        <v>13</v>
      </c>
      <c r="S14" s="1687"/>
      <c r="T14" s="1686">
        <f ca="1" t="shared" si="0"/>
        <v>0</v>
      </c>
      <c r="U14" s="1687"/>
      <c r="V14" s="1686">
        <f ca="1" t="shared" si="1"/>
        <v>0</v>
      </c>
      <c r="W14" s="1594"/>
      <c r="X14" s="1594"/>
      <c r="Y14" s="1594"/>
      <c r="Z14" s="1594"/>
      <c r="AA14" s="1594"/>
      <c r="AB14" s="1594"/>
      <c r="AC14" s="1697"/>
    </row>
    <row r="15" ht="13.5" customHeight="1" spans="1:29">
      <c r="A15" s="1458"/>
      <c r="B15" s="1459" t="s">
        <v>876</v>
      </c>
      <c r="C15" s="1439">
        <f>IF(C14="有",1.1,1)</f>
        <v>1</v>
      </c>
      <c r="D15" s="1439">
        <f>IF(D14="有",1.1,1)</f>
        <v>1</v>
      </c>
      <c r="E15" s="1439">
        <f>IF(E14="有",1.1,1)</f>
        <v>1</v>
      </c>
      <c r="F15" s="1439">
        <f>IF(F14="500米范围内",1.2,IF(F14="500-1000米",1.1,1))</f>
        <v>1</v>
      </c>
      <c r="G15" s="1460">
        <v>1</v>
      </c>
      <c r="H15" s="1460">
        <v>1</v>
      </c>
      <c r="I15" s="1460">
        <v>1</v>
      </c>
      <c r="J15" s="1626">
        <v>1</v>
      </c>
      <c r="K15" s="1627"/>
      <c r="L15" s="1627"/>
      <c r="M15" s="1627"/>
      <c r="N15" s="1627"/>
      <c r="O15" s="1627"/>
      <c r="P15" s="1594"/>
      <c r="Q15" s="1594"/>
      <c r="R15" s="1686">
        <v>14</v>
      </c>
      <c r="S15" s="1687"/>
      <c r="T15" s="1686">
        <f ca="1" t="shared" si="0"/>
        <v>0</v>
      </c>
      <c r="U15" s="1687"/>
      <c r="V15" s="1686">
        <f ca="1" t="shared" si="1"/>
        <v>0</v>
      </c>
      <c r="W15" s="1594"/>
      <c r="X15" s="1594"/>
      <c r="Y15" s="1594"/>
      <c r="Z15" s="1594"/>
      <c r="AA15" s="1594"/>
      <c r="AB15" s="1594"/>
      <c r="AC15" s="1697"/>
    </row>
    <row r="16" ht="24.6" customHeight="1" spans="1:29">
      <c r="A16" s="1423" t="s">
        <v>877</v>
      </c>
      <c r="B16" s="1424" t="s">
        <v>878</v>
      </c>
      <c r="C16" s="1461">
        <f>ROUND(IF(F17="与级别开发程度一致",0,(G17-E17)/C17),0)</f>
        <v>15</v>
      </c>
      <c r="D16" s="1462" t="s">
        <v>879</v>
      </c>
      <c r="E16" s="1463"/>
      <c r="F16" s="1462" t="s">
        <v>880</v>
      </c>
      <c r="G16" s="1463"/>
      <c r="H16" s="1464" t="s">
        <v>881</v>
      </c>
      <c r="I16" s="1464" t="s">
        <v>882</v>
      </c>
      <c r="J16" s="1464" t="s">
        <v>883</v>
      </c>
      <c r="K16" s="1464" t="s">
        <v>884</v>
      </c>
      <c r="L16" s="1464" t="s">
        <v>885</v>
      </c>
      <c r="M16" s="1464" t="s">
        <v>886</v>
      </c>
      <c r="N16" s="1464" t="s">
        <v>887</v>
      </c>
      <c r="O16" s="1628"/>
      <c r="P16" s="1594"/>
      <c r="Q16" s="1694"/>
      <c r="R16" s="1686">
        <v>15</v>
      </c>
      <c r="S16" s="1687"/>
      <c r="T16" s="1686">
        <f ca="1" t="shared" si="0"/>
        <v>0</v>
      </c>
      <c r="U16" s="1687"/>
      <c r="V16" s="1686">
        <f ca="1" t="shared" si="1"/>
        <v>0</v>
      </c>
      <c r="W16" s="1694"/>
      <c r="X16" s="1694"/>
      <c r="Y16" s="1694"/>
      <c r="Z16" s="1694"/>
      <c r="AA16" s="1694"/>
      <c r="AB16" s="1694"/>
      <c r="AC16" s="1638"/>
    </row>
    <row r="17" ht="24.75" spans="1:39">
      <c r="A17" s="1465"/>
      <c r="B17" s="1466" t="s">
        <v>888</v>
      </c>
      <c r="C17" s="1467">
        <f>SUMPRODUCT((修正!A2:A5=E2)*(修正!B1:M1=G2)*(修正!B2:M5))</f>
        <v>2</v>
      </c>
      <c r="D17" s="1468" t="str">
        <f>IF(OR(G2="八级",G2="九级",G2="十级",G2="十一级",G2="十二级"),"五通一平","七通一平")</f>
        <v>五通一平</v>
      </c>
      <c r="E17" s="1469">
        <f>SUMPRODUCT((修正!B1:M1=G2)*(修正!B15:M15))</f>
        <v>155</v>
      </c>
      <c r="F17" s="1470" t="s">
        <v>889</v>
      </c>
      <c r="G17" s="1469">
        <f>SUM(H17:O17)</f>
        <v>185</v>
      </c>
      <c r="H17" s="1471">
        <f>SUMPRODUCT((七通一平=H16)*(修正!B1:M1=G2)*(修正!B6:M14))</f>
        <v>50</v>
      </c>
      <c r="I17" s="1471">
        <f>SUMPRODUCT((七通一平=I16)*(修正!B1:M1=G2)*(修正!B6:M14))</f>
        <v>40</v>
      </c>
      <c r="J17" s="1471">
        <f>SUMPRODUCT((七通一平=J16)*(修正!B1:M1=G2)*(修正!B6:M14))</f>
        <v>10</v>
      </c>
      <c r="K17" s="1471">
        <f>SUMPRODUCT((七通一平=K16)*(修正!B1:M1=G2)*(修正!B6:M14))</f>
        <v>20</v>
      </c>
      <c r="L17" s="1471">
        <f>SUMPRODUCT((七通一平=L16)*(修正!B1:M1=G2)*(修正!B6:M14))</f>
        <v>25</v>
      </c>
      <c r="M17" s="1471">
        <f>SUMPRODUCT((七通一平=M16)*(修正!B1:M1=G2)*(修正!B6:M14))</f>
        <v>10</v>
      </c>
      <c r="N17" s="1471">
        <f>SUMPRODUCT((七通一平=N16)*(修正!B1:M1=G2)*(修正!B6:M14))</f>
        <v>30</v>
      </c>
      <c r="O17" s="1629">
        <f>SUMPRODUCT((七通一平=O16)*(修正!B1:M1=G2)*(修正!B6:M14))</f>
        <v>0</v>
      </c>
      <c r="P17" s="1594"/>
      <c r="Q17" s="1694"/>
      <c r="R17" s="1638"/>
      <c r="S17" s="1638"/>
      <c r="T17" s="1638"/>
      <c r="U17" s="1638"/>
      <c r="V17" s="1638"/>
      <c r="W17" s="1694"/>
      <c r="X17" s="1694"/>
      <c r="Y17" s="1694"/>
      <c r="Z17" s="1694"/>
      <c r="AA17" s="1694"/>
      <c r="AB17" s="1694"/>
      <c r="AC17" s="1638"/>
      <c r="AH17" s="1386"/>
      <c r="AI17" s="1386"/>
      <c r="AJ17" s="1389"/>
      <c r="AK17" s="1389"/>
      <c r="AL17" s="1389"/>
      <c r="AM17" s="1389"/>
    </row>
    <row r="18" s="1385" customFormat="1" ht="15.75" spans="1:38">
      <c r="A18" s="1472" t="s">
        <v>890</v>
      </c>
      <c r="B18" s="1473" t="s">
        <v>891</v>
      </c>
      <c r="C18" s="1474">
        <f>SUMIF(修正!C18:C39,E3,修正!E18:E39)</f>
        <v>0.9</v>
      </c>
      <c r="D18" s="1475"/>
      <c r="E18" s="1476"/>
      <c r="F18" s="1477"/>
      <c r="G18" s="1478"/>
      <c r="H18" s="1478"/>
      <c r="I18" s="1478"/>
      <c r="J18" s="1630"/>
      <c r="K18" s="1608"/>
      <c r="L18" s="1478"/>
      <c r="M18" s="1478"/>
      <c r="N18" s="1478"/>
      <c r="O18" s="1478"/>
      <c r="P18" s="1631"/>
      <c r="Q18" s="1695"/>
      <c r="R18" s="1695"/>
      <c r="S18" s="1695"/>
      <c r="T18" s="1695"/>
      <c r="U18" s="1695"/>
      <c r="V18" s="1695"/>
      <c r="W18" s="1638"/>
      <c r="X18" s="1638"/>
      <c r="Y18" s="1638"/>
      <c r="Z18" s="1638"/>
      <c r="AA18" s="1694"/>
      <c r="AB18" s="1694"/>
      <c r="AC18" s="1654"/>
      <c r="AD18" s="1706"/>
      <c r="AE18" s="1706"/>
      <c r="AF18" s="1706"/>
      <c r="AG18" s="1706"/>
      <c r="AH18" s="1390"/>
      <c r="AI18" s="1390"/>
      <c r="AJ18" s="1387"/>
      <c r="AK18" s="1387"/>
      <c r="AL18" s="1387"/>
    </row>
    <row r="19" s="1385" customFormat="1" ht="27.75" spans="1:35">
      <c r="A19" s="1479" t="s">
        <v>892</v>
      </c>
      <c r="B19" s="1480" t="s">
        <v>893</v>
      </c>
      <c r="C19" s="1481">
        <f>ROUND(IF(H19="按公示增长率计算",SUMPRODUCT((地价!A3:A36=YEAR(G19)&amp;"-"&amp;ROUNDUP(MONTH(G19)/3,0))*(地价!X2:AB2=E2)*(地价!X3:AB36)),IF(H19="地价指数",M20/M19,(1+I19)^O19)),4)</f>
        <v>1.3963</v>
      </c>
      <c r="D19" s="1482" t="s">
        <v>894</v>
      </c>
      <c r="E19" s="1483">
        <v>41640</v>
      </c>
      <c r="F19" s="1482" t="s">
        <v>354</v>
      </c>
      <c r="G19" s="1484">
        <f>'数据-取费表'!B2</f>
        <v>44519</v>
      </c>
      <c r="H19" s="1485" t="s">
        <v>895</v>
      </c>
      <c r="I19" s="1632" t="str">
        <f>IF(H19="季度增幅（自定义）",SUMIF(N21:N24,E2,O21:O24),"")</f>
        <v/>
      </c>
      <c r="J19" s="1633"/>
      <c r="K19" s="1608"/>
      <c r="L19" s="1634" t="s">
        <v>896</v>
      </c>
      <c r="M19" s="1635">
        <f>ROUND(SUMIF(地价!B2:F2,E2,地价!B36:F36),0)</f>
        <v>258</v>
      </c>
      <c r="N19" s="1636" t="s">
        <v>897</v>
      </c>
      <c r="O19" s="1637">
        <f>ROUNDDOWN(DATEDIF(E19,G19,"M")/3,0)</f>
        <v>31</v>
      </c>
      <c r="P19" s="1638"/>
      <c r="Q19" s="1696"/>
      <c r="R19" s="1654"/>
      <c r="S19" s="1654"/>
      <c r="T19" s="1654"/>
      <c r="U19" s="1654"/>
      <c r="V19" s="1654"/>
      <c r="W19" s="1654"/>
      <c r="X19" s="1654"/>
      <c r="Y19" s="1390"/>
      <c r="Z19" s="1390"/>
      <c r="AA19" s="1390"/>
      <c r="AB19" s="1390"/>
      <c r="AC19" s="1706"/>
      <c r="AD19" s="1707"/>
      <c r="AE19" s="1708"/>
      <c r="AF19" s="1387"/>
      <c r="AG19" s="1709"/>
      <c r="AH19" s="1709"/>
      <c r="AI19" s="1709"/>
    </row>
    <row r="20" s="1385" customFormat="1" ht="27.75" spans="1:30">
      <c r="A20" s="1472" t="s">
        <v>898</v>
      </c>
      <c r="B20" s="1486" t="s">
        <v>899</v>
      </c>
      <c r="C20" s="1487">
        <f ca="1">ROUND(POWER(1+G20,J20-I20)*(POWER(1+G20,I20)-1)/(POWER(1+G20,J20)-1),4)</f>
        <v>1</v>
      </c>
      <c r="D20" s="1488" t="s">
        <v>900</v>
      </c>
      <c r="E20" s="1489">
        <f ca="1">存贷款利率!I4/100</f>
        <v>0.0435</v>
      </c>
      <c r="F20" s="1488" t="s">
        <v>901</v>
      </c>
      <c r="G20" s="1490">
        <f ca="1">SUMIF(M26:P26,E2,M28:P28)</f>
        <v>0.052</v>
      </c>
      <c r="H20" s="1488" t="s">
        <v>902</v>
      </c>
      <c r="I20" s="1639">
        <v>50</v>
      </c>
      <c r="J20" s="1640">
        <f>IF(E2="住宅",70,IF(E2="商业",40,50))</f>
        <v>50</v>
      </c>
      <c r="K20" s="1627"/>
      <c r="L20" s="1641" t="s">
        <v>903</v>
      </c>
      <c r="M20" s="1642">
        <f>ROUND(SUMPRODUCT((地价!A4:A36=YEAR(G19)&amp;"-"&amp;ROUNDUP(MONTH(G19)/3,0))*(地价!B2:F2=E2)*(地价!B4:F36)),0)</f>
        <v>352</v>
      </c>
      <c r="N20" s="1643" t="s">
        <v>904</v>
      </c>
      <c r="O20" s="1644" t="s">
        <v>905</v>
      </c>
      <c r="P20" s="1645" t="s">
        <v>906</v>
      </c>
      <c r="Q20" s="1696"/>
      <c r="R20" s="1654"/>
      <c r="S20" s="1654"/>
      <c r="T20" s="1654"/>
      <c r="U20" s="1654"/>
      <c r="V20" s="1654"/>
      <c r="W20" s="1654"/>
      <c r="X20" s="1654"/>
      <c r="Y20" s="1706"/>
      <c r="Z20" s="1706"/>
      <c r="AA20" s="1706"/>
      <c r="AB20" s="1706"/>
      <c r="AC20" s="1706"/>
      <c r="AD20" s="1706"/>
    </row>
    <row r="21" s="1385" customFormat="1" ht="14.25" spans="1:30">
      <c r="A21" s="1491" t="s">
        <v>907</v>
      </c>
      <c r="B21" s="1492" t="s">
        <v>176</v>
      </c>
      <c r="C21" s="1493">
        <f>IF(B21="容积率修正",IF(G3&lt;=10,D22,J22),C23)</f>
        <v>1.1686</v>
      </c>
      <c r="D21" s="1494"/>
      <c r="E21" s="1494"/>
      <c r="F21" s="1494"/>
      <c r="G21" s="1494"/>
      <c r="H21" s="1494"/>
      <c r="I21" s="1494"/>
      <c r="J21" s="1646"/>
      <c r="K21" s="1608"/>
      <c r="L21" s="1494"/>
      <c r="M21" s="1494"/>
      <c r="N21" s="1647" t="s">
        <v>376</v>
      </c>
      <c r="O21" s="1648"/>
      <c r="P21" s="1649">
        <f>SUMPRODUCT((地价!A3:A36=YEAR(G19)&amp;"-"&amp;ROUNDUP(MONTH(G19)/3,0))*(地价!AD2:AH2=N21)*(地价!AD3:AH36))</f>
        <v>0.0105</v>
      </c>
      <c r="Q21" s="1696"/>
      <c r="R21" s="1654"/>
      <c r="S21" s="1654"/>
      <c r="T21" s="1654"/>
      <c r="U21" s="1654"/>
      <c r="V21" s="1654"/>
      <c r="W21" s="1654"/>
      <c r="X21" s="1654"/>
      <c r="Y21" s="1390"/>
      <c r="Z21" s="1390"/>
      <c r="AA21" s="1390"/>
      <c r="AB21" s="1390"/>
      <c r="AC21" s="1706"/>
      <c r="AD21" s="1706"/>
    </row>
    <row r="22" s="1385" customFormat="1" ht="14.25" spans="1:30">
      <c r="A22" s="1495" t="s">
        <v>823</v>
      </c>
      <c r="B22" s="1496" t="s">
        <v>908</v>
      </c>
      <c r="C22" s="1497" t="s">
        <v>909</v>
      </c>
      <c r="D22" s="1497">
        <f>IF(E22=G22,F22,IF(G3&lt;=10,ROUND(F22+(H22-F22)*(G3-E22)/(G22-E22),4),"——"))</f>
        <v>1.1686</v>
      </c>
      <c r="E22" s="1405">
        <f>ROUNDDOWN(G3,1)</f>
        <v>1.2</v>
      </c>
      <c r="F22" s="14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1.1742</v>
      </c>
      <c r="G22" s="1405">
        <f>ROUNDUP(G3,1)</f>
        <v>1.3</v>
      </c>
      <c r="H22" s="14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1.146</v>
      </c>
      <c r="I22" s="1497" t="s">
        <v>910</v>
      </c>
      <c r="J22" s="1497" t="str">
        <f>IF(G3&gt;10,D113,"——")</f>
        <v>——</v>
      </c>
      <c r="K22" s="1650"/>
      <c r="L22" s="1494"/>
      <c r="M22" s="1494"/>
      <c r="N22" s="1647" t="s">
        <v>377</v>
      </c>
      <c r="O22" s="1648"/>
      <c r="P22" s="1649">
        <f>SUMPRODUCT((地价!A3:A36=YEAR(G19)&amp;"-"&amp;ROUNDUP(MONTH(G19)/3,0))*(地价!AD2:AH2=N22)*(地价!AD3:AH36))</f>
        <v>0.0105</v>
      </c>
      <c r="Q22" s="1696"/>
      <c r="R22" s="1654"/>
      <c r="S22" s="1654"/>
      <c r="T22" s="1654"/>
      <c r="U22" s="1654"/>
      <c r="V22" s="1654"/>
      <c r="W22" s="1654"/>
      <c r="X22" s="1654"/>
      <c r="Y22" s="1706"/>
      <c r="Z22" s="1706"/>
      <c r="AA22" s="1706"/>
      <c r="AB22" s="1706"/>
      <c r="AC22" s="1706"/>
      <c r="AD22" s="1706"/>
    </row>
    <row r="23" ht="15.75" spans="1:39">
      <c r="A23" s="1495" t="s">
        <v>864</v>
      </c>
      <c r="B23" s="1496" t="s">
        <v>911</v>
      </c>
      <c r="C23" s="1498">
        <f>ROUND(IF(G3&gt;1,IF(I3&lt;7,SUMPRODUCT((B93:B98=I3)*(C92:N92=G2)*(C93:N98)),SUMIF(C92:N92,G2,C100:N100)),IF(I3&lt;7,SUMPRODUCT((B102:B107=I3)*(C92:N92=G2)*(C102:N107)),SUMIF(C92:N92,G2,C109:N109))),4)</f>
        <v>0</v>
      </c>
      <c r="D23" s="1499"/>
      <c r="E23" s="1499"/>
      <c r="F23" s="1500"/>
      <c r="G23" s="1501"/>
      <c r="H23" s="1502"/>
      <c r="I23" s="1651"/>
      <c r="J23" s="1651"/>
      <c r="K23" s="1652"/>
      <c r="L23" s="1396"/>
      <c r="M23" s="1396"/>
      <c r="N23" s="1647" t="s">
        <v>375</v>
      </c>
      <c r="O23" s="1648"/>
      <c r="P23" s="1649">
        <f>SUMPRODUCT((地价!A3:A36=YEAR(G19)&amp;"-"&amp;ROUNDUP(MONTH(G19)/3,0))*(地价!AD2:AH2=N23)*(地价!AD3:AH36))</f>
        <v>0.0183</v>
      </c>
      <c r="Q23" s="1696"/>
      <c r="R23" s="1654"/>
      <c r="S23" s="1654"/>
      <c r="T23" s="1654"/>
      <c r="U23" s="1654"/>
      <c r="V23" s="1654"/>
      <c r="W23" s="1654"/>
      <c r="X23" s="1654"/>
      <c r="Y23" s="1390"/>
      <c r="Z23" s="1390"/>
      <c r="AA23" s="1390"/>
      <c r="AB23" s="1390"/>
      <c r="AC23" s="1390"/>
      <c r="AE23" s="1387"/>
      <c r="AF23" s="1387"/>
      <c r="AG23" s="1387"/>
      <c r="AH23" s="1387"/>
      <c r="AI23" s="1387"/>
      <c r="AJ23" s="1389"/>
      <c r="AK23" s="1389"/>
      <c r="AL23" s="1389"/>
      <c r="AM23" s="1389"/>
    </row>
    <row r="24" s="1385" customFormat="1" ht="15.75" spans="1:30">
      <c r="A24" s="1503" t="s">
        <v>912</v>
      </c>
      <c r="B24" s="1412" t="s">
        <v>913</v>
      </c>
      <c r="C24" s="1504">
        <f>SUMIF(A44:A87,E2,B44:B87)</f>
        <v>1.0495</v>
      </c>
      <c r="D24" s="1505"/>
      <c r="E24" s="1506"/>
      <c r="F24" s="1506"/>
      <c r="G24" s="1506"/>
      <c r="H24" s="1506"/>
      <c r="I24" s="1506"/>
      <c r="J24" s="1506"/>
      <c r="K24" s="1652"/>
      <c r="L24" s="1494"/>
      <c r="M24" s="1494"/>
      <c r="N24" s="1647" t="s">
        <v>164</v>
      </c>
      <c r="O24" s="1653"/>
      <c r="P24" s="1649">
        <f>SUMPRODUCT((地价!A3:A36=YEAR(G19)&amp;"-"&amp;ROUNDUP(MONTH(G19)/3,0))*(地价!AD2:AH2=N24)*(地价!AD3:AH36))</f>
        <v>0.0122</v>
      </c>
      <c r="Q24" s="1696"/>
      <c r="R24" s="1654"/>
      <c r="S24" s="1654"/>
      <c r="T24" s="1654"/>
      <c r="U24" s="1654"/>
      <c r="V24" s="1654"/>
      <c r="W24" s="1654"/>
      <c r="X24" s="1654"/>
      <c r="Y24" s="1706"/>
      <c r="Z24" s="1706"/>
      <c r="AA24" s="1706"/>
      <c r="AB24" s="1706"/>
      <c r="AC24" s="1706"/>
      <c r="AD24" s="1706"/>
    </row>
    <row r="25" ht="15" spans="1:39">
      <c r="A25" s="1503" t="s">
        <v>914</v>
      </c>
      <c r="B25" s="1507" t="s">
        <v>915</v>
      </c>
      <c r="C25" s="1508"/>
      <c r="D25" s="1429"/>
      <c r="E25" s="1429"/>
      <c r="F25" s="1509"/>
      <c r="G25" s="1429"/>
      <c r="H25" s="1429"/>
      <c r="I25" s="1429"/>
      <c r="J25" s="1613"/>
      <c r="K25" s="1611"/>
      <c r="L25" s="1654"/>
      <c r="M25" s="1654"/>
      <c r="N25" s="1655" t="s">
        <v>916</v>
      </c>
      <c r="O25" s="1656"/>
      <c r="P25" s="1657">
        <f>SUMPRODUCT((地价!A3:A36=YEAR(G19)&amp;"-"&amp;ROUNDUP(MONTH(G19)/3,0))*(地价!AD2:AH2=N25)*(地价!AD3:AH36))</f>
        <v>0.0166</v>
      </c>
      <c r="Q25" s="1696"/>
      <c r="R25" s="1654"/>
      <c r="S25" s="1654"/>
      <c r="T25" s="1654"/>
      <c r="U25" s="1654"/>
      <c r="V25" s="1654"/>
      <c r="W25" s="1654"/>
      <c r="X25" s="1654"/>
      <c r="Y25" s="1390"/>
      <c r="Z25" s="1390"/>
      <c r="AA25" s="1390"/>
      <c r="AB25" s="1390"/>
      <c r="AC25" s="1390"/>
      <c r="AE25" s="1387"/>
      <c r="AF25" s="1387"/>
      <c r="AG25" s="1387"/>
      <c r="AH25" s="1387"/>
      <c r="AI25" s="1389"/>
      <c r="AJ25" s="1389"/>
      <c r="AK25" s="1389"/>
      <c r="AL25" s="1389"/>
      <c r="AM25" s="1389"/>
    </row>
    <row r="26" ht="14.25" spans="1:39">
      <c r="A26" s="1510"/>
      <c r="B26" s="1496" t="s">
        <v>783</v>
      </c>
      <c r="C26" s="1511">
        <f ca="1">IF(B21="容积率修正",E29+SUM(E33:E39),SUM(V2:V16)+SUM(E33:E39))</f>
        <v>22503</v>
      </c>
      <c r="D26" s="1512"/>
      <c r="E26" s="1457"/>
      <c r="F26" s="1513"/>
      <c r="G26" s="1457"/>
      <c r="H26" s="1457"/>
      <c r="I26" s="1457"/>
      <c r="J26" s="1658"/>
      <c r="K26" s="1611"/>
      <c r="L26" s="1659" t="s">
        <v>348</v>
      </c>
      <c r="M26" s="1426" t="s">
        <v>376</v>
      </c>
      <c r="N26" s="1426" t="s">
        <v>377</v>
      </c>
      <c r="O26" s="1426" t="s">
        <v>375</v>
      </c>
      <c r="P26" s="1660" t="s">
        <v>164</v>
      </c>
      <c r="Q26" s="1696"/>
      <c r="R26" s="1654"/>
      <c r="S26" s="1654"/>
      <c r="T26" s="1654"/>
      <c r="U26" s="1654"/>
      <c r="V26" s="1654"/>
      <c r="W26" s="1654"/>
      <c r="X26" s="1654"/>
      <c r="Y26" s="1706"/>
      <c r="Z26" s="1706"/>
      <c r="AA26" s="1706"/>
      <c r="AB26" s="1706"/>
      <c r="AC26" s="1390"/>
      <c r="AE26" s="1387"/>
      <c r="AF26" s="1387"/>
      <c r="AG26" s="1387"/>
      <c r="AH26" s="1387"/>
      <c r="AI26" s="1389"/>
      <c r="AJ26" s="1389"/>
      <c r="AK26" s="1389"/>
      <c r="AL26" s="1389"/>
      <c r="AM26" s="1389"/>
    </row>
    <row r="27" ht="15" spans="1:29">
      <c r="A27" s="1510"/>
      <c r="B27" s="1514" t="s">
        <v>917</v>
      </c>
      <c r="C27" s="1515">
        <f ca="1">E30+SUM(I33:I39)</f>
        <v>0</v>
      </c>
      <c r="D27" s="1516"/>
      <c r="E27" s="1517"/>
      <c r="F27" s="1518"/>
      <c r="G27" s="1517"/>
      <c r="H27" s="1517"/>
      <c r="I27" s="1517"/>
      <c r="J27" s="1661"/>
      <c r="K27" s="1611"/>
      <c r="L27" s="1662" t="s">
        <v>918</v>
      </c>
      <c r="M27" s="1436">
        <v>0.25</v>
      </c>
      <c r="N27" s="1436">
        <v>0.2</v>
      </c>
      <c r="O27" s="1436">
        <v>0.15</v>
      </c>
      <c r="P27" s="1663">
        <v>0.1</v>
      </c>
      <c r="Q27" s="1654"/>
      <c r="R27" s="1696"/>
      <c r="S27" s="1696"/>
      <c r="T27" s="1696"/>
      <c r="U27" s="1696"/>
      <c r="V27" s="1696"/>
      <c r="W27" s="1654"/>
      <c r="X27" s="1654"/>
      <c r="Y27" s="1654"/>
      <c r="Z27" s="1654"/>
      <c r="AA27" s="1654"/>
      <c r="AB27" s="1654"/>
      <c r="AC27" s="1654"/>
    </row>
    <row r="28" ht="15" spans="1:33">
      <c r="A28" s="1519"/>
      <c r="B28" s="1520" t="s">
        <v>919</v>
      </c>
      <c r="C28" s="1521" t="s">
        <v>920</v>
      </c>
      <c r="D28" s="1521" t="s">
        <v>389</v>
      </c>
      <c r="E28" s="1522" t="s">
        <v>637</v>
      </c>
      <c r="F28" s="1523"/>
      <c r="G28" s="1445"/>
      <c r="H28" s="1445"/>
      <c r="I28" s="1445"/>
      <c r="J28" s="1616"/>
      <c r="K28" s="1611"/>
      <c r="L28" s="1664" t="s">
        <v>901</v>
      </c>
      <c r="M28" s="1665">
        <f ca="1">ROUND($E$20*(1+M27),3)</f>
        <v>0.054</v>
      </c>
      <c r="N28" s="1665">
        <f ca="1">ROUND($E$20*(1+N27),3)</f>
        <v>0.052</v>
      </c>
      <c r="O28" s="1665">
        <f ca="1">ROUND($E$20*(1+O27),3)</f>
        <v>0.05</v>
      </c>
      <c r="P28" s="1666">
        <f ca="1">ROUND($E$20*(1+P27),3)</f>
        <v>0.048</v>
      </c>
      <c r="Q28" s="1654"/>
      <c r="R28" s="1696"/>
      <c r="S28" s="1696"/>
      <c r="T28" s="1696"/>
      <c r="U28" s="1696"/>
      <c r="V28" s="1696"/>
      <c r="W28" s="1654"/>
      <c r="X28" s="1654"/>
      <c r="Y28" s="1654"/>
      <c r="Z28" s="1654"/>
      <c r="AA28" s="1654"/>
      <c r="AB28" s="1654"/>
      <c r="AC28" s="1654"/>
      <c r="AD28" s="1706"/>
      <c r="AE28" s="1706"/>
      <c r="AF28" s="1706"/>
      <c r="AG28" s="1706"/>
    </row>
    <row r="29" ht="14.25" spans="1:40">
      <c r="A29" s="1524"/>
      <c r="B29" s="1525" t="s">
        <v>921</v>
      </c>
      <c r="C29" s="1526">
        <f ca="1">ROUND(C5*C18*C19*C20*C21*C24,0)</f>
        <v>8993</v>
      </c>
      <c r="D29" s="1527">
        <f>'数据-汇总表'!F19</f>
        <v>25022.71</v>
      </c>
      <c r="E29" s="1528">
        <f ca="1" t="shared" ref="E29:E39" si="8">ROUND(C29*D29/10000,0)</f>
        <v>22503</v>
      </c>
      <c r="F29" s="1529" t="s">
        <v>922</v>
      </c>
      <c r="G29" s="1530"/>
      <c r="H29" s="1530"/>
      <c r="I29" s="1530"/>
      <c r="J29" s="1667"/>
      <c r="K29" s="1668"/>
      <c r="L29" s="1668"/>
      <c r="M29" s="1668"/>
      <c r="N29" s="1668"/>
      <c r="O29" s="1668"/>
      <c r="P29" s="1594"/>
      <c r="Q29" s="1654"/>
      <c r="R29" s="1654"/>
      <c r="S29" s="1654"/>
      <c r="T29" s="1654"/>
      <c r="U29" s="1654"/>
      <c r="V29" s="1654"/>
      <c r="W29" s="1696"/>
      <c r="X29" s="1696"/>
      <c r="Y29" s="1696"/>
      <c r="Z29" s="1696"/>
      <c r="AA29" s="1696"/>
      <c r="AB29" s="1654"/>
      <c r="AC29" s="1654"/>
      <c r="AD29" s="1654"/>
      <c r="AE29" s="1654"/>
      <c r="AF29" s="1654"/>
      <c r="AG29" s="1654"/>
      <c r="AH29" s="1654"/>
      <c r="AJ29" s="1390"/>
      <c r="AK29" s="1390"/>
      <c r="AL29" s="1390"/>
      <c r="AM29" s="1386"/>
      <c r="AN29" s="1386"/>
    </row>
    <row r="30" ht="24.75" spans="1:40">
      <c r="A30" s="1531"/>
      <c r="B30" s="1532" t="s">
        <v>923</v>
      </c>
      <c r="C30" s="1471">
        <f ca="1">ROUND(IF(E2="工业",C29*M39,C29*M38),0)</f>
        <v>2248</v>
      </c>
      <c r="D30" s="1533"/>
      <c r="E30" s="1528">
        <f ca="1" t="shared" si="8"/>
        <v>0</v>
      </c>
      <c r="F30" s="1534" t="s">
        <v>924</v>
      </c>
      <c r="G30" s="1535"/>
      <c r="H30" s="1535"/>
      <c r="I30" s="1535"/>
      <c r="J30" s="1669"/>
      <c r="K30" s="1611"/>
      <c r="L30" s="1611"/>
      <c r="M30" s="1611"/>
      <c r="N30" s="1611"/>
      <c r="O30" s="1611"/>
      <c r="P30" s="1594"/>
      <c r="Q30" s="1594"/>
      <c r="R30" s="1594"/>
      <c r="S30" s="1594"/>
      <c r="T30" s="1594"/>
      <c r="U30" s="1594"/>
      <c r="V30" s="1594"/>
      <c r="W30" s="1697"/>
      <c r="X30" s="1697"/>
      <c r="Y30" s="1697"/>
      <c r="Z30" s="1697"/>
      <c r="AA30" s="1697"/>
      <c r="AB30" s="1594"/>
      <c r="AC30" s="1594"/>
      <c r="AD30" s="1594"/>
      <c r="AE30" s="1594"/>
      <c r="AF30" s="1594"/>
      <c r="AG30" s="1594"/>
      <c r="AH30" s="1594"/>
      <c r="AI30" s="1706"/>
      <c r="AJ30" s="1706"/>
      <c r="AK30" s="1706"/>
      <c r="AL30" s="1706"/>
      <c r="AM30" s="1386"/>
      <c r="AN30" s="1386"/>
    </row>
    <row r="31" spans="1:40">
      <c r="A31" s="1536"/>
      <c r="B31" s="1537" t="s">
        <v>925</v>
      </c>
      <c r="C31" s="1538" t="s">
        <v>926</v>
      </c>
      <c r="D31" s="1445"/>
      <c r="E31" s="1538"/>
      <c r="F31" s="1538"/>
      <c r="G31" s="1443" t="s">
        <v>924</v>
      </c>
      <c r="H31" s="1445"/>
      <c r="I31" s="1670"/>
      <c r="J31" s="1616"/>
      <c r="K31" s="1611"/>
      <c r="L31" s="1611"/>
      <c r="M31" s="1611"/>
      <c r="N31" s="1611"/>
      <c r="O31" s="1611"/>
      <c r="P31" s="1594"/>
      <c r="Q31" s="1594"/>
      <c r="R31" s="1594"/>
      <c r="S31" s="1594"/>
      <c r="T31" s="1594"/>
      <c r="U31" s="1594"/>
      <c r="V31" s="1594"/>
      <c r="W31" s="1697"/>
      <c r="X31" s="1697"/>
      <c r="Y31" s="1697"/>
      <c r="Z31" s="1697"/>
      <c r="AA31" s="1697"/>
      <c r="AB31" s="1594"/>
      <c r="AC31" s="1594"/>
      <c r="AD31" s="1594"/>
      <c r="AE31" s="1594"/>
      <c r="AF31" s="1594"/>
      <c r="AG31" s="1594"/>
      <c r="AH31" s="1594"/>
      <c r="AJ31" s="1390"/>
      <c r="AK31" s="1390"/>
      <c r="AL31" s="1390"/>
      <c r="AM31" s="1386"/>
      <c r="AN31" s="1386"/>
    </row>
    <row r="32" ht="24" spans="1:40">
      <c r="A32" s="1524"/>
      <c r="B32" s="1539"/>
      <c r="C32" s="1540" t="s">
        <v>920</v>
      </c>
      <c r="D32" s="1541" t="s">
        <v>389</v>
      </c>
      <c r="E32" s="1541" t="s">
        <v>637</v>
      </c>
      <c r="F32" s="1394" t="s">
        <v>927</v>
      </c>
      <c r="G32" s="1542" t="s">
        <v>920</v>
      </c>
      <c r="H32" s="1542" t="s">
        <v>389</v>
      </c>
      <c r="I32" s="1542" t="s">
        <v>637</v>
      </c>
      <c r="J32" s="1671"/>
      <c r="K32" s="1672"/>
      <c r="L32" s="1672"/>
      <c r="M32" s="1672"/>
      <c r="N32" s="1672"/>
      <c r="O32" s="1672"/>
      <c r="P32" s="1594"/>
      <c r="Q32" s="1594"/>
      <c r="R32" s="1594"/>
      <c r="S32" s="1594"/>
      <c r="T32" s="1594"/>
      <c r="U32" s="1594"/>
      <c r="V32" s="1594"/>
      <c r="W32" s="1697"/>
      <c r="X32" s="1697"/>
      <c r="Y32" s="1697"/>
      <c r="Z32" s="1697"/>
      <c r="AA32" s="1697"/>
      <c r="AB32" s="1594"/>
      <c r="AC32" s="1594"/>
      <c r="AD32" s="1594"/>
      <c r="AE32" s="1594"/>
      <c r="AF32" s="1594"/>
      <c r="AG32" s="1594"/>
      <c r="AH32" s="1594"/>
      <c r="AI32" s="1386"/>
      <c r="AJ32" s="1386"/>
      <c r="AK32" s="1386"/>
      <c r="AL32" s="1386"/>
      <c r="AM32" s="1386"/>
      <c r="AN32" s="1386"/>
    </row>
    <row r="33" ht="12.75" spans="1:44">
      <c r="A33" s="1543"/>
      <c r="B33" s="1544" t="s">
        <v>928</v>
      </c>
      <c r="C33" s="1526">
        <f ca="1">ROUND(D5*C19*C20*C24*F33,0)</f>
        <v>5130</v>
      </c>
      <c r="D33" s="1545"/>
      <c r="E33" s="1437">
        <f ca="1" t="shared" si="8"/>
        <v>0</v>
      </c>
      <c r="F33" s="1437">
        <f>SUMIF(修正!A45:A56,G2,修正!B45:B56)</f>
        <v>0.6</v>
      </c>
      <c r="G33" s="1437">
        <f ca="1">ROUND(IF(E2="工业",C33*$M$39,C33*$M$38),0)</f>
        <v>1283</v>
      </c>
      <c r="H33" s="1437">
        <f t="shared" ref="H33:H39" si="9">D33</f>
        <v>0</v>
      </c>
      <c r="I33" s="1437">
        <f ca="1" t="shared" ref="I33:I39" si="10">ROUND(G33*H33/10000,0)</f>
        <v>0</v>
      </c>
      <c r="J33" s="1543" t="s">
        <v>929</v>
      </c>
      <c r="K33" s="1622"/>
      <c r="L33" s="1622"/>
      <c r="M33" s="1622"/>
      <c r="N33" s="1622"/>
      <c r="O33" s="1622"/>
      <c r="P33" s="1594"/>
      <c r="Q33" s="1594"/>
      <c r="R33" s="1594"/>
      <c r="S33" s="1594"/>
      <c r="T33" s="1594"/>
      <c r="U33" s="1594"/>
      <c r="V33" s="1594"/>
      <c r="W33" s="1697"/>
      <c r="X33" s="1697"/>
      <c r="Y33" s="1697"/>
      <c r="Z33" s="1697"/>
      <c r="AA33" s="1697"/>
      <c r="AB33" s="1594"/>
      <c r="AC33" s="1594"/>
      <c r="AD33" s="1594"/>
      <c r="AE33" s="1594"/>
      <c r="AF33" s="1594"/>
      <c r="AG33" s="1594"/>
      <c r="AH33" s="1697"/>
      <c r="AJ33" s="1390"/>
      <c r="AK33" s="1390"/>
      <c r="AL33" s="1390"/>
      <c r="AM33" s="1390"/>
      <c r="AN33" s="1390"/>
      <c r="AO33" s="1387"/>
      <c r="AP33" s="1387"/>
      <c r="AQ33" s="1387"/>
      <c r="AR33" s="1387"/>
    </row>
    <row r="34" ht="12.75" spans="1:44">
      <c r="A34" s="1546"/>
      <c r="B34" s="1448" t="s">
        <v>930</v>
      </c>
      <c r="C34" s="1526">
        <f ca="1">ROUND(D5*C19*C20*C24*F34,0)</f>
        <v>2565</v>
      </c>
      <c r="D34" s="1545"/>
      <c r="E34" s="1437">
        <f ca="1" t="shared" si="8"/>
        <v>0</v>
      </c>
      <c r="F34" s="1437">
        <f>SUMIF(修正!A45:A56,G2,修正!C45:C56)</f>
        <v>0.3</v>
      </c>
      <c r="G34" s="1437">
        <f ca="1">ROUND(IF(E2="工业",C34*$M$39,C34*$M$38),0)</f>
        <v>641</v>
      </c>
      <c r="H34" s="1437">
        <f t="shared" si="9"/>
        <v>0</v>
      </c>
      <c r="I34" s="1437">
        <f ca="1" t="shared" si="10"/>
        <v>0</v>
      </c>
      <c r="J34" s="1546"/>
      <c r="K34" s="1622"/>
      <c r="L34" s="1622"/>
      <c r="M34" s="1622"/>
      <c r="N34" s="1622"/>
      <c r="O34" s="1622"/>
      <c r="P34" s="1594"/>
      <c r="Q34" s="1594"/>
      <c r="R34" s="1594"/>
      <c r="S34" s="1594"/>
      <c r="T34" s="1594"/>
      <c r="U34" s="1594"/>
      <c r="V34" s="1594"/>
      <c r="W34" s="1697"/>
      <c r="X34" s="1697"/>
      <c r="Y34" s="1697"/>
      <c r="Z34" s="1697"/>
      <c r="AA34" s="1697"/>
      <c r="AB34" s="1594"/>
      <c r="AC34" s="1594"/>
      <c r="AD34" s="1594"/>
      <c r="AE34" s="1594"/>
      <c r="AF34" s="1594"/>
      <c r="AG34" s="1594"/>
      <c r="AH34" s="1697"/>
      <c r="AJ34" s="1390"/>
      <c r="AK34" s="1390"/>
      <c r="AL34" s="1390"/>
      <c r="AM34" s="1390"/>
      <c r="AN34" s="1390"/>
      <c r="AO34" s="1387"/>
      <c r="AP34" s="1387"/>
      <c r="AQ34" s="1387"/>
      <c r="AR34" s="1387"/>
    </row>
    <row r="35" ht="12.75" spans="1:44">
      <c r="A35" s="1546"/>
      <c r="B35" s="1448" t="s">
        <v>931</v>
      </c>
      <c r="C35" s="1526">
        <f ca="1">ROUND(D5*C19*C20*C24*F35,0)</f>
        <v>1710</v>
      </c>
      <c r="D35" s="1545"/>
      <c r="E35" s="1437">
        <f ca="1" t="shared" si="8"/>
        <v>0</v>
      </c>
      <c r="F35" s="1437">
        <f>SUMIF(修正!A45:A56,G2,修正!D45:D56)</f>
        <v>0.2</v>
      </c>
      <c r="G35" s="1437">
        <f ca="1">ROUND(IF(E2="工业",C35*$M$39,C35*$M$38),0)</f>
        <v>428</v>
      </c>
      <c r="H35" s="1437">
        <f t="shared" si="9"/>
        <v>0</v>
      </c>
      <c r="I35" s="1437">
        <f ca="1" t="shared" si="10"/>
        <v>0</v>
      </c>
      <c r="J35" s="1546"/>
      <c r="K35" s="1622"/>
      <c r="L35" s="1622"/>
      <c r="M35" s="1622"/>
      <c r="N35" s="1622"/>
      <c r="O35" s="1622"/>
      <c r="P35" s="1594"/>
      <c r="Q35" s="1594"/>
      <c r="R35" s="1594"/>
      <c r="S35" s="1594"/>
      <c r="T35" s="1594"/>
      <c r="U35" s="1594"/>
      <c r="V35" s="1594"/>
      <c r="W35" s="1697"/>
      <c r="X35" s="1697"/>
      <c r="Y35" s="1697"/>
      <c r="Z35" s="1697"/>
      <c r="AA35" s="1697"/>
      <c r="AB35" s="1594"/>
      <c r="AC35" s="1594"/>
      <c r="AD35" s="1594"/>
      <c r="AE35" s="1594"/>
      <c r="AF35" s="1594"/>
      <c r="AG35" s="1594"/>
      <c r="AH35" s="1697"/>
      <c r="AJ35" s="1390"/>
      <c r="AK35" s="1390"/>
      <c r="AL35" s="1390"/>
      <c r="AM35" s="1390"/>
      <c r="AN35" s="1390"/>
      <c r="AO35" s="1387"/>
      <c r="AP35" s="1387"/>
      <c r="AQ35" s="1387"/>
      <c r="AR35" s="1387"/>
    </row>
    <row r="36" ht="13.5" spans="1:44">
      <c r="A36" s="1547"/>
      <c r="B36" s="1448" t="s">
        <v>932</v>
      </c>
      <c r="C36" s="1526">
        <f ca="1">ROUND(D5*C19*C20*C24*F36,0)</f>
        <v>1710</v>
      </c>
      <c r="D36" s="1545"/>
      <c r="E36" s="1437">
        <f ca="1" t="shared" si="8"/>
        <v>0</v>
      </c>
      <c r="F36" s="1437">
        <f>SUMIF(修正!A45:A56,G2,修正!E45:E56)</f>
        <v>0.2</v>
      </c>
      <c r="G36" s="1437">
        <f ca="1">ROUND(IF(E2="工业",C36*$M$39,C36*$M$38),0)</f>
        <v>428</v>
      </c>
      <c r="H36" s="1437">
        <f t="shared" si="9"/>
        <v>0</v>
      </c>
      <c r="I36" s="1437">
        <f ca="1" t="shared" si="10"/>
        <v>0</v>
      </c>
      <c r="J36" s="1547"/>
      <c r="K36" s="1622"/>
      <c r="L36" s="1622"/>
      <c r="M36" s="1622"/>
      <c r="N36" s="1622"/>
      <c r="O36" s="1622"/>
      <c r="P36" s="1594"/>
      <c r="Q36" s="1594"/>
      <c r="R36" s="1594"/>
      <c r="S36" s="1594"/>
      <c r="T36" s="1594"/>
      <c r="U36" s="1594"/>
      <c r="V36" s="1594"/>
      <c r="W36" s="1697"/>
      <c r="X36" s="1697"/>
      <c r="Y36" s="1697"/>
      <c r="Z36" s="1697"/>
      <c r="AA36" s="1697"/>
      <c r="AB36" s="1594"/>
      <c r="AC36" s="1594"/>
      <c r="AD36" s="1594"/>
      <c r="AE36" s="1594"/>
      <c r="AF36" s="1594"/>
      <c r="AG36" s="1594"/>
      <c r="AH36" s="1697"/>
      <c r="AJ36" s="1390"/>
      <c r="AK36" s="1390"/>
      <c r="AL36" s="1390"/>
      <c r="AM36" s="1390"/>
      <c r="AN36" s="1390"/>
      <c r="AO36" s="1387"/>
      <c r="AP36" s="1387"/>
      <c r="AQ36" s="1387"/>
      <c r="AR36" s="1387"/>
    </row>
    <row r="37" ht="12.75" spans="1:29">
      <c r="A37" s="1548"/>
      <c r="B37" s="1448" t="s">
        <v>568</v>
      </c>
      <c r="C37" s="1437">
        <f ca="1">ROUND(D5*C19*C20*C24*F37*C41,0)</f>
        <v>1710</v>
      </c>
      <c r="D37" s="1545"/>
      <c r="E37" s="1437">
        <f ca="1" t="shared" si="8"/>
        <v>0</v>
      </c>
      <c r="F37" s="1526">
        <f>SUMIF(修正!A45:A56,G2,修正!F45:F56)</f>
        <v>0.2</v>
      </c>
      <c r="G37" s="1437">
        <f ca="1">ROUND(IF(E2="工业",C37*$M$39,C37*$M$38),0)</f>
        <v>428</v>
      </c>
      <c r="H37" s="1437">
        <f t="shared" si="9"/>
        <v>0</v>
      </c>
      <c r="I37" s="1437">
        <f ca="1" t="shared" si="10"/>
        <v>0</v>
      </c>
      <c r="J37" s="1673"/>
      <c r="K37" s="1594"/>
      <c r="L37" s="1674" t="s">
        <v>933</v>
      </c>
      <c r="M37" s="1675"/>
      <c r="N37" s="1594"/>
      <c r="O37" s="1594"/>
      <c r="P37" s="1594"/>
      <c r="Q37" s="1594"/>
      <c r="R37" s="1697"/>
      <c r="S37" s="1697"/>
      <c r="T37" s="1697"/>
      <c r="U37" s="1697"/>
      <c r="V37" s="1697"/>
      <c r="W37" s="1594"/>
      <c r="X37" s="1594"/>
      <c r="Y37" s="1594"/>
      <c r="Z37" s="1594"/>
      <c r="AA37" s="1594"/>
      <c r="AB37" s="1594"/>
      <c r="AC37" s="1697"/>
    </row>
    <row r="38" ht="12.75" spans="1:29">
      <c r="A38" s="1548"/>
      <c r="B38" s="1448" t="s">
        <v>780</v>
      </c>
      <c r="C38" s="1437">
        <f ca="1">ROUND(D5*C19*C41*C24*F38,0)</f>
        <v>1710</v>
      </c>
      <c r="D38" s="1545"/>
      <c r="E38" s="1437">
        <f ca="1" t="shared" si="8"/>
        <v>0</v>
      </c>
      <c r="F38" s="1526">
        <f>SUMIF(修正!A45:A56,G2,修正!G45:G56)</f>
        <v>0.2</v>
      </c>
      <c r="G38" s="1437">
        <f ca="1">ROUND(IF(E2="工业",C38*$M$39,C38*$M$38),0)</f>
        <v>428</v>
      </c>
      <c r="H38" s="1437">
        <f t="shared" si="9"/>
        <v>0</v>
      </c>
      <c r="I38" s="1437">
        <f ca="1" t="shared" si="10"/>
        <v>0</v>
      </c>
      <c r="J38" s="1673"/>
      <c r="K38" s="1594"/>
      <c r="L38" s="1676" t="s">
        <v>934</v>
      </c>
      <c r="M38" s="1677">
        <v>0.25</v>
      </c>
      <c r="N38" s="1594"/>
      <c r="O38" s="1594"/>
      <c r="P38" s="1594"/>
      <c r="Q38" s="1594"/>
      <c r="R38" s="1697"/>
      <c r="S38" s="1697"/>
      <c r="T38" s="1697"/>
      <c r="U38" s="1697"/>
      <c r="V38" s="1697"/>
      <c r="W38" s="1594"/>
      <c r="X38" s="1594"/>
      <c r="Y38" s="1594"/>
      <c r="Z38" s="1594"/>
      <c r="AA38" s="1594"/>
      <c r="AB38" s="1594"/>
      <c r="AC38" s="1697"/>
    </row>
    <row r="39" ht="13.5" spans="1:29">
      <c r="A39" s="1531"/>
      <c r="B39" s="1549" t="s">
        <v>383</v>
      </c>
      <c r="C39" s="1471">
        <f ca="1">ROUND(D5*C19*C41*C24*F39,0)</f>
        <v>1283</v>
      </c>
      <c r="D39" s="1550"/>
      <c r="E39" s="1471">
        <f ca="1" t="shared" si="8"/>
        <v>0</v>
      </c>
      <c r="F39" s="1551">
        <f>SUMIF(修正!A45:A56,G2,修正!H45:H56)</f>
        <v>0.15</v>
      </c>
      <c r="G39" s="1471">
        <f ca="1">ROUND(IF(E2="工业",C39*$M$39,C39*$M$38),0)</f>
        <v>321</v>
      </c>
      <c r="H39" s="1471">
        <f t="shared" si="9"/>
        <v>0</v>
      </c>
      <c r="I39" s="1471">
        <f ca="1" t="shared" si="10"/>
        <v>0</v>
      </c>
      <c r="J39" s="1678"/>
      <c r="K39" s="1594"/>
      <c r="L39" s="1679" t="s">
        <v>935</v>
      </c>
      <c r="M39" s="1680">
        <v>0.15</v>
      </c>
      <c r="N39" s="1594"/>
      <c r="O39" s="1594"/>
      <c r="P39" s="1594"/>
      <c r="Q39" s="1594"/>
      <c r="R39" s="1697"/>
      <c r="S39" s="1697"/>
      <c r="T39" s="1697"/>
      <c r="U39" s="1697"/>
      <c r="V39" s="1697"/>
      <c r="W39" s="1594"/>
      <c r="X39" s="1594"/>
      <c r="Y39" s="1594"/>
      <c r="Z39" s="1594"/>
      <c r="AA39" s="1594"/>
      <c r="AB39" s="1594"/>
      <c r="AC39" s="1697"/>
    </row>
    <row r="40" s="1386" customFormat="1" spans="2:39">
      <c r="B40" s="1552"/>
      <c r="C40" s="1552"/>
      <c r="D40" s="1552"/>
      <c r="E40" s="1552"/>
      <c r="F40" s="1552"/>
      <c r="G40" s="1552"/>
      <c r="H40" s="1552"/>
      <c r="I40" s="1552"/>
      <c r="J40" s="1552"/>
      <c r="K40" s="1552"/>
      <c r="L40" s="1552"/>
      <c r="M40" s="1552"/>
      <c r="N40" s="1552"/>
      <c r="O40" s="1552"/>
      <c r="P40" s="1552"/>
      <c r="Q40" s="1552"/>
      <c r="R40" s="1698"/>
      <c r="S40" s="1698"/>
      <c r="T40" s="1698"/>
      <c r="U40" s="1698"/>
      <c r="V40" s="1698"/>
      <c r="W40" s="1552"/>
      <c r="X40" s="1552"/>
      <c r="Y40" s="1552"/>
      <c r="Z40" s="1552"/>
      <c r="AA40" s="1552"/>
      <c r="AB40" s="1552"/>
      <c r="AC40" s="1698"/>
      <c r="AD40" s="1390"/>
      <c r="AE40" s="1390"/>
      <c r="AF40" s="1390"/>
      <c r="AG40" s="1390"/>
      <c r="AH40" s="1390"/>
      <c r="AI40" s="1390"/>
      <c r="AJ40" s="1390"/>
      <c r="AK40" s="1390"/>
      <c r="AL40" s="1390"/>
      <c r="AM40" s="1390"/>
    </row>
    <row r="41" s="1386" customFormat="1" ht="12.75" spans="1:39">
      <c r="A41" s="1390"/>
      <c r="B41" s="1553" t="s">
        <v>936</v>
      </c>
      <c r="C41" s="1554">
        <f ca="1">ROUND(POWER(1+E41,H41-G41)*(POWER(1+E41,G41)-1)/(POWER(1+E41,H41)-1),4)</f>
        <v>1</v>
      </c>
      <c r="D41" s="1555" t="s">
        <v>937</v>
      </c>
      <c r="E41" s="1556">
        <f ca="1">G20</f>
        <v>0.052</v>
      </c>
      <c r="F41" s="1555" t="s">
        <v>938</v>
      </c>
      <c r="G41" s="1557">
        <v>50</v>
      </c>
      <c r="H41" s="1555">
        <v>50</v>
      </c>
      <c r="I41" s="1552"/>
      <c r="J41" s="1552"/>
      <c r="K41" s="1552"/>
      <c r="L41" s="1552"/>
      <c r="M41" s="1552"/>
      <c r="N41" s="1552"/>
      <c r="O41" s="1552"/>
      <c r="P41" s="1552"/>
      <c r="Q41" s="1552"/>
      <c r="R41" s="1698"/>
      <c r="S41" s="1698"/>
      <c r="T41" s="1698"/>
      <c r="U41" s="1698"/>
      <c r="V41" s="1698"/>
      <c r="W41" s="1552"/>
      <c r="X41" s="1552"/>
      <c r="Y41" s="1552"/>
      <c r="Z41" s="1552"/>
      <c r="AA41" s="1552"/>
      <c r="AB41" s="1552"/>
      <c r="AC41" s="1698"/>
      <c r="AD41" s="1390"/>
      <c r="AE41" s="1390"/>
      <c r="AF41" s="1390"/>
      <c r="AG41" s="1390"/>
      <c r="AH41" s="1390"/>
      <c r="AI41" s="1390"/>
      <c r="AJ41" s="1390"/>
      <c r="AK41" s="1390"/>
      <c r="AL41" s="1390"/>
      <c r="AM41" s="1390"/>
    </row>
    <row r="42" s="1386" customFormat="1" spans="1:39">
      <c r="A42" s="1390"/>
      <c r="B42" s="1558"/>
      <c r="C42" s="1552"/>
      <c r="D42" s="1552"/>
      <c r="E42" s="1552"/>
      <c r="F42" s="1552"/>
      <c r="G42" s="1552"/>
      <c r="H42" s="1552"/>
      <c r="I42" s="1552"/>
      <c r="J42" s="1552"/>
      <c r="K42" s="1552"/>
      <c r="L42" s="1552"/>
      <c r="M42" s="1552"/>
      <c r="N42" s="1552"/>
      <c r="O42" s="1552"/>
      <c r="P42" s="1552"/>
      <c r="Q42" s="1552"/>
      <c r="R42" s="1698"/>
      <c r="S42" s="1698"/>
      <c r="T42" s="1698"/>
      <c r="U42" s="1698"/>
      <c r="V42" s="1698"/>
      <c r="W42" s="1552"/>
      <c r="X42" s="1552"/>
      <c r="Y42" s="1552"/>
      <c r="Z42" s="1552"/>
      <c r="AA42" s="1552"/>
      <c r="AB42" s="1552"/>
      <c r="AC42" s="1698"/>
      <c r="AD42" s="1390"/>
      <c r="AE42" s="1390"/>
      <c r="AF42" s="1390"/>
      <c r="AG42" s="1390"/>
      <c r="AH42" s="1390"/>
      <c r="AI42" s="1390"/>
      <c r="AJ42" s="1390"/>
      <c r="AK42" s="1390"/>
      <c r="AL42" s="1390"/>
      <c r="AM42" s="1390"/>
    </row>
    <row r="43" s="1386" customFormat="1" spans="1:39">
      <c r="A43" s="1390"/>
      <c r="B43" s="1558"/>
      <c r="C43" s="1552"/>
      <c r="D43" s="1552"/>
      <c r="E43" s="1552"/>
      <c r="F43" s="1552"/>
      <c r="G43" s="1552"/>
      <c r="H43" s="1552"/>
      <c r="I43" s="1552"/>
      <c r="J43" s="1552"/>
      <c r="K43" s="1552"/>
      <c r="L43" s="1552"/>
      <c r="M43" s="1552"/>
      <c r="N43" s="1552"/>
      <c r="O43" s="1552"/>
      <c r="P43" s="1552"/>
      <c r="Q43" s="1552"/>
      <c r="R43" s="1698"/>
      <c r="S43" s="1698"/>
      <c r="T43" s="1698"/>
      <c r="U43" s="1698"/>
      <c r="V43" s="1698"/>
      <c r="W43" s="1552"/>
      <c r="X43" s="1552"/>
      <c r="Y43" s="1552"/>
      <c r="Z43" s="1552"/>
      <c r="AA43" s="1552"/>
      <c r="AB43" s="1552"/>
      <c r="AC43" s="1698"/>
      <c r="AD43" s="1390"/>
      <c r="AE43" s="1390"/>
      <c r="AF43" s="1390"/>
      <c r="AG43" s="1390"/>
      <c r="AH43" s="1390"/>
      <c r="AI43" s="1390"/>
      <c r="AJ43" s="1390"/>
      <c r="AK43" s="1390"/>
      <c r="AL43" s="1390"/>
      <c r="AM43" s="1390"/>
    </row>
    <row r="44" s="1386" customFormat="1" ht="15" spans="1:39">
      <c r="A44" s="1559" t="s">
        <v>939</v>
      </c>
      <c r="B44" s="1560"/>
      <c r="C44" s="1561"/>
      <c r="D44" s="1562"/>
      <c r="E44" s="1562"/>
      <c r="F44" s="1563"/>
      <c r="G44" s="1302"/>
      <c r="H44" s="1563"/>
      <c r="I44" s="1302"/>
      <c r="J44" s="1302"/>
      <c r="K44" s="1302"/>
      <c r="L44" s="1302"/>
      <c r="M44" s="1302"/>
      <c r="O44" s="1552"/>
      <c r="P44" s="1552"/>
      <c r="Q44" s="1552"/>
      <c r="R44" s="1698"/>
      <c r="S44" s="1698"/>
      <c r="T44" s="1698"/>
      <c r="U44" s="1698"/>
      <c r="V44" s="1698"/>
      <c r="W44" s="1552"/>
      <c r="X44" s="1552"/>
      <c r="Y44" s="1552"/>
      <c r="Z44" s="1552"/>
      <c r="AA44" s="1552"/>
      <c r="AB44" s="1552"/>
      <c r="AC44" s="1698"/>
      <c r="AD44" s="1390"/>
      <c r="AE44" s="1390"/>
      <c r="AF44" s="1390"/>
      <c r="AG44" s="1390"/>
      <c r="AH44" s="1390"/>
      <c r="AI44" s="1390"/>
      <c r="AJ44" s="1390"/>
      <c r="AK44" s="1390"/>
      <c r="AL44" s="1390"/>
      <c r="AM44" s="1390"/>
    </row>
    <row r="45" s="1386" customFormat="1" ht="15" hidden="1" spans="1:39">
      <c r="A45" s="1564" t="s">
        <v>376</v>
      </c>
      <c r="B45" s="1565">
        <f>1+E47</f>
        <v>1</v>
      </c>
      <c r="C45" s="1566"/>
      <c r="D45" s="1567"/>
      <c r="E45" s="1568"/>
      <c r="F45" s="1569"/>
      <c r="G45" s="1563"/>
      <c r="H45" s="1563"/>
      <c r="I45" s="1302"/>
      <c r="J45" s="1302"/>
      <c r="K45" s="1302"/>
      <c r="L45" s="1302"/>
      <c r="M45" s="1302"/>
      <c r="O45" s="1552"/>
      <c r="P45" s="1552"/>
      <c r="Q45" s="1552"/>
      <c r="R45" s="1698"/>
      <c r="S45" s="1698"/>
      <c r="T45" s="1698"/>
      <c r="U45" s="1698"/>
      <c r="V45" s="1698"/>
      <c r="W45" s="1552"/>
      <c r="X45" s="1552"/>
      <c r="Y45" s="1552"/>
      <c r="Z45" s="1552"/>
      <c r="AA45" s="1552"/>
      <c r="AB45" s="1552"/>
      <c r="AC45" s="1698"/>
      <c r="AD45" s="1390"/>
      <c r="AE45" s="1390"/>
      <c r="AF45" s="1390"/>
      <c r="AG45" s="1390"/>
      <c r="AH45" s="1390"/>
      <c r="AI45" s="1390"/>
      <c r="AJ45" s="1390"/>
      <c r="AK45" s="1390"/>
      <c r="AL45" s="1390"/>
      <c r="AM45" s="1390"/>
    </row>
    <row r="46" s="1386" customFormat="1" ht="24" hidden="1" spans="1:40">
      <c r="A46" s="1354" t="s">
        <v>940</v>
      </c>
      <c r="B46" s="1570" t="s">
        <v>941</v>
      </c>
      <c r="C46" s="1571" t="s">
        <v>942</v>
      </c>
      <c r="D46" s="1572" t="s">
        <v>943</v>
      </c>
      <c r="E46" s="1573" t="s">
        <v>944</v>
      </c>
      <c r="F46" s="1574" t="s">
        <v>945</v>
      </c>
      <c r="G46" s="1572" t="s">
        <v>946</v>
      </c>
      <c r="H46" s="1575" t="s">
        <v>947</v>
      </c>
      <c r="I46" s="1572" t="s">
        <v>948</v>
      </c>
      <c r="J46" s="1681" t="s">
        <v>250</v>
      </c>
      <c r="K46" s="1681" t="s">
        <v>262</v>
      </c>
      <c r="L46" s="1681" t="s">
        <v>272</v>
      </c>
      <c r="M46" s="1681" t="s">
        <v>282</v>
      </c>
      <c r="N46" s="1681" t="s">
        <v>289</v>
      </c>
      <c r="P46" s="1552"/>
      <c r="Q46" s="1552"/>
      <c r="R46" s="1698"/>
      <c r="S46" s="1698"/>
      <c r="T46" s="1698"/>
      <c r="U46" s="1698"/>
      <c r="V46" s="1698"/>
      <c r="W46" s="1552"/>
      <c r="X46" s="1552"/>
      <c r="Y46" s="1552"/>
      <c r="Z46" s="1552"/>
      <c r="AA46" s="1552"/>
      <c r="AB46" s="1552"/>
      <c r="AC46" s="1552"/>
      <c r="AD46" s="1698"/>
      <c r="AE46" s="1390"/>
      <c r="AF46" s="1390"/>
      <c r="AG46" s="1390"/>
      <c r="AH46" s="1390"/>
      <c r="AI46" s="1390"/>
      <c r="AJ46" s="1390"/>
      <c r="AK46" s="1390"/>
      <c r="AL46" s="1390"/>
      <c r="AM46" s="1390"/>
      <c r="AN46" s="1390"/>
    </row>
    <row r="47" s="1386" customFormat="1" ht="36" hidden="1" spans="1:40">
      <c r="A47" s="1354" t="s">
        <v>949</v>
      </c>
      <c r="B47" s="1576" t="str">
        <f>估价对象房地状况!C16</f>
        <v>估价对象位于XX商圈，周边商业氛围成熟，人流量大，商业繁华度好</v>
      </c>
      <c r="C47" s="1577"/>
      <c r="D47" s="1578">
        <f t="shared" ref="D47:D55" si="11">SUMIF($J$46:$N$46,C47,J47:N47)</f>
        <v>0</v>
      </c>
      <c r="E47" s="1579">
        <f>ROUND(SUM(D47:D55),4)</f>
        <v>0</v>
      </c>
      <c r="F47" s="1580" t="str">
        <f>IF(E2="商业",SUMIF(L1:L12,G2,N1:N12),"——")</f>
        <v>——</v>
      </c>
      <c r="G47" s="1581"/>
      <c r="H47" s="1582" t="str">
        <f t="shared" ref="H47:H55" si="12">IFERROR(ROUNDDOWN(($F$47*I47/2),4),"——")</f>
        <v>——</v>
      </c>
      <c r="I47" s="1682">
        <v>0.33</v>
      </c>
      <c r="J47" s="1683">
        <f t="shared" ref="J47:J55" si="13">K47+$G47</f>
        <v>0</v>
      </c>
      <c r="K47" s="1683">
        <f t="shared" ref="K47:K55" si="14">$L47+$G47</f>
        <v>0</v>
      </c>
      <c r="L47" s="1683">
        <v>0</v>
      </c>
      <c r="M47" s="1683">
        <f t="shared" ref="M47:M55" si="15">L47-$G47</f>
        <v>0</v>
      </c>
      <c r="N47" s="1683">
        <f t="shared" ref="N47:N55" si="16">M47-$G47</f>
        <v>0</v>
      </c>
      <c r="P47" s="1552"/>
      <c r="Q47" s="1552"/>
      <c r="R47" s="1698"/>
      <c r="S47" s="1698"/>
      <c r="T47" s="1698"/>
      <c r="U47" s="1698"/>
      <c r="V47" s="1698"/>
      <c r="W47" s="1552"/>
      <c r="X47" s="1552"/>
      <c r="Y47" s="1552"/>
      <c r="Z47" s="1552"/>
      <c r="AA47" s="1552"/>
      <c r="AB47" s="1552"/>
      <c r="AC47" s="1552"/>
      <c r="AD47" s="1698"/>
      <c r="AE47" s="1390"/>
      <c r="AF47" s="1390"/>
      <c r="AG47" s="1390"/>
      <c r="AH47" s="1390"/>
      <c r="AI47" s="1390"/>
      <c r="AJ47" s="1390"/>
      <c r="AK47" s="1390"/>
      <c r="AL47" s="1390"/>
      <c r="AM47" s="1390"/>
      <c r="AN47" s="1390"/>
    </row>
    <row r="48" s="1386" customFormat="1" ht="48" hidden="1" spans="1:40">
      <c r="A48" s="1354" t="s">
        <v>685</v>
      </c>
      <c r="B48" s="1570" t="str">
        <f>估价对象房地状况!C18</f>
        <v>估价对象周边道路状况、公共交通通达情况、停车便捷程度，综合评价交通便捷度较好</v>
      </c>
      <c r="C48" s="1577"/>
      <c r="D48" s="1578">
        <f t="shared" si="11"/>
        <v>0</v>
      </c>
      <c r="E48" s="1583"/>
      <c r="F48" s="1580"/>
      <c r="G48" s="1581"/>
      <c r="H48" s="1582" t="str">
        <f t="shared" si="12"/>
        <v>——</v>
      </c>
      <c r="I48" s="1682">
        <v>0.25</v>
      </c>
      <c r="J48" s="1683">
        <f t="shared" si="13"/>
        <v>0</v>
      </c>
      <c r="K48" s="1683">
        <f t="shared" si="14"/>
        <v>0</v>
      </c>
      <c r="L48" s="1683">
        <v>0</v>
      </c>
      <c r="M48" s="1683">
        <f t="shared" si="15"/>
        <v>0</v>
      </c>
      <c r="N48" s="1683">
        <f t="shared" si="16"/>
        <v>0</v>
      </c>
      <c r="P48" s="1552"/>
      <c r="Q48" s="1552"/>
      <c r="R48" s="1698"/>
      <c r="S48" s="1698"/>
      <c r="T48" s="1698"/>
      <c r="U48" s="1698"/>
      <c r="V48" s="1698"/>
      <c r="W48" s="1552"/>
      <c r="X48" s="1552"/>
      <c r="Y48" s="1552"/>
      <c r="Z48" s="1552"/>
      <c r="AA48" s="1552"/>
      <c r="AB48" s="1552"/>
      <c r="AC48" s="1552"/>
      <c r="AD48" s="1698"/>
      <c r="AE48" s="1390"/>
      <c r="AF48" s="1390"/>
      <c r="AG48" s="1390"/>
      <c r="AH48" s="1390"/>
      <c r="AI48" s="1390"/>
      <c r="AJ48" s="1390"/>
      <c r="AK48" s="1390"/>
      <c r="AL48" s="1390"/>
      <c r="AM48" s="1390"/>
      <c r="AN48" s="1390"/>
    </row>
    <row r="49" s="1386" customFormat="1" ht="24" hidden="1" spans="1:40">
      <c r="A49" s="1354" t="s">
        <v>697</v>
      </c>
      <c r="B49" s="1570">
        <f>估价对象房地状况!C19</f>
        <v>0</v>
      </c>
      <c r="C49" s="1577"/>
      <c r="D49" s="1578">
        <f t="shared" si="11"/>
        <v>0</v>
      </c>
      <c r="E49" s="1583"/>
      <c r="F49" s="1580"/>
      <c r="G49" s="1581"/>
      <c r="H49" s="1582" t="str">
        <f t="shared" si="12"/>
        <v>——</v>
      </c>
      <c r="I49" s="1682">
        <v>0.05</v>
      </c>
      <c r="J49" s="1683">
        <f t="shared" si="13"/>
        <v>0</v>
      </c>
      <c r="K49" s="1683">
        <f t="shared" si="14"/>
        <v>0</v>
      </c>
      <c r="L49" s="1683">
        <v>0</v>
      </c>
      <c r="M49" s="1683">
        <f t="shared" si="15"/>
        <v>0</v>
      </c>
      <c r="N49" s="1683">
        <f t="shared" si="16"/>
        <v>0</v>
      </c>
      <c r="P49" s="1552"/>
      <c r="Q49" s="1552"/>
      <c r="R49" s="1698"/>
      <c r="S49" s="1698"/>
      <c r="T49" s="1698"/>
      <c r="U49" s="1698"/>
      <c r="V49" s="1698"/>
      <c r="W49" s="1552"/>
      <c r="X49" s="1552"/>
      <c r="Y49" s="1552"/>
      <c r="Z49" s="1552"/>
      <c r="AA49" s="1552"/>
      <c r="AB49" s="1552"/>
      <c r="AC49" s="1552"/>
      <c r="AD49" s="1698"/>
      <c r="AE49" s="1390"/>
      <c r="AF49" s="1390"/>
      <c r="AG49" s="1390"/>
      <c r="AH49" s="1390"/>
      <c r="AI49" s="1390"/>
      <c r="AJ49" s="1390"/>
      <c r="AK49" s="1390"/>
      <c r="AL49" s="1390"/>
      <c r="AM49" s="1390"/>
      <c r="AN49" s="1390"/>
    </row>
    <row r="50" s="1386" customFormat="1" ht="36" hidden="1" spans="1:40">
      <c r="A50" s="1354" t="s">
        <v>950</v>
      </c>
      <c r="B50" s="1584" t="s">
        <v>951</v>
      </c>
      <c r="C50" s="1577"/>
      <c r="D50" s="1578">
        <f t="shared" si="11"/>
        <v>0</v>
      </c>
      <c r="E50" s="1583"/>
      <c r="F50" s="1580"/>
      <c r="G50" s="1581"/>
      <c r="H50" s="1582" t="str">
        <f t="shared" si="12"/>
        <v>——</v>
      </c>
      <c r="I50" s="1682">
        <v>0.05</v>
      </c>
      <c r="J50" s="1683">
        <f t="shared" si="13"/>
        <v>0</v>
      </c>
      <c r="K50" s="1683">
        <f t="shared" si="14"/>
        <v>0</v>
      </c>
      <c r="L50" s="1683">
        <v>0</v>
      </c>
      <c r="M50" s="1683">
        <f t="shared" si="15"/>
        <v>0</v>
      </c>
      <c r="N50" s="1683">
        <f t="shared" si="16"/>
        <v>0</v>
      </c>
      <c r="P50" s="1552"/>
      <c r="Q50" s="1552"/>
      <c r="R50" s="1698"/>
      <c r="S50" s="1698"/>
      <c r="T50" s="1698"/>
      <c r="U50" s="1698"/>
      <c r="V50" s="1698"/>
      <c r="W50" s="1552"/>
      <c r="X50" s="1552"/>
      <c r="Y50" s="1552"/>
      <c r="Z50" s="1552"/>
      <c r="AA50" s="1552"/>
      <c r="AB50" s="1552"/>
      <c r="AC50" s="1552"/>
      <c r="AD50" s="1698"/>
      <c r="AE50" s="1390"/>
      <c r="AF50" s="1390"/>
      <c r="AG50" s="1390"/>
      <c r="AH50" s="1390"/>
      <c r="AI50" s="1390"/>
      <c r="AJ50" s="1390"/>
      <c r="AK50" s="1390"/>
      <c r="AL50" s="1390"/>
      <c r="AM50" s="1390"/>
      <c r="AN50" s="1390"/>
    </row>
    <row r="51" s="1386" customFormat="1" ht="24" hidden="1" spans="1:40">
      <c r="A51" s="1354" t="s">
        <v>952</v>
      </c>
      <c r="B51" s="1570">
        <f>估价对象房地状况!C24</f>
        <v>0</v>
      </c>
      <c r="C51" s="1577"/>
      <c r="D51" s="1578">
        <f t="shared" si="11"/>
        <v>0</v>
      </c>
      <c r="E51" s="1583"/>
      <c r="F51" s="1580"/>
      <c r="G51" s="1581"/>
      <c r="H51" s="1582" t="str">
        <f t="shared" si="12"/>
        <v>——</v>
      </c>
      <c r="I51" s="1682">
        <v>0.08</v>
      </c>
      <c r="J51" s="1683">
        <f t="shared" si="13"/>
        <v>0</v>
      </c>
      <c r="K51" s="1683">
        <f t="shared" si="14"/>
        <v>0</v>
      </c>
      <c r="L51" s="1683">
        <v>0</v>
      </c>
      <c r="M51" s="1683">
        <f t="shared" si="15"/>
        <v>0</v>
      </c>
      <c r="N51" s="1683">
        <f t="shared" si="16"/>
        <v>0</v>
      </c>
      <c r="P51" s="1552"/>
      <c r="Q51" s="1552"/>
      <c r="R51" s="1698"/>
      <c r="S51" s="1698"/>
      <c r="T51" s="1698"/>
      <c r="U51" s="1698"/>
      <c r="V51" s="1698"/>
      <c r="W51" s="1552"/>
      <c r="X51" s="1552"/>
      <c r="Y51" s="1552"/>
      <c r="Z51" s="1552"/>
      <c r="AA51" s="1552"/>
      <c r="AB51" s="1552"/>
      <c r="AC51" s="1552"/>
      <c r="AD51" s="1698"/>
      <c r="AE51" s="1390"/>
      <c r="AF51" s="1390"/>
      <c r="AG51" s="1390"/>
      <c r="AH51" s="1390"/>
      <c r="AI51" s="1390"/>
      <c r="AJ51" s="1390"/>
      <c r="AK51" s="1390"/>
      <c r="AL51" s="1390"/>
      <c r="AM51" s="1390"/>
      <c r="AN51" s="1390"/>
    </row>
    <row r="52" s="1386" customFormat="1" ht="24" hidden="1" spans="1:40">
      <c r="A52" s="1354" t="s">
        <v>953</v>
      </c>
      <c r="B52" s="1585" t="s">
        <v>954</v>
      </c>
      <c r="C52" s="1577"/>
      <c r="D52" s="1578">
        <f t="shared" si="11"/>
        <v>0</v>
      </c>
      <c r="E52" s="1583"/>
      <c r="F52" s="1580"/>
      <c r="G52" s="1581"/>
      <c r="H52" s="1582" t="str">
        <f t="shared" si="12"/>
        <v>——</v>
      </c>
      <c r="I52" s="1682">
        <v>0.03</v>
      </c>
      <c r="J52" s="1683">
        <f t="shared" si="13"/>
        <v>0</v>
      </c>
      <c r="K52" s="1683">
        <f t="shared" si="14"/>
        <v>0</v>
      </c>
      <c r="L52" s="1683">
        <v>0</v>
      </c>
      <c r="M52" s="1683">
        <f t="shared" si="15"/>
        <v>0</v>
      </c>
      <c r="N52" s="1683">
        <f t="shared" si="16"/>
        <v>0</v>
      </c>
      <c r="P52" s="1552"/>
      <c r="Q52" s="1552"/>
      <c r="R52" s="1698"/>
      <c r="S52" s="1698"/>
      <c r="T52" s="1698"/>
      <c r="U52" s="1698"/>
      <c r="V52" s="1698"/>
      <c r="W52" s="1552"/>
      <c r="X52" s="1552"/>
      <c r="Y52" s="1552"/>
      <c r="Z52" s="1552"/>
      <c r="AA52" s="1552"/>
      <c r="AB52" s="1552"/>
      <c r="AC52" s="1552"/>
      <c r="AD52" s="1698"/>
      <c r="AE52" s="1390"/>
      <c r="AF52" s="1390"/>
      <c r="AG52" s="1390"/>
      <c r="AH52" s="1390"/>
      <c r="AI52" s="1390"/>
      <c r="AJ52" s="1390"/>
      <c r="AK52" s="1390"/>
      <c r="AL52" s="1390"/>
      <c r="AM52" s="1390"/>
      <c r="AN52" s="1390"/>
    </row>
    <row r="53" s="1386" customFormat="1" ht="24" hidden="1" spans="1:40">
      <c r="A53" s="1586" t="s">
        <v>955</v>
      </c>
      <c r="B53" s="1587" t="str">
        <f>估价对象房地状况!C21</f>
        <v>估价对象所在区域公共配套设施齐备情况</v>
      </c>
      <c r="C53" s="1577"/>
      <c r="D53" s="1578">
        <f t="shared" si="11"/>
        <v>0</v>
      </c>
      <c r="E53" s="1583"/>
      <c r="F53" s="1580"/>
      <c r="G53" s="1581"/>
      <c r="H53" s="1582" t="str">
        <f t="shared" si="12"/>
        <v>——</v>
      </c>
      <c r="I53" s="1682">
        <v>0.05</v>
      </c>
      <c r="J53" s="1683">
        <f t="shared" si="13"/>
        <v>0</v>
      </c>
      <c r="K53" s="1683">
        <f t="shared" si="14"/>
        <v>0</v>
      </c>
      <c r="L53" s="1683">
        <v>0</v>
      </c>
      <c r="M53" s="1683">
        <f t="shared" si="15"/>
        <v>0</v>
      </c>
      <c r="N53" s="1683">
        <f t="shared" si="16"/>
        <v>0</v>
      </c>
      <c r="P53" s="1552"/>
      <c r="Q53" s="1552"/>
      <c r="R53" s="1698"/>
      <c r="S53" s="1698"/>
      <c r="T53" s="1698"/>
      <c r="U53" s="1698"/>
      <c r="V53" s="1698"/>
      <c r="W53" s="1552"/>
      <c r="X53" s="1552"/>
      <c r="Y53" s="1552"/>
      <c r="Z53" s="1552"/>
      <c r="AA53" s="1552"/>
      <c r="AB53" s="1552"/>
      <c r="AC53" s="1552"/>
      <c r="AD53" s="1698"/>
      <c r="AE53" s="1390"/>
      <c r="AF53" s="1390"/>
      <c r="AG53" s="1390"/>
      <c r="AH53" s="1390"/>
      <c r="AI53" s="1390"/>
      <c r="AJ53" s="1390"/>
      <c r="AK53" s="1390"/>
      <c r="AL53" s="1390"/>
      <c r="AM53" s="1390"/>
      <c r="AN53" s="1390"/>
    </row>
    <row r="54" s="1386" customFormat="1" ht="24" hidden="1" spans="1:40">
      <c r="A54" s="1586" t="s">
        <v>956</v>
      </c>
      <c r="B54" s="1570" t="str">
        <f>估价对象房地状况!C22</f>
        <v>估价对象所在区域基础设施水平</v>
      </c>
      <c r="C54" s="1577"/>
      <c r="D54" s="1578">
        <f t="shared" si="11"/>
        <v>0</v>
      </c>
      <c r="E54" s="1583"/>
      <c r="F54" s="1580"/>
      <c r="G54" s="1581"/>
      <c r="H54" s="1582" t="str">
        <f t="shared" si="12"/>
        <v>——</v>
      </c>
      <c r="I54" s="1682">
        <v>0.1</v>
      </c>
      <c r="J54" s="1683">
        <f t="shared" si="13"/>
        <v>0</v>
      </c>
      <c r="K54" s="1683">
        <f t="shared" si="14"/>
        <v>0</v>
      </c>
      <c r="L54" s="1683">
        <v>0</v>
      </c>
      <c r="M54" s="1683">
        <f t="shared" si="15"/>
        <v>0</v>
      </c>
      <c r="N54" s="1683">
        <f t="shared" si="16"/>
        <v>0</v>
      </c>
      <c r="P54" s="1552"/>
      <c r="Q54" s="1552"/>
      <c r="R54" s="1698"/>
      <c r="S54" s="1698"/>
      <c r="T54" s="1698"/>
      <c r="U54" s="1698"/>
      <c r="V54" s="1698"/>
      <c r="W54" s="1552"/>
      <c r="X54" s="1552"/>
      <c r="Y54" s="1552"/>
      <c r="Z54" s="1552"/>
      <c r="AA54" s="1552"/>
      <c r="AB54" s="1552"/>
      <c r="AC54" s="1552"/>
      <c r="AD54" s="1698"/>
      <c r="AE54" s="1390"/>
      <c r="AF54" s="1390"/>
      <c r="AG54" s="1390"/>
      <c r="AH54" s="1390"/>
      <c r="AI54" s="1390"/>
      <c r="AJ54" s="1390"/>
      <c r="AK54" s="1390"/>
      <c r="AL54" s="1390"/>
      <c r="AM54" s="1390"/>
      <c r="AN54" s="1390"/>
    </row>
    <row r="55" s="1386" customFormat="1" ht="24.75" hidden="1" spans="1:40">
      <c r="A55" s="1588" t="s">
        <v>957</v>
      </c>
      <c r="B55" s="1589" t="str">
        <f>估价对象房地状况!C20</f>
        <v>区域自然环境：；人文环境；综合评价环境状况一般</v>
      </c>
      <c r="C55" s="1577"/>
      <c r="D55" s="1578">
        <f t="shared" si="11"/>
        <v>0</v>
      </c>
      <c r="E55" s="1590"/>
      <c r="F55" s="1580"/>
      <c r="G55" s="1581"/>
      <c r="H55" s="1582" t="str">
        <f t="shared" si="12"/>
        <v>——</v>
      </c>
      <c r="I55" s="1684">
        <v>0.06</v>
      </c>
      <c r="J55" s="1683">
        <f t="shared" si="13"/>
        <v>0</v>
      </c>
      <c r="K55" s="1683">
        <f t="shared" si="14"/>
        <v>0</v>
      </c>
      <c r="L55" s="1683">
        <v>0</v>
      </c>
      <c r="M55" s="1683">
        <f t="shared" si="15"/>
        <v>0</v>
      </c>
      <c r="N55" s="1683">
        <f t="shared" si="16"/>
        <v>0</v>
      </c>
      <c r="P55" s="1552"/>
      <c r="Q55" s="1552"/>
      <c r="R55" s="1698"/>
      <c r="S55" s="1698"/>
      <c r="T55" s="1698"/>
      <c r="U55" s="1698"/>
      <c r="V55" s="1698"/>
      <c r="W55" s="1552"/>
      <c r="X55" s="1552"/>
      <c r="Y55" s="1552"/>
      <c r="Z55" s="1552"/>
      <c r="AA55" s="1552"/>
      <c r="AB55" s="1552"/>
      <c r="AC55" s="1552"/>
      <c r="AD55" s="1698"/>
      <c r="AE55" s="1390"/>
      <c r="AF55" s="1390"/>
      <c r="AG55" s="1390"/>
      <c r="AH55" s="1390"/>
      <c r="AI55" s="1390"/>
      <c r="AJ55" s="1390"/>
      <c r="AK55" s="1390"/>
      <c r="AL55" s="1390"/>
      <c r="AM55" s="1390"/>
      <c r="AN55" s="1390"/>
    </row>
    <row r="56" s="1386" customFormat="1" ht="15" spans="1:40">
      <c r="A56" s="1564" t="s">
        <v>377</v>
      </c>
      <c r="B56" s="1565">
        <f>1+E58</f>
        <v>1.0495</v>
      </c>
      <c r="C56" s="1591"/>
      <c r="D56" s="1567"/>
      <c r="E56" s="1568"/>
      <c r="F56" s="1569"/>
      <c r="G56" s="1563"/>
      <c r="H56" s="1563"/>
      <c r="I56" s="1563"/>
      <c r="J56" s="1302"/>
      <c r="K56" s="1302"/>
      <c r="L56" s="1302"/>
      <c r="M56" s="1302"/>
      <c r="N56" s="1302"/>
      <c r="P56" s="1552"/>
      <c r="Q56" s="1552"/>
      <c r="R56" s="1698"/>
      <c r="S56" s="1698"/>
      <c r="T56" s="1698"/>
      <c r="U56" s="1698"/>
      <c r="V56" s="1698"/>
      <c r="W56" s="1552"/>
      <c r="X56" s="1552"/>
      <c r="Y56" s="1552"/>
      <c r="Z56" s="1552"/>
      <c r="AA56" s="1552"/>
      <c r="AB56" s="1552"/>
      <c r="AC56" s="1552"/>
      <c r="AD56" s="1698"/>
      <c r="AE56" s="1390"/>
      <c r="AF56" s="1390"/>
      <c r="AG56" s="1390"/>
      <c r="AH56" s="1390"/>
      <c r="AI56" s="1390"/>
      <c r="AJ56" s="1390"/>
      <c r="AK56" s="1390"/>
      <c r="AL56" s="1390"/>
      <c r="AM56" s="1390"/>
      <c r="AN56" s="1390"/>
    </row>
    <row r="57" s="1386" customFormat="1" ht="24" spans="1:40">
      <c r="A57" s="1354" t="s">
        <v>940</v>
      </c>
      <c r="B57" s="1570"/>
      <c r="C57" s="1571" t="s">
        <v>942</v>
      </c>
      <c r="D57" s="1572" t="s">
        <v>943</v>
      </c>
      <c r="E57" s="1573" t="s">
        <v>944</v>
      </c>
      <c r="F57" s="1574" t="s">
        <v>945</v>
      </c>
      <c r="G57" s="1572" t="s">
        <v>946</v>
      </c>
      <c r="H57" s="1575" t="s">
        <v>947</v>
      </c>
      <c r="I57" s="1572" t="s">
        <v>948</v>
      </c>
      <c r="J57" s="1681" t="s">
        <v>250</v>
      </c>
      <c r="K57" s="1681" t="s">
        <v>262</v>
      </c>
      <c r="L57" s="1681" t="s">
        <v>272</v>
      </c>
      <c r="M57" s="1681" t="s">
        <v>282</v>
      </c>
      <c r="N57" s="1681" t="s">
        <v>289</v>
      </c>
      <c r="P57" s="1552"/>
      <c r="Q57" s="1552"/>
      <c r="R57" s="1698"/>
      <c r="S57" s="1698"/>
      <c r="T57" s="1698"/>
      <c r="U57" s="1698"/>
      <c r="V57" s="1698"/>
      <c r="W57" s="1552"/>
      <c r="X57" s="1552"/>
      <c r="Y57" s="1552"/>
      <c r="Z57" s="1552"/>
      <c r="AA57" s="1552"/>
      <c r="AB57" s="1552"/>
      <c r="AC57" s="1552"/>
      <c r="AD57" s="1698"/>
      <c r="AE57" s="1390"/>
      <c r="AF57" s="1390"/>
      <c r="AG57" s="1390"/>
      <c r="AH57" s="1390"/>
      <c r="AI57" s="1390"/>
      <c r="AJ57" s="1390"/>
      <c r="AK57" s="1390"/>
      <c r="AL57" s="1390"/>
      <c r="AM57" s="1390"/>
      <c r="AN57" s="1390"/>
    </row>
    <row r="58" s="1386" customFormat="1" ht="36" spans="1:40">
      <c r="A58" s="1354" t="s">
        <v>687</v>
      </c>
      <c r="B58" s="1576" t="str">
        <f>估价对象房地状况!C17</f>
        <v>估价对象位于XX商圈，周边办公楼项目较多，入驻率高，办公集聚程度较好</v>
      </c>
      <c r="C58" s="1577" t="s">
        <v>958</v>
      </c>
      <c r="D58" s="1578">
        <f t="shared" ref="D58:D66" si="17">SUMIF($J$57:$N$57,C58,J58:N58)</f>
        <v>0.018</v>
      </c>
      <c r="E58" s="1579">
        <f>ROUND(SUM(D58:D66),4)</f>
        <v>0.0495</v>
      </c>
      <c r="F58" s="1580">
        <f>IF(E2="办公",SUMIF(L1:L12,G2,N1:N12),"——")</f>
        <v>0.15</v>
      </c>
      <c r="G58" s="1581">
        <v>0.018</v>
      </c>
      <c r="H58" s="1582">
        <f>IFERROR(ROUNDDOWN($F$58*I58/2,4),"——")</f>
        <v>0.018</v>
      </c>
      <c r="I58" s="1682">
        <v>0.24</v>
      </c>
      <c r="J58" s="1683">
        <f t="shared" ref="J58:J66" si="18">K58+$G58</f>
        <v>0.036</v>
      </c>
      <c r="K58" s="1683">
        <f t="shared" ref="K58:K66" si="19">$L58+$G58</f>
        <v>0.018</v>
      </c>
      <c r="L58" s="1683">
        <v>0</v>
      </c>
      <c r="M58" s="1683">
        <f t="shared" ref="M58:M66" si="20">L58-$G58</f>
        <v>-0.018</v>
      </c>
      <c r="N58" s="1683">
        <f t="shared" ref="N58:N66" si="21">M58-$G58</f>
        <v>-0.036</v>
      </c>
      <c r="P58" s="1552"/>
      <c r="Q58" s="1552"/>
      <c r="R58" s="1698"/>
      <c r="S58" s="1698"/>
      <c r="T58" s="1698"/>
      <c r="U58" s="1698"/>
      <c r="V58" s="1698"/>
      <c r="W58" s="1552"/>
      <c r="X58" s="1552"/>
      <c r="Y58" s="1552"/>
      <c r="Z58" s="1552"/>
      <c r="AA58" s="1552"/>
      <c r="AB58" s="1552"/>
      <c r="AC58" s="1552"/>
      <c r="AD58" s="1698"/>
      <c r="AE58" s="1390"/>
      <c r="AF58" s="1390"/>
      <c r="AG58" s="1390"/>
      <c r="AH58" s="1390"/>
      <c r="AI58" s="1390"/>
      <c r="AJ58" s="1390"/>
      <c r="AK58" s="1390"/>
      <c r="AL58" s="1390"/>
      <c r="AM58" s="1390"/>
      <c r="AN58" s="1390"/>
    </row>
    <row r="59" s="1386" customFormat="1" ht="48" spans="1:40">
      <c r="A59" s="1354" t="s">
        <v>685</v>
      </c>
      <c r="B59" s="1570" t="str">
        <f>估价对象房地状况!C18</f>
        <v>估价对象周边道路状况、公共交通通达情况、停车便捷程度，综合评价交通便捷度较好</v>
      </c>
      <c r="C59" s="1577" t="s">
        <v>958</v>
      </c>
      <c r="D59" s="1578">
        <f t="shared" si="17"/>
        <v>0.0225</v>
      </c>
      <c r="E59" s="1583"/>
      <c r="F59" s="1580"/>
      <c r="G59" s="1581">
        <v>0.0225</v>
      </c>
      <c r="H59" s="1592">
        <f t="shared" ref="H59:H66" si="22">IFERROR($F$58*I59/2,"——")</f>
        <v>0.0225</v>
      </c>
      <c r="I59" s="1682">
        <v>0.3</v>
      </c>
      <c r="J59" s="1683">
        <f t="shared" si="18"/>
        <v>0.045</v>
      </c>
      <c r="K59" s="1683">
        <f t="shared" si="19"/>
        <v>0.0225</v>
      </c>
      <c r="L59" s="1683">
        <v>0</v>
      </c>
      <c r="M59" s="1683">
        <f t="shared" si="20"/>
        <v>-0.0225</v>
      </c>
      <c r="N59" s="1683">
        <f t="shared" si="21"/>
        <v>-0.045</v>
      </c>
      <c r="P59" s="1552"/>
      <c r="Q59" s="1552"/>
      <c r="R59" s="1698"/>
      <c r="S59" s="1698"/>
      <c r="T59" s="1698"/>
      <c r="U59" s="1698"/>
      <c r="V59" s="1698"/>
      <c r="W59" s="1552"/>
      <c r="X59" s="1552"/>
      <c r="Y59" s="1552"/>
      <c r="Z59" s="1552"/>
      <c r="AA59" s="1552"/>
      <c r="AB59" s="1552"/>
      <c r="AC59" s="1552"/>
      <c r="AD59" s="1698"/>
      <c r="AE59" s="1390"/>
      <c r="AF59" s="1390"/>
      <c r="AG59" s="1390"/>
      <c r="AH59" s="1390"/>
      <c r="AI59" s="1390"/>
      <c r="AJ59" s="1390"/>
      <c r="AK59" s="1390"/>
      <c r="AL59" s="1390"/>
      <c r="AM59" s="1390"/>
      <c r="AN59" s="1390"/>
    </row>
    <row r="60" s="1386" customFormat="1" ht="24" spans="1:40">
      <c r="A60" s="1354" t="s">
        <v>697</v>
      </c>
      <c r="B60" s="1570">
        <f>估价对象房地状况!C19</f>
        <v>0</v>
      </c>
      <c r="C60" s="1577" t="s">
        <v>959</v>
      </c>
      <c r="D60" s="1578">
        <f t="shared" si="17"/>
        <v>0</v>
      </c>
      <c r="E60" s="1583"/>
      <c r="F60" s="1580"/>
      <c r="G60" s="1581">
        <v>0.006</v>
      </c>
      <c r="H60" s="1592">
        <f t="shared" si="22"/>
        <v>0.006</v>
      </c>
      <c r="I60" s="1682">
        <v>0.08</v>
      </c>
      <c r="J60" s="1683">
        <f t="shared" si="18"/>
        <v>0.012</v>
      </c>
      <c r="K60" s="1683">
        <f t="shared" si="19"/>
        <v>0.006</v>
      </c>
      <c r="L60" s="1683">
        <v>0</v>
      </c>
      <c r="M60" s="1683">
        <f t="shared" si="20"/>
        <v>-0.006</v>
      </c>
      <c r="N60" s="1683">
        <f t="shared" si="21"/>
        <v>-0.012</v>
      </c>
      <c r="P60" s="1552"/>
      <c r="Q60" s="1552"/>
      <c r="R60" s="1698"/>
      <c r="S60" s="1698"/>
      <c r="T60" s="1698"/>
      <c r="U60" s="1698"/>
      <c r="V60" s="1698"/>
      <c r="W60" s="1552"/>
      <c r="X60" s="1552"/>
      <c r="Y60" s="1552"/>
      <c r="Z60" s="1552"/>
      <c r="AA60" s="1552"/>
      <c r="AB60" s="1552"/>
      <c r="AC60" s="1552"/>
      <c r="AD60" s="1698"/>
      <c r="AE60" s="1390"/>
      <c r="AF60" s="1390"/>
      <c r="AG60" s="1390"/>
      <c r="AH60" s="1390"/>
      <c r="AI60" s="1390"/>
      <c r="AJ60" s="1390"/>
      <c r="AK60" s="1390"/>
      <c r="AL60" s="1390"/>
      <c r="AM60" s="1390"/>
      <c r="AN60" s="1390"/>
    </row>
    <row r="61" s="1386" customFormat="1" ht="36" spans="1:40">
      <c r="A61" s="1354" t="s">
        <v>950</v>
      </c>
      <c r="B61" s="1584" t="s">
        <v>951</v>
      </c>
      <c r="C61" s="1577" t="s">
        <v>959</v>
      </c>
      <c r="D61" s="1578">
        <f t="shared" si="17"/>
        <v>0</v>
      </c>
      <c r="E61" s="1583"/>
      <c r="F61" s="1580"/>
      <c r="G61" s="1581">
        <v>0.003</v>
      </c>
      <c r="H61" s="1592">
        <f t="shared" si="22"/>
        <v>0.003</v>
      </c>
      <c r="I61" s="1682">
        <v>0.04</v>
      </c>
      <c r="J61" s="1683">
        <f t="shared" si="18"/>
        <v>0.006</v>
      </c>
      <c r="K61" s="1683">
        <f t="shared" si="19"/>
        <v>0.003</v>
      </c>
      <c r="L61" s="1683">
        <v>0</v>
      </c>
      <c r="M61" s="1683">
        <f t="shared" si="20"/>
        <v>-0.003</v>
      </c>
      <c r="N61" s="1683">
        <f t="shared" si="21"/>
        <v>-0.006</v>
      </c>
      <c r="P61" s="1552"/>
      <c r="Q61" s="1552"/>
      <c r="R61" s="1698"/>
      <c r="S61" s="1698"/>
      <c r="T61" s="1698"/>
      <c r="U61" s="1698"/>
      <c r="V61" s="1698"/>
      <c r="W61" s="1552"/>
      <c r="X61" s="1552"/>
      <c r="Y61" s="1552"/>
      <c r="Z61" s="1552"/>
      <c r="AA61" s="1552"/>
      <c r="AB61" s="1552"/>
      <c r="AC61" s="1552"/>
      <c r="AD61" s="1698"/>
      <c r="AE61" s="1390"/>
      <c r="AF61" s="1390"/>
      <c r="AG61" s="1390"/>
      <c r="AH61" s="1390"/>
      <c r="AI61" s="1390"/>
      <c r="AJ61" s="1390"/>
      <c r="AK61" s="1390"/>
      <c r="AL61" s="1390"/>
      <c r="AM61" s="1390"/>
      <c r="AN61" s="1390"/>
    </row>
    <row r="62" s="1386" customFormat="1" ht="24" spans="1:40">
      <c r="A62" s="1354" t="s">
        <v>952</v>
      </c>
      <c r="B62" s="1570">
        <f>估价对象房地状况!C24</f>
        <v>0</v>
      </c>
      <c r="C62" s="1593" t="s">
        <v>960</v>
      </c>
      <c r="D62" s="1578">
        <f t="shared" si="17"/>
        <v>-0.00375</v>
      </c>
      <c r="E62" s="1583"/>
      <c r="F62" s="1580"/>
      <c r="G62" s="1581">
        <v>0.00375</v>
      </c>
      <c r="H62" s="1592">
        <f t="shared" si="22"/>
        <v>0.00375</v>
      </c>
      <c r="I62" s="1682">
        <v>0.05</v>
      </c>
      <c r="J62" s="1683">
        <f t="shared" si="18"/>
        <v>0.0075</v>
      </c>
      <c r="K62" s="1683">
        <f t="shared" si="19"/>
        <v>0.00375</v>
      </c>
      <c r="L62" s="1683">
        <v>0</v>
      </c>
      <c r="M62" s="1683">
        <f t="shared" si="20"/>
        <v>-0.00375</v>
      </c>
      <c r="N62" s="1683">
        <f t="shared" si="21"/>
        <v>-0.0075</v>
      </c>
      <c r="P62" s="1552"/>
      <c r="Q62" s="1552"/>
      <c r="R62" s="1698"/>
      <c r="S62" s="1698"/>
      <c r="T62" s="1698"/>
      <c r="U62" s="1698"/>
      <c r="V62" s="1698"/>
      <c r="W62" s="1552"/>
      <c r="X62" s="1552"/>
      <c r="Y62" s="1552"/>
      <c r="Z62" s="1552"/>
      <c r="AA62" s="1552"/>
      <c r="AB62" s="1552"/>
      <c r="AC62" s="1552"/>
      <c r="AD62" s="1698"/>
      <c r="AE62" s="1390"/>
      <c r="AF62" s="1390"/>
      <c r="AG62" s="1390"/>
      <c r="AH62" s="1390"/>
      <c r="AI62" s="1390"/>
      <c r="AJ62" s="1390"/>
      <c r="AK62" s="1390"/>
      <c r="AL62" s="1390"/>
      <c r="AM62" s="1390"/>
      <c r="AN62" s="1390"/>
    </row>
    <row r="63" s="1386" customFormat="1" ht="24" spans="1:40">
      <c r="A63" s="1354" t="s">
        <v>953</v>
      </c>
      <c r="B63" s="1585" t="s">
        <v>954</v>
      </c>
      <c r="C63" s="1593" t="s">
        <v>958</v>
      </c>
      <c r="D63" s="1578">
        <f t="shared" si="17"/>
        <v>0.00375</v>
      </c>
      <c r="E63" s="1583"/>
      <c r="F63" s="1580"/>
      <c r="G63" s="1581">
        <v>0.00375</v>
      </c>
      <c r="H63" s="1592">
        <f t="shared" si="22"/>
        <v>0.00375</v>
      </c>
      <c r="I63" s="1682">
        <v>0.05</v>
      </c>
      <c r="J63" s="1683">
        <f t="shared" si="18"/>
        <v>0.0075</v>
      </c>
      <c r="K63" s="1683">
        <f t="shared" si="19"/>
        <v>0.00375</v>
      </c>
      <c r="L63" s="1683">
        <v>0</v>
      </c>
      <c r="M63" s="1683">
        <f t="shared" si="20"/>
        <v>-0.00375</v>
      </c>
      <c r="N63" s="1683">
        <f t="shared" si="21"/>
        <v>-0.0075</v>
      </c>
      <c r="P63" s="1552"/>
      <c r="Q63" s="1552"/>
      <c r="R63" s="1698"/>
      <c r="S63" s="1698"/>
      <c r="T63" s="1698"/>
      <c r="U63" s="1698"/>
      <c r="V63" s="1698"/>
      <c r="W63" s="1552"/>
      <c r="X63" s="1552"/>
      <c r="Y63" s="1552"/>
      <c r="Z63" s="1552"/>
      <c r="AA63" s="1552"/>
      <c r="AB63" s="1552"/>
      <c r="AC63" s="1552"/>
      <c r="AD63" s="1698"/>
      <c r="AE63" s="1390"/>
      <c r="AF63" s="1390"/>
      <c r="AG63" s="1390"/>
      <c r="AH63" s="1390"/>
      <c r="AI63" s="1390"/>
      <c r="AJ63" s="1390"/>
      <c r="AK63" s="1390"/>
      <c r="AL63" s="1390"/>
      <c r="AM63" s="1390"/>
      <c r="AN63" s="1390"/>
    </row>
    <row r="64" s="1386" customFormat="1" ht="24" spans="1:40">
      <c r="A64" s="1354" t="s">
        <v>955</v>
      </c>
      <c r="B64" s="1587" t="str">
        <f>估价对象房地状况!C21</f>
        <v>估价对象所在区域公共配套设施齐备情况</v>
      </c>
      <c r="C64" s="1577" t="s">
        <v>959</v>
      </c>
      <c r="D64" s="1578">
        <f t="shared" si="17"/>
        <v>0</v>
      </c>
      <c r="E64" s="1583"/>
      <c r="F64" s="1580"/>
      <c r="G64" s="1581">
        <v>0.0045</v>
      </c>
      <c r="H64" s="1592">
        <f t="shared" si="22"/>
        <v>0.0045</v>
      </c>
      <c r="I64" s="1682">
        <v>0.06</v>
      </c>
      <c r="J64" s="1683">
        <f t="shared" si="18"/>
        <v>0.009</v>
      </c>
      <c r="K64" s="1683">
        <f t="shared" si="19"/>
        <v>0.0045</v>
      </c>
      <c r="L64" s="1683">
        <v>0</v>
      </c>
      <c r="M64" s="1683">
        <f t="shared" si="20"/>
        <v>-0.0045</v>
      </c>
      <c r="N64" s="1683">
        <f t="shared" si="21"/>
        <v>-0.009</v>
      </c>
      <c r="P64" s="1552"/>
      <c r="Q64" s="1552"/>
      <c r="R64" s="1698"/>
      <c r="S64" s="1698"/>
      <c r="T64" s="1698"/>
      <c r="U64" s="1698"/>
      <c r="V64" s="1698"/>
      <c r="W64" s="1552"/>
      <c r="X64" s="1552"/>
      <c r="Y64" s="1552"/>
      <c r="Z64" s="1552"/>
      <c r="AA64" s="1552"/>
      <c r="AB64" s="1552"/>
      <c r="AC64" s="1552"/>
      <c r="AD64" s="1698"/>
      <c r="AE64" s="1390"/>
      <c r="AF64" s="1390"/>
      <c r="AG64" s="1390"/>
      <c r="AH64" s="1390"/>
      <c r="AI64" s="1390"/>
      <c r="AJ64" s="1390"/>
      <c r="AK64" s="1390"/>
      <c r="AL64" s="1390"/>
      <c r="AM64" s="1390"/>
      <c r="AN64" s="1390"/>
    </row>
    <row r="65" s="1386" customFormat="1" ht="24" spans="1:40">
      <c r="A65" s="1354" t="s">
        <v>956</v>
      </c>
      <c r="B65" s="1587" t="str">
        <f>估价对象房地状况!C22</f>
        <v>估价对象所在区域基础设施水平</v>
      </c>
      <c r="C65" s="1593" t="s">
        <v>958</v>
      </c>
      <c r="D65" s="1578">
        <f t="shared" si="17"/>
        <v>0.009</v>
      </c>
      <c r="E65" s="1583"/>
      <c r="F65" s="1580"/>
      <c r="G65" s="1581">
        <v>0.009</v>
      </c>
      <c r="H65" s="1592">
        <f t="shared" si="22"/>
        <v>0.009</v>
      </c>
      <c r="I65" s="1682">
        <v>0.12</v>
      </c>
      <c r="J65" s="1683">
        <f t="shared" si="18"/>
        <v>0.018</v>
      </c>
      <c r="K65" s="1683">
        <f t="shared" si="19"/>
        <v>0.009</v>
      </c>
      <c r="L65" s="1683">
        <v>0</v>
      </c>
      <c r="M65" s="1683">
        <f t="shared" si="20"/>
        <v>-0.009</v>
      </c>
      <c r="N65" s="1683">
        <f t="shared" si="21"/>
        <v>-0.018</v>
      </c>
      <c r="P65" s="1552"/>
      <c r="Q65" s="1552"/>
      <c r="R65" s="1698"/>
      <c r="S65" s="1698"/>
      <c r="T65" s="1698"/>
      <c r="U65" s="1698"/>
      <c r="V65" s="1698"/>
      <c r="W65" s="1552"/>
      <c r="X65" s="1552"/>
      <c r="Y65" s="1552"/>
      <c r="Z65" s="1552"/>
      <c r="AA65" s="1552"/>
      <c r="AB65" s="1552"/>
      <c r="AC65" s="1552"/>
      <c r="AD65" s="1698"/>
      <c r="AE65" s="1390"/>
      <c r="AF65" s="1390"/>
      <c r="AG65" s="1390"/>
      <c r="AH65" s="1390"/>
      <c r="AI65" s="1390"/>
      <c r="AJ65" s="1390"/>
      <c r="AK65" s="1390"/>
      <c r="AL65" s="1390"/>
      <c r="AM65" s="1390"/>
      <c r="AN65" s="1390"/>
    </row>
    <row r="66" s="1386" customFormat="1" ht="24.75" spans="1:40">
      <c r="A66" s="1588" t="s">
        <v>957</v>
      </c>
      <c r="B66" s="1711" t="str">
        <f>估价对象房地状况!C20</f>
        <v>区域自然环境：；人文环境；综合评价环境状况一般</v>
      </c>
      <c r="C66" s="1577" t="s">
        <v>959</v>
      </c>
      <c r="D66" s="1578">
        <f t="shared" si="17"/>
        <v>0</v>
      </c>
      <c r="E66" s="1590"/>
      <c r="F66" s="1580"/>
      <c r="G66" s="1581">
        <v>0.0045</v>
      </c>
      <c r="H66" s="1592">
        <f t="shared" si="22"/>
        <v>0.0045</v>
      </c>
      <c r="I66" s="1684">
        <v>0.06</v>
      </c>
      <c r="J66" s="1683">
        <f t="shared" si="18"/>
        <v>0.009</v>
      </c>
      <c r="K66" s="1683">
        <f t="shared" si="19"/>
        <v>0.0045</v>
      </c>
      <c r="L66" s="1683">
        <v>0</v>
      </c>
      <c r="M66" s="1683">
        <f t="shared" si="20"/>
        <v>-0.0045</v>
      </c>
      <c r="N66" s="1683">
        <f t="shared" si="21"/>
        <v>-0.009</v>
      </c>
      <c r="P66" s="1552"/>
      <c r="Q66" s="1552"/>
      <c r="R66" s="1698"/>
      <c r="S66" s="1698"/>
      <c r="T66" s="1698"/>
      <c r="U66" s="1698"/>
      <c r="V66" s="1698"/>
      <c r="W66" s="1552"/>
      <c r="X66" s="1552"/>
      <c r="Y66" s="1552"/>
      <c r="Z66" s="1552"/>
      <c r="AA66" s="1552"/>
      <c r="AB66" s="1552"/>
      <c r="AC66" s="1552"/>
      <c r="AD66" s="1698"/>
      <c r="AE66" s="1390"/>
      <c r="AF66" s="1390"/>
      <c r="AG66" s="1390"/>
      <c r="AH66" s="1390"/>
      <c r="AI66" s="1390"/>
      <c r="AJ66" s="1390"/>
      <c r="AK66" s="1390"/>
      <c r="AL66" s="1390"/>
      <c r="AM66" s="1390"/>
      <c r="AN66" s="1390"/>
    </row>
    <row r="67" s="1386" customFormat="1" ht="15" spans="1:40">
      <c r="A67" s="1564" t="s">
        <v>375</v>
      </c>
      <c r="B67" s="1565">
        <f>1+E69</f>
        <v>1</v>
      </c>
      <c r="C67" s="1591"/>
      <c r="D67" s="1567"/>
      <c r="E67" s="1568"/>
      <c r="F67" s="1569"/>
      <c r="G67" s="1563"/>
      <c r="H67" s="1563"/>
      <c r="I67" s="1563"/>
      <c r="J67" s="1302"/>
      <c r="K67" s="1302"/>
      <c r="L67" s="1302"/>
      <c r="M67" s="1302"/>
      <c r="N67" s="1302"/>
      <c r="P67" s="1552"/>
      <c r="Q67" s="1552"/>
      <c r="R67" s="1698"/>
      <c r="S67" s="1698"/>
      <c r="T67" s="1698"/>
      <c r="U67" s="1698"/>
      <c r="V67" s="1698"/>
      <c r="W67" s="1552"/>
      <c r="X67" s="1552"/>
      <c r="Y67" s="1552"/>
      <c r="Z67" s="1552"/>
      <c r="AA67" s="1552"/>
      <c r="AB67" s="1552"/>
      <c r="AC67" s="1552"/>
      <c r="AD67" s="1698"/>
      <c r="AE67" s="1390"/>
      <c r="AF67" s="1390"/>
      <c r="AG67" s="1390"/>
      <c r="AH67" s="1390"/>
      <c r="AI67" s="1390"/>
      <c r="AJ67" s="1390"/>
      <c r="AK67" s="1390"/>
      <c r="AL67" s="1390"/>
      <c r="AM67" s="1390"/>
      <c r="AN67" s="1390"/>
    </row>
    <row r="68" s="1386" customFormat="1" ht="24" spans="1:40">
      <c r="A68" s="1354" t="s">
        <v>940</v>
      </c>
      <c r="B68" s="1570"/>
      <c r="C68" s="1571" t="s">
        <v>942</v>
      </c>
      <c r="D68" s="1572" t="s">
        <v>943</v>
      </c>
      <c r="E68" s="1573" t="s">
        <v>944</v>
      </c>
      <c r="F68" s="1574" t="s">
        <v>945</v>
      </c>
      <c r="G68" s="1572" t="s">
        <v>946</v>
      </c>
      <c r="H68" s="1575" t="s">
        <v>947</v>
      </c>
      <c r="I68" s="1572" t="s">
        <v>948</v>
      </c>
      <c r="J68" s="1681" t="s">
        <v>250</v>
      </c>
      <c r="K68" s="1681" t="s">
        <v>262</v>
      </c>
      <c r="L68" s="1681" t="s">
        <v>272</v>
      </c>
      <c r="M68" s="1681" t="s">
        <v>282</v>
      </c>
      <c r="N68" s="1681" t="s">
        <v>289</v>
      </c>
      <c r="P68" s="1552"/>
      <c r="Q68" s="1552"/>
      <c r="R68" s="1698"/>
      <c r="S68" s="1698"/>
      <c r="T68" s="1698"/>
      <c r="U68" s="1698"/>
      <c r="V68" s="1698"/>
      <c r="W68" s="1552"/>
      <c r="X68" s="1552"/>
      <c r="Y68" s="1552"/>
      <c r="Z68" s="1552"/>
      <c r="AA68" s="1552"/>
      <c r="AB68" s="1552"/>
      <c r="AC68" s="1552"/>
      <c r="AD68" s="1698"/>
      <c r="AE68" s="1390"/>
      <c r="AF68" s="1390"/>
      <c r="AG68" s="1390"/>
      <c r="AH68" s="1390"/>
      <c r="AI68" s="1390"/>
      <c r="AJ68" s="1390"/>
      <c r="AK68" s="1390"/>
      <c r="AL68" s="1390"/>
      <c r="AM68" s="1390"/>
      <c r="AN68" s="1390"/>
    </row>
    <row r="69" s="1386" customFormat="1" ht="48" spans="1:40">
      <c r="A69" s="1354" t="s">
        <v>679</v>
      </c>
      <c r="B69" s="1576" t="str">
        <f>估价对象房地状况!C15</f>
        <v>估价对象周边居住用地比例、居住小区规模和社区发展完善程度，综合评价居住社区成熟度一般</v>
      </c>
      <c r="C69" s="1712"/>
      <c r="D69" s="1578">
        <f t="shared" ref="D69:D77" si="23">SUMIF($J$68:$N$68,C69,J69:N69)</f>
        <v>0</v>
      </c>
      <c r="E69" s="1579">
        <f>ROUND(SUM(D69:D77),4)</f>
        <v>0</v>
      </c>
      <c r="F69" s="1580" t="str">
        <f>IF(E2="住宅",SUMIF(L1:L12,G2,N1:N12),"——")</f>
        <v>——</v>
      </c>
      <c r="G69" s="1713"/>
      <c r="H69" s="1714" t="str">
        <f t="shared" ref="H69:H77" si="24">IFERROR(ROUNDDOWN($F$69*I69/2,4),"——")</f>
        <v>——</v>
      </c>
      <c r="I69" s="1682">
        <v>0.14</v>
      </c>
      <c r="J69" s="1683">
        <f t="shared" ref="J69:J77" si="25">K69+$G69</f>
        <v>0</v>
      </c>
      <c r="K69" s="1683">
        <f t="shared" ref="K69:K77" si="26">$L69+$G69</f>
        <v>0</v>
      </c>
      <c r="L69" s="1683">
        <v>0</v>
      </c>
      <c r="M69" s="1683">
        <f t="shared" ref="M69:M77" si="27">L69-$G69</f>
        <v>0</v>
      </c>
      <c r="N69" s="1683">
        <f t="shared" ref="N69:N77" si="28">M69-$G69</f>
        <v>0</v>
      </c>
      <c r="P69" s="1552"/>
      <c r="Q69" s="1552"/>
      <c r="R69" s="1698"/>
      <c r="S69" s="1698"/>
      <c r="T69" s="1698"/>
      <c r="U69" s="1698"/>
      <c r="V69" s="1698"/>
      <c r="W69" s="1552"/>
      <c r="X69" s="1552"/>
      <c r="Y69" s="1552"/>
      <c r="Z69" s="1552"/>
      <c r="AA69" s="1552"/>
      <c r="AB69" s="1552"/>
      <c r="AC69" s="1552"/>
      <c r="AD69" s="1698"/>
      <c r="AE69" s="1390"/>
      <c r="AF69" s="1390"/>
      <c r="AG69" s="1390"/>
      <c r="AH69" s="1390"/>
      <c r="AI69" s="1390"/>
      <c r="AJ69" s="1390"/>
      <c r="AK69" s="1390"/>
      <c r="AL69" s="1390"/>
      <c r="AM69" s="1390"/>
      <c r="AN69" s="1390"/>
    </row>
    <row r="70" s="1386" customFormat="1" ht="48" spans="1:40">
      <c r="A70" s="1354" t="s">
        <v>685</v>
      </c>
      <c r="B70" s="1570" t="str">
        <f>估价对象房地状况!C18</f>
        <v>估价对象周边道路状况、公共交通通达情况、停车便捷程度，综合评价交通便捷度较好</v>
      </c>
      <c r="C70" s="1712"/>
      <c r="D70" s="1578">
        <f t="shared" si="23"/>
        <v>0</v>
      </c>
      <c r="E70" s="1715"/>
      <c r="F70" s="1716"/>
      <c r="G70" s="1713"/>
      <c r="H70" s="1714" t="str">
        <f t="shared" si="24"/>
        <v>——</v>
      </c>
      <c r="I70" s="1682">
        <v>0.3</v>
      </c>
      <c r="J70" s="1683">
        <f t="shared" si="25"/>
        <v>0</v>
      </c>
      <c r="K70" s="1683">
        <f t="shared" si="26"/>
        <v>0</v>
      </c>
      <c r="L70" s="1683">
        <v>0</v>
      </c>
      <c r="M70" s="1683">
        <f t="shared" si="27"/>
        <v>0</v>
      </c>
      <c r="N70" s="1683">
        <f t="shared" si="28"/>
        <v>0</v>
      </c>
      <c r="P70" s="1552"/>
      <c r="Q70" s="1552"/>
      <c r="R70" s="1698"/>
      <c r="S70" s="1698"/>
      <c r="T70" s="1698"/>
      <c r="U70" s="1698"/>
      <c r="V70" s="1698"/>
      <c r="W70" s="1552"/>
      <c r="X70" s="1552"/>
      <c r="Y70" s="1552"/>
      <c r="Z70" s="1552"/>
      <c r="AA70" s="1552"/>
      <c r="AB70" s="1552"/>
      <c r="AC70" s="1552"/>
      <c r="AD70" s="1698"/>
      <c r="AE70" s="1390"/>
      <c r="AF70" s="1390"/>
      <c r="AG70" s="1390"/>
      <c r="AH70" s="1390"/>
      <c r="AI70" s="1390"/>
      <c r="AJ70" s="1390"/>
      <c r="AK70" s="1390"/>
      <c r="AL70" s="1390"/>
      <c r="AM70" s="1390"/>
      <c r="AN70" s="1390"/>
    </row>
    <row r="71" s="1386" customFormat="1" ht="24" spans="1:40">
      <c r="A71" s="1354" t="s">
        <v>697</v>
      </c>
      <c r="B71" s="1570">
        <f>估价对象房地状况!C19</f>
        <v>0</v>
      </c>
      <c r="C71" s="1712"/>
      <c r="D71" s="1578">
        <f t="shared" si="23"/>
        <v>0</v>
      </c>
      <c r="E71" s="1715"/>
      <c r="F71" s="1716"/>
      <c r="G71" s="1713"/>
      <c r="H71" s="1714" t="str">
        <f t="shared" si="24"/>
        <v>——</v>
      </c>
      <c r="I71" s="1682">
        <v>0.08</v>
      </c>
      <c r="J71" s="1683">
        <f t="shared" si="25"/>
        <v>0</v>
      </c>
      <c r="K71" s="1683">
        <f t="shared" si="26"/>
        <v>0</v>
      </c>
      <c r="L71" s="1683">
        <v>0</v>
      </c>
      <c r="M71" s="1683">
        <f t="shared" si="27"/>
        <v>0</v>
      </c>
      <c r="N71" s="1683">
        <f t="shared" si="28"/>
        <v>0</v>
      </c>
      <c r="P71" s="1552"/>
      <c r="Q71" s="1552"/>
      <c r="R71" s="1698"/>
      <c r="S71" s="1698"/>
      <c r="T71" s="1698"/>
      <c r="U71" s="1698"/>
      <c r="V71" s="1698"/>
      <c r="W71" s="1552"/>
      <c r="X71" s="1552"/>
      <c r="Y71" s="1552"/>
      <c r="Z71" s="1552"/>
      <c r="AA71" s="1552"/>
      <c r="AB71" s="1552"/>
      <c r="AC71" s="1552"/>
      <c r="AD71" s="1698"/>
      <c r="AE71" s="1390"/>
      <c r="AF71" s="1390"/>
      <c r="AG71" s="1390"/>
      <c r="AH71" s="1390"/>
      <c r="AI71" s="1390"/>
      <c r="AJ71" s="1390"/>
      <c r="AK71" s="1390"/>
      <c r="AL71" s="1390"/>
      <c r="AM71" s="1390"/>
      <c r="AN71" s="1390"/>
    </row>
    <row r="72" s="1386" customFormat="1" ht="14.25" spans="1:40">
      <c r="A72" s="1354" t="s">
        <v>961</v>
      </c>
      <c r="B72" s="1570">
        <f>估价对象房地状况!C24</f>
        <v>0</v>
      </c>
      <c r="C72" s="1712"/>
      <c r="D72" s="1578">
        <f t="shared" si="23"/>
        <v>0</v>
      </c>
      <c r="E72" s="1715"/>
      <c r="F72" s="1716"/>
      <c r="G72" s="1713"/>
      <c r="H72" s="1714" t="str">
        <f t="shared" si="24"/>
        <v>——</v>
      </c>
      <c r="I72" s="1682">
        <v>0.04</v>
      </c>
      <c r="J72" s="1683">
        <f t="shared" si="25"/>
        <v>0</v>
      </c>
      <c r="K72" s="1683">
        <f t="shared" si="26"/>
        <v>0</v>
      </c>
      <c r="L72" s="1683">
        <v>0</v>
      </c>
      <c r="M72" s="1683">
        <f t="shared" si="27"/>
        <v>0</v>
      </c>
      <c r="N72" s="1683">
        <f t="shared" si="28"/>
        <v>0</v>
      </c>
      <c r="P72" s="1552"/>
      <c r="Q72" s="1552"/>
      <c r="R72" s="1698"/>
      <c r="S72" s="1698"/>
      <c r="T72" s="1698"/>
      <c r="U72" s="1698"/>
      <c r="V72" s="1698"/>
      <c r="W72" s="1552"/>
      <c r="X72" s="1552"/>
      <c r="Y72" s="1552"/>
      <c r="Z72" s="1552"/>
      <c r="AA72" s="1552"/>
      <c r="AB72" s="1552"/>
      <c r="AC72" s="1552"/>
      <c r="AD72" s="1698"/>
      <c r="AE72" s="1390"/>
      <c r="AF72" s="1390"/>
      <c r="AG72" s="1390"/>
      <c r="AH72" s="1390"/>
      <c r="AI72" s="1390"/>
      <c r="AJ72" s="1390"/>
      <c r="AK72" s="1390"/>
      <c r="AL72" s="1390"/>
      <c r="AM72" s="1390"/>
      <c r="AN72" s="1390"/>
    </row>
    <row r="73" s="1386" customFormat="1" ht="24" spans="1:40">
      <c r="A73" s="1354" t="s">
        <v>955</v>
      </c>
      <c r="B73" s="1587" t="str">
        <f>估价对象房地状况!C21</f>
        <v>估价对象所在区域公共配套设施齐备情况</v>
      </c>
      <c r="C73" s="1712"/>
      <c r="D73" s="1578">
        <f t="shared" si="23"/>
        <v>0</v>
      </c>
      <c r="E73" s="1715"/>
      <c r="F73" s="1716"/>
      <c r="G73" s="1713"/>
      <c r="H73" s="1714" t="str">
        <f t="shared" si="24"/>
        <v>——</v>
      </c>
      <c r="I73" s="1682">
        <v>0.08</v>
      </c>
      <c r="J73" s="1683">
        <f t="shared" si="25"/>
        <v>0</v>
      </c>
      <c r="K73" s="1683">
        <f t="shared" si="26"/>
        <v>0</v>
      </c>
      <c r="L73" s="1683">
        <v>0</v>
      </c>
      <c r="M73" s="1683">
        <f t="shared" si="27"/>
        <v>0</v>
      </c>
      <c r="N73" s="1683">
        <f t="shared" si="28"/>
        <v>0</v>
      </c>
      <c r="P73" s="1552"/>
      <c r="Q73" s="1552"/>
      <c r="R73" s="1698"/>
      <c r="S73" s="1698"/>
      <c r="T73" s="1698"/>
      <c r="U73" s="1698"/>
      <c r="V73" s="1698"/>
      <c r="W73" s="1552"/>
      <c r="X73" s="1552"/>
      <c r="Y73" s="1552"/>
      <c r="Z73" s="1552"/>
      <c r="AA73" s="1552"/>
      <c r="AB73" s="1552"/>
      <c r="AC73" s="1552"/>
      <c r="AD73" s="1698"/>
      <c r="AE73" s="1390"/>
      <c r="AF73" s="1390"/>
      <c r="AG73" s="1390"/>
      <c r="AH73" s="1390"/>
      <c r="AI73" s="1390"/>
      <c r="AJ73" s="1390"/>
      <c r="AK73" s="1390"/>
      <c r="AL73" s="1390"/>
      <c r="AM73" s="1390"/>
      <c r="AN73" s="1390"/>
    </row>
    <row r="74" s="1386" customFormat="1" ht="24" spans="1:40">
      <c r="A74" s="1354" t="s">
        <v>956</v>
      </c>
      <c r="B74" s="1587" t="str">
        <f>估价对象房地状况!C22</f>
        <v>估价对象所在区域基础设施水平</v>
      </c>
      <c r="C74" s="1712"/>
      <c r="D74" s="1578">
        <f t="shared" si="23"/>
        <v>0</v>
      </c>
      <c r="E74" s="1715"/>
      <c r="F74" s="1716"/>
      <c r="G74" s="1713"/>
      <c r="H74" s="1714" t="str">
        <f t="shared" si="24"/>
        <v>——</v>
      </c>
      <c r="I74" s="1682">
        <v>0.12</v>
      </c>
      <c r="J74" s="1683">
        <f t="shared" si="25"/>
        <v>0</v>
      </c>
      <c r="K74" s="1683">
        <f t="shared" si="26"/>
        <v>0</v>
      </c>
      <c r="L74" s="1683">
        <v>0</v>
      </c>
      <c r="M74" s="1683">
        <f t="shared" si="27"/>
        <v>0</v>
      </c>
      <c r="N74" s="1683">
        <f t="shared" si="28"/>
        <v>0</v>
      </c>
      <c r="P74" s="1552"/>
      <c r="Q74" s="1552"/>
      <c r="R74" s="1698"/>
      <c r="S74" s="1698"/>
      <c r="T74" s="1698"/>
      <c r="U74" s="1698"/>
      <c r="V74" s="1698"/>
      <c r="W74" s="1552"/>
      <c r="X74" s="1552"/>
      <c r="Y74" s="1552"/>
      <c r="Z74" s="1552"/>
      <c r="AA74" s="1552"/>
      <c r="AB74" s="1552"/>
      <c r="AC74" s="1552"/>
      <c r="AD74" s="1698"/>
      <c r="AE74" s="1390"/>
      <c r="AF74" s="1390"/>
      <c r="AG74" s="1390"/>
      <c r="AH74" s="1390"/>
      <c r="AI74" s="1390"/>
      <c r="AJ74" s="1390"/>
      <c r="AK74" s="1390"/>
      <c r="AL74" s="1390"/>
      <c r="AM74" s="1390"/>
      <c r="AN74" s="1390"/>
    </row>
    <row r="75" s="1386" customFormat="1" ht="24" spans="1:40">
      <c r="A75" s="1354" t="s">
        <v>953</v>
      </c>
      <c r="B75" s="1585" t="s">
        <v>954</v>
      </c>
      <c r="C75" s="1712"/>
      <c r="D75" s="1578">
        <f t="shared" si="23"/>
        <v>0</v>
      </c>
      <c r="E75" s="1715"/>
      <c r="F75" s="1716"/>
      <c r="G75" s="1713"/>
      <c r="H75" s="1714" t="str">
        <f t="shared" si="24"/>
        <v>——</v>
      </c>
      <c r="I75" s="1682">
        <v>0.05</v>
      </c>
      <c r="J75" s="1683">
        <f t="shared" si="25"/>
        <v>0</v>
      </c>
      <c r="K75" s="1683">
        <f t="shared" si="26"/>
        <v>0</v>
      </c>
      <c r="L75" s="1683">
        <v>0</v>
      </c>
      <c r="M75" s="1683">
        <f t="shared" si="27"/>
        <v>0</v>
      </c>
      <c r="N75" s="1683">
        <f t="shared" si="28"/>
        <v>0</v>
      </c>
      <c r="P75" s="1552"/>
      <c r="Q75" s="1552"/>
      <c r="R75" s="1698"/>
      <c r="S75" s="1698"/>
      <c r="T75" s="1698"/>
      <c r="U75" s="1698"/>
      <c r="V75" s="1698"/>
      <c r="W75" s="1552"/>
      <c r="X75" s="1552"/>
      <c r="Y75" s="1552"/>
      <c r="Z75" s="1552"/>
      <c r="AA75" s="1552"/>
      <c r="AB75" s="1552"/>
      <c r="AC75" s="1552"/>
      <c r="AD75" s="1698"/>
      <c r="AE75" s="1390"/>
      <c r="AF75" s="1390"/>
      <c r="AG75" s="1390"/>
      <c r="AH75" s="1390"/>
      <c r="AI75" s="1390"/>
      <c r="AJ75" s="1390"/>
      <c r="AK75" s="1390"/>
      <c r="AL75" s="1390"/>
      <c r="AM75" s="1390"/>
      <c r="AN75" s="1390"/>
    </row>
    <row r="76" ht="24" spans="1:40">
      <c r="A76" s="1354" t="s">
        <v>957</v>
      </c>
      <c r="B76" s="1576" t="str">
        <f>估价对象房地状况!C20</f>
        <v>区域自然环境：；人文环境；综合评价环境状况一般</v>
      </c>
      <c r="C76" s="1712"/>
      <c r="D76" s="1578">
        <f t="shared" si="23"/>
        <v>0</v>
      </c>
      <c r="E76" s="1715"/>
      <c r="F76" s="1716"/>
      <c r="G76" s="1713"/>
      <c r="H76" s="1714" t="str">
        <f t="shared" si="24"/>
        <v>——</v>
      </c>
      <c r="I76" s="1682">
        <v>0.15</v>
      </c>
      <c r="J76" s="1683">
        <f t="shared" si="25"/>
        <v>0</v>
      </c>
      <c r="K76" s="1683">
        <f t="shared" si="26"/>
        <v>0</v>
      </c>
      <c r="L76" s="1683">
        <v>0</v>
      </c>
      <c r="M76" s="1683">
        <f t="shared" si="27"/>
        <v>0</v>
      </c>
      <c r="N76" s="1683">
        <f t="shared" si="28"/>
        <v>0</v>
      </c>
      <c r="P76" s="1746"/>
      <c r="Q76" s="1746"/>
      <c r="R76" s="1752"/>
      <c r="S76" s="1752"/>
      <c r="T76" s="1752"/>
      <c r="U76" s="1752"/>
      <c r="V76" s="1752"/>
      <c r="W76" s="1746"/>
      <c r="X76" s="1746"/>
      <c r="Y76" s="1746"/>
      <c r="Z76" s="1746"/>
      <c r="AA76" s="1746"/>
      <c r="AB76" s="1746"/>
      <c r="AC76" s="1746"/>
      <c r="AD76" s="1752"/>
      <c r="AJ76" s="1390"/>
      <c r="AN76" s="1387"/>
    </row>
    <row r="77" ht="24.75" spans="1:40">
      <c r="A77" s="1588" t="s">
        <v>962</v>
      </c>
      <c r="B77" s="1717"/>
      <c r="C77" s="1712"/>
      <c r="D77" s="1578">
        <f t="shared" si="23"/>
        <v>0</v>
      </c>
      <c r="E77" s="1657"/>
      <c r="F77" s="1716"/>
      <c r="G77" s="1713"/>
      <c r="H77" s="1714" t="str">
        <f t="shared" si="24"/>
        <v>——</v>
      </c>
      <c r="I77" s="1684">
        <v>0.04</v>
      </c>
      <c r="J77" s="1683">
        <f t="shared" si="25"/>
        <v>0</v>
      </c>
      <c r="K77" s="1683">
        <f t="shared" si="26"/>
        <v>0</v>
      </c>
      <c r="L77" s="1683">
        <v>0</v>
      </c>
      <c r="M77" s="1683">
        <f t="shared" si="27"/>
        <v>0</v>
      </c>
      <c r="N77" s="1683">
        <f t="shared" si="28"/>
        <v>0</v>
      </c>
      <c r="AC77" s="1389"/>
      <c r="AD77" s="1387"/>
      <c r="AJ77" s="1390"/>
      <c r="AN77" s="1387"/>
    </row>
    <row r="78" ht="15" spans="1:40">
      <c r="A78" s="1564" t="s">
        <v>164</v>
      </c>
      <c r="B78" s="1565">
        <f>1+E80</f>
        <v>1</v>
      </c>
      <c r="C78" s="1591"/>
      <c r="D78" s="1567"/>
      <c r="E78" s="1568"/>
      <c r="F78" s="1569"/>
      <c r="G78" s="1563"/>
      <c r="H78" s="1563"/>
      <c r="I78" s="1563"/>
      <c r="J78" s="1302"/>
      <c r="K78" s="1302"/>
      <c r="L78" s="1302"/>
      <c r="M78" s="1302"/>
      <c r="N78" s="1302"/>
      <c r="AC78" s="1389"/>
      <c r="AD78" s="1387"/>
      <c r="AJ78" s="1390"/>
      <c r="AN78" s="1387"/>
    </row>
    <row r="79" ht="24" spans="1:40">
      <c r="A79" s="1354" t="s">
        <v>940</v>
      </c>
      <c r="B79" s="1570"/>
      <c r="C79" s="1571" t="s">
        <v>942</v>
      </c>
      <c r="D79" s="1572" t="s">
        <v>943</v>
      </c>
      <c r="E79" s="1573" t="s">
        <v>944</v>
      </c>
      <c r="F79" s="1574" t="s">
        <v>945</v>
      </c>
      <c r="G79" s="1572" t="s">
        <v>946</v>
      </c>
      <c r="H79" s="1575" t="s">
        <v>947</v>
      </c>
      <c r="I79" s="1572" t="s">
        <v>948</v>
      </c>
      <c r="J79" s="1681" t="s">
        <v>250</v>
      </c>
      <c r="K79" s="1681" t="s">
        <v>262</v>
      </c>
      <c r="L79" s="1681" t="s">
        <v>272</v>
      </c>
      <c r="M79" s="1681" t="s">
        <v>282</v>
      </c>
      <c r="N79" s="1681" t="s">
        <v>289</v>
      </c>
      <c r="AC79" s="1389"/>
      <c r="AD79" s="1387"/>
      <c r="AJ79" s="1390"/>
      <c r="AN79" s="1387"/>
    </row>
    <row r="80" ht="36" spans="1:40">
      <c r="A80" s="1354" t="s">
        <v>681</v>
      </c>
      <c r="B80" s="1570" t="str">
        <f>估价对象房地状况!G15</f>
        <v>估价对象位于XX开发区，园区建设成熟度XX，产业集聚程度XX</v>
      </c>
      <c r="C80" s="1577"/>
      <c r="D80" s="1578">
        <f t="shared" ref="D80:D87" si="29">SUMIF($J$79:$N$79,C80,J80:N80)</f>
        <v>0</v>
      </c>
      <c r="E80" s="1579">
        <f>ROUND(SUM(D80:D87),4)</f>
        <v>0</v>
      </c>
      <c r="F80" s="1580" t="str">
        <f>IF(E2="工业",SUMIF(L1:L12,G2,N1:N12),"——")</f>
        <v>——</v>
      </c>
      <c r="G80" s="1581"/>
      <c r="H80" s="1582" t="str">
        <f t="shared" ref="H80:H87" si="30">IFERROR(ROUNDDOWN($F$80*I80/2,4),"——")</f>
        <v>——</v>
      </c>
      <c r="I80" s="1682">
        <v>0.26</v>
      </c>
      <c r="J80" s="1683">
        <f t="shared" ref="J80:J87" si="31">K80+$G80</f>
        <v>0</v>
      </c>
      <c r="K80" s="1683">
        <f t="shared" ref="K80:K87" si="32">$L80+$G80</f>
        <v>0</v>
      </c>
      <c r="L80" s="1683">
        <v>0</v>
      </c>
      <c r="M80" s="1683">
        <f t="shared" ref="M80:M87" si="33">L80-$G80</f>
        <v>0</v>
      </c>
      <c r="N80" s="1683">
        <f t="shared" ref="N80:N87" si="34">M80-$G80</f>
        <v>0</v>
      </c>
      <c r="AC80" s="1389"/>
      <c r="AD80" s="1387"/>
      <c r="AJ80" s="1390"/>
      <c r="AN80" s="1387"/>
    </row>
    <row r="81" ht="48" spans="1:40">
      <c r="A81" s="1354" t="s">
        <v>685</v>
      </c>
      <c r="B81" s="1570" t="str">
        <f>估价对象房地状况!G16</f>
        <v>估价对象周边道路状况、公共交通通达情况、停车便捷程度，综合评价交通便捷度较好</v>
      </c>
      <c r="C81" s="1577"/>
      <c r="D81" s="1578">
        <f t="shared" si="29"/>
        <v>0</v>
      </c>
      <c r="E81" s="1715"/>
      <c r="F81" s="1716"/>
      <c r="G81" s="1581"/>
      <c r="H81" s="1582" t="str">
        <f t="shared" si="30"/>
        <v>——</v>
      </c>
      <c r="I81" s="1682">
        <v>0.33</v>
      </c>
      <c r="J81" s="1683">
        <f t="shared" si="31"/>
        <v>0</v>
      </c>
      <c r="K81" s="1683">
        <f t="shared" si="32"/>
        <v>0</v>
      </c>
      <c r="L81" s="1683">
        <v>0</v>
      </c>
      <c r="M81" s="1683">
        <f t="shared" si="33"/>
        <v>0</v>
      </c>
      <c r="N81" s="1683">
        <f t="shared" si="34"/>
        <v>0</v>
      </c>
      <c r="AC81" s="1389"/>
      <c r="AD81" s="1387"/>
      <c r="AJ81" s="1390"/>
      <c r="AN81" s="1387"/>
    </row>
    <row r="82" ht="24" spans="1:40">
      <c r="A82" s="1354" t="s">
        <v>697</v>
      </c>
      <c r="B82" s="1570">
        <f>估价对象房地状况!G17</f>
        <v>0</v>
      </c>
      <c r="C82" s="1577"/>
      <c r="D82" s="1578">
        <f t="shared" si="29"/>
        <v>0</v>
      </c>
      <c r="E82" s="1715"/>
      <c r="F82" s="1716"/>
      <c r="G82" s="1581"/>
      <c r="H82" s="1582" t="str">
        <f t="shared" si="30"/>
        <v>——</v>
      </c>
      <c r="I82" s="1682">
        <v>0.05</v>
      </c>
      <c r="J82" s="1683">
        <f t="shared" si="31"/>
        <v>0</v>
      </c>
      <c r="K82" s="1683">
        <f t="shared" si="32"/>
        <v>0</v>
      </c>
      <c r="L82" s="1683">
        <v>0</v>
      </c>
      <c r="M82" s="1683">
        <f t="shared" si="33"/>
        <v>0</v>
      </c>
      <c r="N82" s="1683">
        <f t="shared" si="34"/>
        <v>0</v>
      </c>
      <c r="AC82" s="1389"/>
      <c r="AD82" s="1387"/>
      <c r="AJ82" s="1390"/>
      <c r="AN82" s="1387"/>
    </row>
    <row r="83" ht="14.25" spans="1:40">
      <c r="A83" s="1354" t="s">
        <v>961</v>
      </c>
      <c r="B83" s="1570">
        <f>估价对象房地状况!G22</f>
        <v>0</v>
      </c>
      <c r="C83" s="1577"/>
      <c r="D83" s="1578">
        <f t="shared" si="29"/>
        <v>0</v>
      </c>
      <c r="E83" s="1715"/>
      <c r="F83" s="1716"/>
      <c r="G83" s="1581"/>
      <c r="H83" s="1582" t="str">
        <f t="shared" si="30"/>
        <v>——</v>
      </c>
      <c r="I83" s="1682">
        <v>0.04</v>
      </c>
      <c r="J83" s="1683">
        <f t="shared" si="31"/>
        <v>0</v>
      </c>
      <c r="K83" s="1683">
        <f t="shared" si="32"/>
        <v>0</v>
      </c>
      <c r="L83" s="1683">
        <v>0</v>
      </c>
      <c r="M83" s="1683">
        <f t="shared" si="33"/>
        <v>0</v>
      </c>
      <c r="N83" s="1683">
        <f t="shared" si="34"/>
        <v>0</v>
      </c>
      <c r="AC83" s="1389"/>
      <c r="AD83" s="1387"/>
      <c r="AJ83" s="1390"/>
      <c r="AN83" s="1387"/>
    </row>
    <row r="84" ht="24" spans="1:40">
      <c r="A84" s="1354" t="s">
        <v>955</v>
      </c>
      <c r="B84" s="1587" t="str">
        <f>估价对象房地状况!G19</f>
        <v>估价对象所在区域公共配套设施齐备情况</v>
      </c>
      <c r="C84" s="1577"/>
      <c r="D84" s="1578">
        <f t="shared" si="29"/>
        <v>0</v>
      </c>
      <c r="E84" s="1715"/>
      <c r="F84" s="1716"/>
      <c r="G84" s="1581"/>
      <c r="H84" s="1582" t="str">
        <f t="shared" si="30"/>
        <v>——</v>
      </c>
      <c r="I84" s="1682">
        <v>0.06</v>
      </c>
      <c r="J84" s="1683">
        <f t="shared" si="31"/>
        <v>0</v>
      </c>
      <c r="K84" s="1683">
        <f t="shared" si="32"/>
        <v>0</v>
      </c>
      <c r="L84" s="1683">
        <v>0</v>
      </c>
      <c r="M84" s="1683">
        <f t="shared" si="33"/>
        <v>0</v>
      </c>
      <c r="N84" s="1683">
        <f t="shared" si="34"/>
        <v>0</v>
      </c>
      <c r="AC84" s="1389"/>
      <c r="AD84" s="1387"/>
      <c r="AJ84" s="1390"/>
      <c r="AN84" s="1387"/>
    </row>
    <row r="85" ht="24" spans="1:40">
      <c r="A85" s="1354" t="s">
        <v>956</v>
      </c>
      <c r="B85" s="1587" t="str">
        <f>估价对象房地状况!G20</f>
        <v>估价对象所在区域基础设施水平</v>
      </c>
      <c r="C85" s="1577"/>
      <c r="D85" s="1578">
        <f t="shared" si="29"/>
        <v>0</v>
      </c>
      <c r="E85" s="1715"/>
      <c r="F85" s="1716"/>
      <c r="G85" s="1581"/>
      <c r="H85" s="1582" t="str">
        <f t="shared" si="30"/>
        <v>——</v>
      </c>
      <c r="I85" s="1682">
        <v>0.15</v>
      </c>
      <c r="J85" s="1683">
        <f t="shared" si="31"/>
        <v>0</v>
      </c>
      <c r="K85" s="1683">
        <f t="shared" si="32"/>
        <v>0</v>
      </c>
      <c r="L85" s="1683">
        <v>0</v>
      </c>
      <c r="M85" s="1683">
        <f t="shared" si="33"/>
        <v>0</v>
      </c>
      <c r="N85" s="1683">
        <f t="shared" si="34"/>
        <v>0</v>
      </c>
      <c r="AC85" s="1389"/>
      <c r="AD85" s="1387"/>
      <c r="AJ85" s="1390"/>
      <c r="AN85" s="1387"/>
    </row>
    <row r="86" ht="24" spans="1:40">
      <c r="A86" s="1354" t="s">
        <v>953</v>
      </c>
      <c r="B86" s="1585" t="s">
        <v>954</v>
      </c>
      <c r="C86" s="1577"/>
      <c r="D86" s="1578">
        <f t="shared" si="29"/>
        <v>0</v>
      </c>
      <c r="E86" s="1715"/>
      <c r="F86" s="1716"/>
      <c r="G86" s="1581"/>
      <c r="H86" s="1582" t="str">
        <f t="shared" si="30"/>
        <v>——</v>
      </c>
      <c r="I86" s="1682">
        <v>0.05</v>
      </c>
      <c r="J86" s="1683">
        <f t="shared" si="31"/>
        <v>0</v>
      </c>
      <c r="K86" s="1683">
        <f t="shared" si="32"/>
        <v>0</v>
      </c>
      <c r="L86" s="1683">
        <v>0</v>
      </c>
      <c r="M86" s="1683">
        <f t="shared" si="33"/>
        <v>0</v>
      </c>
      <c r="N86" s="1683">
        <f t="shared" si="34"/>
        <v>0</v>
      </c>
      <c r="AC86" s="1389"/>
      <c r="AD86" s="1387"/>
      <c r="AJ86" s="1390"/>
      <c r="AN86" s="1387"/>
    </row>
    <row r="87" ht="36.75" spans="1:40">
      <c r="A87" s="1588" t="s">
        <v>691</v>
      </c>
      <c r="B87" s="1718" t="str">
        <f>估价对象房地状况!G18</f>
        <v>该园区内是否有污染型企业，绿化情况，卫生条件，整体环境状况判断</v>
      </c>
      <c r="C87" s="1577"/>
      <c r="D87" s="1578">
        <f t="shared" si="29"/>
        <v>0</v>
      </c>
      <c r="E87" s="1657"/>
      <c r="F87" s="1716"/>
      <c r="G87" s="1581"/>
      <c r="H87" s="1582" t="str">
        <f t="shared" si="30"/>
        <v>——</v>
      </c>
      <c r="I87" s="1684">
        <v>0.06</v>
      </c>
      <c r="J87" s="1683">
        <f t="shared" si="31"/>
        <v>0</v>
      </c>
      <c r="K87" s="1683">
        <f t="shared" si="32"/>
        <v>0</v>
      </c>
      <c r="L87" s="1683">
        <v>0</v>
      </c>
      <c r="M87" s="1683">
        <f t="shared" si="33"/>
        <v>0</v>
      </c>
      <c r="N87" s="1683">
        <f t="shared" si="34"/>
        <v>0</v>
      </c>
      <c r="AC87" s="1389"/>
      <c r="AD87" s="1387"/>
      <c r="AJ87" s="1390"/>
      <c r="AN87" s="1387"/>
    </row>
    <row r="90" spans="1:14">
      <c r="A90" s="1384" t="s">
        <v>963</v>
      </c>
      <c r="B90" s="1384"/>
      <c r="C90" s="1384"/>
      <c r="D90" s="1384"/>
      <c r="E90" s="1384"/>
      <c r="F90" s="1384"/>
      <c r="G90" s="1384"/>
      <c r="H90" s="1384"/>
      <c r="I90" s="1384"/>
      <c r="J90" s="1384"/>
      <c r="K90" s="1384"/>
      <c r="L90" s="1384"/>
      <c r="M90" s="1384"/>
      <c r="N90" s="1384"/>
    </row>
    <row r="91" spans="1:14">
      <c r="A91" s="1366" t="s">
        <v>348</v>
      </c>
      <c r="B91" s="1366" t="s">
        <v>964</v>
      </c>
      <c r="C91" s="1719" t="s">
        <v>806</v>
      </c>
      <c r="D91" s="1720"/>
      <c r="E91" s="1720"/>
      <c r="F91" s="1720"/>
      <c r="G91" s="1720"/>
      <c r="H91" s="1720"/>
      <c r="I91" s="1720"/>
      <c r="J91" s="1747"/>
      <c r="K91" s="1370"/>
      <c r="L91" s="1370"/>
      <c r="M91" s="1370"/>
      <c r="N91" s="1370"/>
    </row>
    <row r="92" spans="1:14">
      <c r="A92" s="1366"/>
      <c r="B92" s="1366"/>
      <c r="C92" s="1366" t="s">
        <v>240</v>
      </c>
      <c r="D92" s="1366" t="s">
        <v>253</v>
      </c>
      <c r="E92" s="1366" t="s">
        <v>265</v>
      </c>
      <c r="F92" s="1366" t="s">
        <v>275</v>
      </c>
      <c r="G92" s="1366" t="s">
        <v>284</v>
      </c>
      <c r="H92" s="1366" t="s">
        <v>292</v>
      </c>
      <c r="I92" s="1366" t="s">
        <v>297</v>
      </c>
      <c r="J92" s="1366" t="s">
        <v>302</v>
      </c>
      <c r="K92" s="1366" t="s">
        <v>305</v>
      </c>
      <c r="L92" s="1366" t="s">
        <v>308</v>
      </c>
      <c r="M92" s="1366" t="s">
        <v>311</v>
      </c>
      <c r="N92" s="1366" t="s">
        <v>314</v>
      </c>
    </row>
    <row r="93" spans="1:14">
      <c r="A93" s="1721" t="s">
        <v>965</v>
      </c>
      <c r="B93" s="1722">
        <v>1</v>
      </c>
      <c r="C93" s="1723">
        <v>1.9362</v>
      </c>
      <c r="D93" s="1723">
        <v>1.9362</v>
      </c>
      <c r="E93" s="1723">
        <v>1.8629</v>
      </c>
      <c r="F93" s="1723">
        <v>1.8629</v>
      </c>
      <c r="G93" s="1723">
        <v>1.8629</v>
      </c>
      <c r="H93" s="1723">
        <v>1.8629</v>
      </c>
      <c r="I93" s="1723">
        <v>1.8629</v>
      </c>
      <c r="J93" s="1723">
        <v>1.942</v>
      </c>
      <c r="K93" s="1723">
        <v>1.942</v>
      </c>
      <c r="L93" s="1723">
        <v>1.942</v>
      </c>
      <c r="M93" s="1723">
        <v>1.942</v>
      </c>
      <c r="N93" s="1723">
        <v>1.942</v>
      </c>
    </row>
    <row r="94" spans="1:14">
      <c r="A94" s="1724"/>
      <c r="B94" s="1722">
        <v>2</v>
      </c>
      <c r="C94" s="1723">
        <v>1.4198</v>
      </c>
      <c r="D94" s="1723">
        <v>1.4198</v>
      </c>
      <c r="E94" s="1723">
        <v>1.3372</v>
      </c>
      <c r="F94" s="1723">
        <v>1.3372</v>
      </c>
      <c r="G94" s="1723">
        <v>1.3372</v>
      </c>
      <c r="H94" s="1723">
        <v>1.3372</v>
      </c>
      <c r="I94" s="1723">
        <v>1.3372</v>
      </c>
      <c r="J94" s="1723">
        <v>1.2799</v>
      </c>
      <c r="K94" s="1723">
        <v>1.2799</v>
      </c>
      <c r="L94" s="1723">
        <v>1.2799</v>
      </c>
      <c r="M94" s="1723">
        <v>1.2799</v>
      </c>
      <c r="N94" s="1723">
        <v>1.2799</v>
      </c>
    </row>
    <row r="95" spans="1:14">
      <c r="A95" s="1724"/>
      <c r="B95" s="1722">
        <v>3</v>
      </c>
      <c r="C95" s="1723">
        <v>1.1594</v>
      </c>
      <c r="D95" s="1723">
        <v>1.1594</v>
      </c>
      <c r="E95" s="1723">
        <v>1.0788</v>
      </c>
      <c r="F95" s="1723">
        <v>1.0788</v>
      </c>
      <c r="G95" s="1723">
        <v>1.0788</v>
      </c>
      <c r="H95" s="1723">
        <v>1.0788</v>
      </c>
      <c r="I95" s="1723">
        <v>1.0788</v>
      </c>
      <c r="J95" s="1723">
        <v>1.0072</v>
      </c>
      <c r="K95" s="1723">
        <v>1.0072</v>
      </c>
      <c r="L95" s="1723">
        <v>1.0072</v>
      </c>
      <c r="M95" s="1723">
        <v>1.0072</v>
      </c>
      <c r="N95" s="1723">
        <v>1.0072</v>
      </c>
    </row>
    <row r="96" spans="1:14">
      <c r="A96" s="1724"/>
      <c r="B96" s="1722">
        <v>4</v>
      </c>
      <c r="C96" s="1723">
        <v>0.9622</v>
      </c>
      <c r="D96" s="1723">
        <v>0.9622</v>
      </c>
      <c r="E96" s="1723">
        <v>0.8656</v>
      </c>
      <c r="F96" s="1723">
        <v>0.8656</v>
      </c>
      <c r="G96" s="1723">
        <v>0.8656</v>
      </c>
      <c r="H96" s="1723">
        <v>0.8656</v>
      </c>
      <c r="I96" s="1723">
        <v>0.8656</v>
      </c>
      <c r="J96" s="1723">
        <v>0.7525</v>
      </c>
      <c r="K96" s="1723">
        <v>0.7525</v>
      </c>
      <c r="L96" s="1723">
        <v>0.7525</v>
      </c>
      <c r="M96" s="1723">
        <v>0.7525</v>
      </c>
      <c r="N96" s="1723">
        <v>0.7525</v>
      </c>
    </row>
    <row r="97" spans="1:14">
      <c r="A97" s="1724"/>
      <c r="B97" s="1722">
        <v>5</v>
      </c>
      <c r="C97" s="1723">
        <v>0.8417</v>
      </c>
      <c r="D97" s="1723">
        <v>0.8417</v>
      </c>
      <c r="E97" s="1723">
        <v>0.7371</v>
      </c>
      <c r="F97" s="1723">
        <v>0.7371</v>
      </c>
      <c r="G97" s="1723">
        <v>0.7371</v>
      </c>
      <c r="H97" s="1723">
        <v>0.7371</v>
      </c>
      <c r="I97" s="1723">
        <v>0.7371</v>
      </c>
      <c r="J97" s="1723">
        <v>0.5659</v>
      </c>
      <c r="K97" s="1723">
        <v>0.5659</v>
      </c>
      <c r="L97" s="1723">
        <v>0.5659</v>
      </c>
      <c r="M97" s="1723">
        <v>0.5659</v>
      </c>
      <c r="N97" s="1723">
        <v>0.5659</v>
      </c>
    </row>
    <row r="98" spans="1:14">
      <c r="A98" s="1724"/>
      <c r="B98" s="1722">
        <v>6</v>
      </c>
      <c r="C98" s="1723">
        <v>0.7608</v>
      </c>
      <c r="D98" s="1723">
        <v>0.7608</v>
      </c>
      <c r="E98" s="1723">
        <v>0.6482</v>
      </c>
      <c r="F98" s="1723">
        <v>0.6482</v>
      </c>
      <c r="G98" s="1723">
        <v>0.6482</v>
      </c>
      <c r="H98" s="1723">
        <v>0.6482</v>
      </c>
      <c r="I98" s="1723">
        <v>0.6482</v>
      </c>
      <c r="J98" s="1723">
        <v>0.4525</v>
      </c>
      <c r="K98" s="1723">
        <v>0.4525</v>
      </c>
      <c r="L98" s="1723">
        <v>0.4525</v>
      </c>
      <c r="M98" s="1723">
        <v>0.4525</v>
      </c>
      <c r="N98" s="1723">
        <v>0.4525</v>
      </c>
    </row>
    <row r="99" spans="1:14">
      <c r="A99" s="1724"/>
      <c r="B99" s="1722" t="s">
        <v>966</v>
      </c>
      <c r="C99" s="1725">
        <f t="shared" ref="C99:N99" si="35">$I$3</f>
        <v>0</v>
      </c>
      <c r="D99" s="1725">
        <f t="shared" si="35"/>
        <v>0</v>
      </c>
      <c r="E99" s="1725">
        <f t="shared" si="35"/>
        <v>0</v>
      </c>
      <c r="F99" s="1725">
        <f t="shared" si="35"/>
        <v>0</v>
      </c>
      <c r="G99" s="1725">
        <f t="shared" si="35"/>
        <v>0</v>
      </c>
      <c r="H99" s="1725">
        <f t="shared" si="35"/>
        <v>0</v>
      </c>
      <c r="I99" s="1725">
        <f t="shared" si="35"/>
        <v>0</v>
      </c>
      <c r="J99" s="1725">
        <f t="shared" si="35"/>
        <v>0</v>
      </c>
      <c r="K99" s="1725">
        <f t="shared" si="35"/>
        <v>0</v>
      </c>
      <c r="L99" s="1725">
        <f t="shared" si="35"/>
        <v>0</v>
      </c>
      <c r="M99" s="1725">
        <f t="shared" si="35"/>
        <v>0</v>
      </c>
      <c r="N99" s="1725">
        <f t="shared" si="35"/>
        <v>0</v>
      </c>
    </row>
    <row r="100" spans="1:14">
      <c r="A100" s="1375"/>
      <c r="B100" s="1722">
        <v>7</v>
      </c>
      <c r="C100" s="1726">
        <f>(-0.163*(C99^2)-0.59*C99+7617)*(10^(-4))</f>
        <v>0.7617</v>
      </c>
      <c r="D100" s="1726">
        <f>(-0.163*(D99^2)-0.59*D99+7617)*(10^(-4))</f>
        <v>0.7617</v>
      </c>
      <c r="E100" s="1726">
        <f t="shared" ref="E100:I100" si="36">(-0.161*(E99^2)-7.509*E99+6533)*(10^(-4))</f>
        <v>0.6533</v>
      </c>
      <c r="F100" s="1726">
        <f t="shared" si="36"/>
        <v>0.6533</v>
      </c>
      <c r="G100" s="1726">
        <f t="shared" si="36"/>
        <v>0.6533</v>
      </c>
      <c r="H100" s="1726">
        <f t="shared" si="36"/>
        <v>0.6533</v>
      </c>
      <c r="I100" s="1726">
        <f t="shared" si="36"/>
        <v>0.6533</v>
      </c>
      <c r="J100" s="1726">
        <f t="shared" ref="J100:N100" si="37">(-0.214*(J99^2)-21.991*J99+4665)*(10^(-4))</f>
        <v>0.4665</v>
      </c>
      <c r="K100" s="1726">
        <f t="shared" si="37"/>
        <v>0.4665</v>
      </c>
      <c r="L100" s="1726">
        <f t="shared" si="37"/>
        <v>0.4665</v>
      </c>
      <c r="M100" s="1726">
        <f t="shared" si="37"/>
        <v>0.4665</v>
      </c>
      <c r="N100" s="1726">
        <f t="shared" si="37"/>
        <v>0.4665</v>
      </c>
    </row>
    <row r="101" spans="1:14">
      <c r="A101" s="1721" t="s">
        <v>967</v>
      </c>
      <c r="B101" s="1727" t="s">
        <v>105</v>
      </c>
      <c r="C101" s="1728">
        <f t="shared" ref="C101:N101" si="38">$G$3</f>
        <v>1.22</v>
      </c>
      <c r="D101" s="1728">
        <f t="shared" si="38"/>
        <v>1.22</v>
      </c>
      <c r="E101" s="1728">
        <f t="shared" si="38"/>
        <v>1.22</v>
      </c>
      <c r="F101" s="1728">
        <f t="shared" si="38"/>
        <v>1.22</v>
      </c>
      <c r="G101" s="1728">
        <f t="shared" si="38"/>
        <v>1.22</v>
      </c>
      <c r="H101" s="1728">
        <f t="shared" si="38"/>
        <v>1.22</v>
      </c>
      <c r="I101" s="1728">
        <f t="shared" si="38"/>
        <v>1.22</v>
      </c>
      <c r="J101" s="1728">
        <f t="shared" si="38"/>
        <v>1.22</v>
      </c>
      <c r="K101" s="1728">
        <f t="shared" si="38"/>
        <v>1.22</v>
      </c>
      <c r="L101" s="1728">
        <f t="shared" si="38"/>
        <v>1.22</v>
      </c>
      <c r="M101" s="1728">
        <f t="shared" si="38"/>
        <v>1.22</v>
      </c>
      <c r="N101" s="1728">
        <f t="shared" si="38"/>
        <v>1.22</v>
      </c>
    </row>
    <row r="102" spans="1:14">
      <c r="A102" s="1724"/>
      <c r="B102" s="1722">
        <v>1</v>
      </c>
      <c r="C102" s="1723">
        <f>1.9362/C101</f>
        <v>1.58704918032787</v>
      </c>
      <c r="D102" s="1723">
        <f>1.9362/D101</f>
        <v>1.58704918032787</v>
      </c>
      <c r="E102" s="1723">
        <f t="shared" ref="E102:I102" si="39">1.8629/E101</f>
        <v>1.52696721311475</v>
      </c>
      <c r="F102" s="1723">
        <f t="shared" si="39"/>
        <v>1.52696721311475</v>
      </c>
      <c r="G102" s="1723">
        <f t="shared" si="39"/>
        <v>1.52696721311475</v>
      </c>
      <c r="H102" s="1723">
        <f t="shared" si="39"/>
        <v>1.52696721311475</v>
      </c>
      <c r="I102" s="1723">
        <f t="shared" si="39"/>
        <v>1.52696721311475</v>
      </c>
      <c r="J102" s="1723">
        <f t="shared" ref="J102:N102" si="40">1.942/J101</f>
        <v>1.59180327868852</v>
      </c>
      <c r="K102" s="1723">
        <f t="shared" si="40"/>
        <v>1.59180327868852</v>
      </c>
      <c r="L102" s="1723">
        <f t="shared" si="40"/>
        <v>1.59180327868852</v>
      </c>
      <c r="M102" s="1723">
        <f t="shared" si="40"/>
        <v>1.59180327868852</v>
      </c>
      <c r="N102" s="1723">
        <f t="shared" si="40"/>
        <v>1.59180327868852</v>
      </c>
    </row>
    <row r="103" spans="1:14">
      <c r="A103" s="1724"/>
      <c r="B103" s="1722">
        <v>2</v>
      </c>
      <c r="C103" s="1723">
        <f>1.4198/C101</f>
        <v>1.16377049180328</v>
      </c>
      <c r="D103" s="1723">
        <f>1.4198/D101</f>
        <v>1.16377049180328</v>
      </c>
      <c r="E103" s="1723">
        <f t="shared" ref="E103:I103" si="41">1.3372/E101</f>
        <v>1.09606557377049</v>
      </c>
      <c r="F103" s="1723">
        <f t="shared" si="41"/>
        <v>1.09606557377049</v>
      </c>
      <c r="G103" s="1723">
        <f t="shared" si="41"/>
        <v>1.09606557377049</v>
      </c>
      <c r="H103" s="1723">
        <f t="shared" si="41"/>
        <v>1.09606557377049</v>
      </c>
      <c r="I103" s="1723">
        <f t="shared" si="41"/>
        <v>1.09606557377049</v>
      </c>
      <c r="J103" s="1723">
        <f t="shared" ref="J103:N103" si="42">1.2799/J101</f>
        <v>1.04909836065574</v>
      </c>
      <c r="K103" s="1723">
        <f t="shared" si="42"/>
        <v>1.04909836065574</v>
      </c>
      <c r="L103" s="1723">
        <f t="shared" si="42"/>
        <v>1.04909836065574</v>
      </c>
      <c r="M103" s="1723">
        <f t="shared" si="42"/>
        <v>1.04909836065574</v>
      </c>
      <c r="N103" s="1723">
        <f t="shared" si="42"/>
        <v>1.04909836065574</v>
      </c>
    </row>
    <row r="104" spans="1:14">
      <c r="A104" s="1724"/>
      <c r="B104" s="1722">
        <v>3</v>
      </c>
      <c r="C104" s="1723">
        <f>1.1594/C101</f>
        <v>0.950327868852459</v>
      </c>
      <c r="D104" s="1723">
        <f>1.1594/D101</f>
        <v>0.950327868852459</v>
      </c>
      <c r="E104" s="1723">
        <f t="shared" ref="E104:I104" si="43">1.0788/E101</f>
        <v>0.884262295081967</v>
      </c>
      <c r="F104" s="1723">
        <f t="shared" si="43"/>
        <v>0.884262295081967</v>
      </c>
      <c r="G104" s="1723">
        <f t="shared" si="43"/>
        <v>0.884262295081967</v>
      </c>
      <c r="H104" s="1723">
        <f t="shared" si="43"/>
        <v>0.884262295081967</v>
      </c>
      <c r="I104" s="1723">
        <f t="shared" si="43"/>
        <v>0.884262295081967</v>
      </c>
      <c r="J104" s="1723">
        <f t="shared" ref="J104:N104" si="44">1.0072/J101</f>
        <v>0.825573770491803</v>
      </c>
      <c r="K104" s="1723">
        <f t="shared" si="44"/>
        <v>0.825573770491803</v>
      </c>
      <c r="L104" s="1723">
        <f t="shared" si="44"/>
        <v>0.825573770491803</v>
      </c>
      <c r="M104" s="1723">
        <f t="shared" si="44"/>
        <v>0.825573770491803</v>
      </c>
      <c r="N104" s="1723">
        <f t="shared" si="44"/>
        <v>0.825573770491803</v>
      </c>
    </row>
    <row r="105" spans="1:14">
      <c r="A105" s="1724"/>
      <c r="B105" s="1722">
        <v>4</v>
      </c>
      <c r="C105" s="1723">
        <f>0.9622/C101</f>
        <v>0.788688524590164</v>
      </c>
      <c r="D105" s="1723">
        <f>0.9622/D101</f>
        <v>0.788688524590164</v>
      </c>
      <c r="E105" s="1723">
        <f t="shared" ref="E105:I105" si="45">0.8656/E101</f>
        <v>0.709508196721311</v>
      </c>
      <c r="F105" s="1723">
        <f t="shared" si="45"/>
        <v>0.709508196721311</v>
      </c>
      <c r="G105" s="1723">
        <f t="shared" si="45"/>
        <v>0.709508196721311</v>
      </c>
      <c r="H105" s="1723">
        <f t="shared" si="45"/>
        <v>0.709508196721311</v>
      </c>
      <c r="I105" s="1723">
        <f t="shared" si="45"/>
        <v>0.709508196721311</v>
      </c>
      <c r="J105" s="1723">
        <f t="shared" ref="J105:N105" si="46">0.7525/J101</f>
        <v>0.616803278688525</v>
      </c>
      <c r="K105" s="1723">
        <f t="shared" si="46"/>
        <v>0.616803278688525</v>
      </c>
      <c r="L105" s="1723">
        <f t="shared" si="46"/>
        <v>0.616803278688525</v>
      </c>
      <c r="M105" s="1723">
        <f t="shared" si="46"/>
        <v>0.616803278688525</v>
      </c>
      <c r="N105" s="1723">
        <f t="shared" si="46"/>
        <v>0.616803278688525</v>
      </c>
    </row>
    <row r="106" spans="1:14">
      <c r="A106" s="1724"/>
      <c r="B106" s="1722">
        <v>5</v>
      </c>
      <c r="C106" s="1723">
        <f>0.8417/C101</f>
        <v>0.689918032786885</v>
      </c>
      <c r="D106" s="1723">
        <f>0.8417/D101</f>
        <v>0.689918032786885</v>
      </c>
      <c r="E106" s="1723">
        <f t="shared" ref="E106:I106" si="47">0.7371/E101</f>
        <v>0.604180327868852</v>
      </c>
      <c r="F106" s="1723">
        <f t="shared" si="47"/>
        <v>0.604180327868852</v>
      </c>
      <c r="G106" s="1723">
        <f t="shared" si="47"/>
        <v>0.604180327868852</v>
      </c>
      <c r="H106" s="1723">
        <f t="shared" si="47"/>
        <v>0.604180327868852</v>
      </c>
      <c r="I106" s="1723">
        <f t="shared" si="47"/>
        <v>0.604180327868852</v>
      </c>
      <c r="J106" s="1723">
        <f t="shared" ref="J106:N106" si="48">0.5659/J101</f>
        <v>0.463852459016393</v>
      </c>
      <c r="K106" s="1723">
        <f t="shared" si="48"/>
        <v>0.463852459016393</v>
      </c>
      <c r="L106" s="1723">
        <f t="shared" si="48"/>
        <v>0.463852459016393</v>
      </c>
      <c r="M106" s="1723">
        <f t="shared" si="48"/>
        <v>0.463852459016393</v>
      </c>
      <c r="N106" s="1723">
        <f t="shared" si="48"/>
        <v>0.463852459016393</v>
      </c>
    </row>
    <row r="107" spans="1:14">
      <c r="A107" s="1724"/>
      <c r="B107" s="1722">
        <v>6</v>
      </c>
      <c r="C107" s="1723">
        <f>0.7608/C101</f>
        <v>0.623606557377049</v>
      </c>
      <c r="D107" s="1723">
        <f>0.7608/D101</f>
        <v>0.623606557377049</v>
      </c>
      <c r="E107" s="1723">
        <f t="shared" ref="E107:I107" si="49">0.6482/E101</f>
        <v>0.531311475409836</v>
      </c>
      <c r="F107" s="1723">
        <f t="shared" si="49"/>
        <v>0.531311475409836</v>
      </c>
      <c r="G107" s="1723">
        <f t="shared" si="49"/>
        <v>0.531311475409836</v>
      </c>
      <c r="H107" s="1723">
        <f t="shared" si="49"/>
        <v>0.531311475409836</v>
      </c>
      <c r="I107" s="1723">
        <f t="shared" si="49"/>
        <v>0.531311475409836</v>
      </c>
      <c r="J107" s="1723">
        <f t="shared" ref="J107:N107" si="50">0.4525/J101</f>
        <v>0.370901639344262</v>
      </c>
      <c r="K107" s="1723">
        <f t="shared" si="50"/>
        <v>0.370901639344262</v>
      </c>
      <c r="L107" s="1723">
        <f t="shared" si="50"/>
        <v>0.370901639344262</v>
      </c>
      <c r="M107" s="1723">
        <f t="shared" si="50"/>
        <v>0.370901639344262</v>
      </c>
      <c r="N107" s="1723">
        <f t="shared" si="50"/>
        <v>0.370901639344262</v>
      </c>
    </row>
    <row r="108" spans="1:14">
      <c r="A108" s="1724"/>
      <c r="B108" s="1357" t="s">
        <v>968</v>
      </c>
      <c r="C108" s="1725">
        <f t="shared" ref="C108:N108" si="51">C99</f>
        <v>0</v>
      </c>
      <c r="D108" s="1725">
        <f t="shared" si="51"/>
        <v>0</v>
      </c>
      <c r="E108" s="1725">
        <f t="shared" si="51"/>
        <v>0</v>
      </c>
      <c r="F108" s="1725">
        <f t="shared" si="51"/>
        <v>0</v>
      </c>
      <c r="G108" s="1725">
        <f t="shared" si="51"/>
        <v>0</v>
      </c>
      <c r="H108" s="1725">
        <f t="shared" si="51"/>
        <v>0</v>
      </c>
      <c r="I108" s="1725">
        <f t="shared" si="51"/>
        <v>0</v>
      </c>
      <c r="J108" s="1725">
        <f t="shared" si="51"/>
        <v>0</v>
      </c>
      <c r="K108" s="1725">
        <f t="shared" si="51"/>
        <v>0</v>
      </c>
      <c r="L108" s="1725">
        <f t="shared" si="51"/>
        <v>0</v>
      </c>
      <c r="M108" s="1725">
        <f t="shared" si="51"/>
        <v>0</v>
      </c>
      <c r="N108" s="1725">
        <f t="shared" si="51"/>
        <v>0</v>
      </c>
    </row>
    <row r="109" spans="1:14">
      <c r="A109" s="1375"/>
      <c r="B109" s="1729"/>
      <c r="C109" s="1726">
        <f>(-0.163*(C108^2)-0.59*C108+7617)*(10^(-4))/C101</f>
        <v>0.624344262295082</v>
      </c>
      <c r="D109" s="1726">
        <f>(-0.163*(D108^2)-0.59*D108+7617)*(10^(-4))/D101</f>
        <v>0.624344262295082</v>
      </c>
      <c r="E109" s="1726">
        <f t="shared" ref="E109:I109" si="52">(-0.161*(E108^2)-7.509*E108+6533)*(10^(-4))/E101</f>
        <v>0.535491803278689</v>
      </c>
      <c r="F109" s="1726">
        <f t="shared" si="52"/>
        <v>0.535491803278689</v>
      </c>
      <c r="G109" s="1726">
        <f t="shared" si="52"/>
        <v>0.535491803278689</v>
      </c>
      <c r="H109" s="1726">
        <f t="shared" si="52"/>
        <v>0.535491803278689</v>
      </c>
      <c r="I109" s="1726">
        <f t="shared" si="52"/>
        <v>0.535491803278689</v>
      </c>
      <c r="J109" s="1726">
        <f t="shared" ref="J109:N109" si="53">(-0.214*(J108^2)-21.991*J108+4665)*(10^(-4))/J101</f>
        <v>0.382377049180328</v>
      </c>
      <c r="K109" s="1726">
        <f t="shared" si="53"/>
        <v>0.382377049180328</v>
      </c>
      <c r="L109" s="1726">
        <f t="shared" si="53"/>
        <v>0.382377049180328</v>
      </c>
      <c r="M109" s="1726">
        <f t="shared" si="53"/>
        <v>0.382377049180328</v>
      </c>
      <c r="N109" s="1726">
        <f t="shared" si="53"/>
        <v>0.382377049180328</v>
      </c>
    </row>
    <row r="110" spans="1:14">
      <c r="A110" s="1730" t="s">
        <v>969</v>
      </c>
      <c r="B110" s="1730"/>
      <c r="C110" s="1730"/>
      <c r="D110" s="1730"/>
      <c r="E110" s="1730"/>
      <c r="F110" s="1730"/>
      <c r="G110" s="1730"/>
      <c r="H110" s="1730"/>
      <c r="I110" s="1730"/>
      <c r="J110" s="1730"/>
      <c r="K110" s="1730"/>
      <c r="L110" s="1730"/>
      <c r="M110" s="1730"/>
      <c r="N110" s="1730"/>
    </row>
    <row r="112" ht="12.75"/>
    <row r="113" ht="25.5" spans="1:13">
      <c r="A113" s="1731" t="s">
        <v>970</v>
      </c>
      <c r="B113" s="1732">
        <f>G3</f>
        <v>1.22</v>
      </c>
      <c r="C113" s="1733" t="s">
        <v>971</v>
      </c>
      <c r="D113" s="1734">
        <f>SUMPRODUCT((A115:A118=F113)*(B114:M114=H113)*B115:M118)</f>
        <v>0.7523</v>
      </c>
      <c r="E113" s="1735" t="s">
        <v>348</v>
      </c>
      <c r="F113" s="1736" t="str">
        <f>E2</f>
        <v>办公</v>
      </c>
      <c r="G113" s="1735" t="s">
        <v>217</v>
      </c>
      <c r="H113" s="1736" t="str">
        <f>G2</f>
        <v>八级</v>
      </c>
      <c r="I113" s="1735"/>
      <c r="J113" s="1289"/>
      <c r="K113" s="1289"/>
      <c r="L113" s="1289"/>
      <c r="M113" s="1289"/>
    </row>
    <row r="114" ht="12.75" spans="1:13">
      <c r="A114" s="1737"/>
      <c r="B114" s="1738" t="s">
        <v>240</v>
      </c>
      <c r="C114" s="1738" t="s">
        <v>253</v>
      </c>
      <c r="D114" s="1738" t="s">
        <v>265</v>
      </c>
      <c r="E114" s="1739" t="s">
        <v>275</v>
      </c>
      <c r="F114" s="1739" t="s">
        <v>284</v>
      </c>
      <c r="G114" s="1739" t="s">
        <v>292</v>
      </c>
      <c r="H114" s="1740" t="s">
        <v>297</v>
      </c>
      <c r="I114" s="1740" t="s">
        <v>302</v>
      </c>
      <c r="J114" s="1748" t="s">
        <v>305</v>
      </c>
      <c r="K114" s="1748" t="s">
        <v>308</v>
      </c>
      <c r="L114" s="1748" t="s">
        <v>311</v>
      </c>
      <c r="M114" s="1749" t="s">
        <v>314</v>
      </c>
    </row>
    <row r="115" ht="12.75" spans="1:13">
      <c r="A115" s="1741" t="s">
        <v>972</v>
      </c>
      <c r="B115" s="1742">
        <f>ROUND(0.9335-0.0094*B113,4)</f>
        <v>0.922</v>
      </c>
      <c r="C115" s="1742">
        <f t="shared" ref="C115:H115" si="54">B115</f>
        <v>0.922</v>
      </c>
      <c r="D115" s="1742">
        <f>ROUND(0.8331-0.0109*B113,4)</f>
        <v>0.8198</v>
      </c>
      <c r="E115" s="1742">
        <f t="shared" si="54"/>
        <v>0.8198</v>
      </c>
      <c r="F115" s="1742">
        <f t="shared" si="54"/>
        <v>0.8198</v>
      </c>
      <c r="G115" s="1742">
        <f t="shared" si="54"/>
        <v>0.8198</v>
      </c>
      <c r="H115" s="1742">
        <f t="shared" si="54"/>
        <v>0.8198</v>
      </c>
      <c r="I115" s="1742">
        <f>ROUND(0.689-0.0155*B113,4)</f>
        <v>0.6701</v>
      </c>
      <c r="J115" s="1742">
        <f t="shared" ref="J115:M115" si="55">I115</f>
        <v>0.6701</v>
      </c>
      <c r="K115" s="1742">
        <f t="shared" si="55"/>
        <v>0.6701</v>
      </c>
      <c r="L115" s="1742">
        <f t="shared" si="55"/>
        <v>0.6701</v>
      </c>
      <c r="M115" s="1750">
        <f t="shared" si="55"/>
        <v>0.6701</v>
      </c>
    </row>
    <row r="116" ht="12.75" spans="1:13">
      <c r="A116" s="1741" t="s">
        <v>973</v>
      </c>
      <c r="B116" s="1742">
        <f>ROUND(0.949-0.012*B113,4)</f>
        <v>0.9344</v>
      </c>
      <c r="C116" s="1742">
        <f t="shared" ref="C116:H116" si="56">B116</f>
        <v>0.9344</v>
      </c>
      <c r="D116" s="1742">
        <f>ROUND(0.8567-0.013*B113,4)</f>
        <v>0.8408</v>
      </c>
      <c r="E116" s="1742">
        <f t="shared" si="56"/>
        <v>0.8408</v>
      </c>
      <c r="F116" s="1742">
        <f t="shared" si="56"/>
        <v>0.8408</v>
      </c>
      <c r="G116" s="1742">
        <f t="shared" si="56"/>
        <v>0.8408</v>
      </c>
      <c r="H116" s="1742">
        <f t="shared" si="56"/>
        <v>0.8408</v>
      </c>
      <c r="I116" s="1742">
        <f>ROUND(0.7694-0.014*B113,4)</f>
        <v>0.7523</v>
      </c>
      <c r="J116" s="1742">
        <f t="shared" ref="J116:M116" si="57">I116</f>
        <v>0.7523</v>
      </c>
      <c r="K116" s="1742">
        <f t="shared" si="57"/>
        <v>0.7523</v>
      </c>
      <c r="L116" s="1742">
        <f t="shared" si="57"/>
        <v>0.7523</v>
      </c>
      <c r="M116" s="1750">
        <f t="shared" si="57"/>
        <v>0.7523</v>
      </c>
    </row>
    <row r="117" ht="12.75" spans="1:13">
      <c r="A117" s="1743" t="s">
        <v>375</v>
      </c>
      <c r="B117" s="1742">
        <f>ROUND(0.8808-0.006*B113,4)</f>
        <v>0.8735</v>
      </c>
      <c r="C117" s="1742">
        <f t="shared" ref="C117:H117" si="58">B117</f>
        <v>0.8735</v>
      </c>
      <c r="D117" s="1742">
        <f>ROUND(0.8748-0.008*B113,4)</f>
        <v>0.865</v>
      </c>
      <c r="E117" s="1742">
        <f t="shared" si="58"/>
        <v>0.865</v>
      </c>
      <c r="F117" s="1742">
        <f t="shared" si="58"/>
        <v>0.865</v>
      </c>
      <c r="G117" s="1742">
        <f t="shared" si="58"/>
        <v>0.865</v>
      </c>
      <c r="H117" s="1742">
        <f t="shared" si="58"/>
        <v>0.865</v>
      </c>
      <c r="I117" s="1742">
        <f>ROUND(0.7412-0.0095*B113,4)</f>
        <v>0.7296</v>
      </c>
      <c r="J117" s="1742">
        <f t="shared" ref="J117:M117" si="59">I117</f>
        <v>0.7296</v>
      </c>
      <c r="K117" s="1742">
        <f t="shared" si="59"/>
        <v>0.7296</v>
      </c>
      <c r="L117" s="1742">
        <f t="shared" si="59"/>
        <v>0.7296</v>
      </c>
      <c r="M117" s="1750">
        <f t="shared" si="59"/>
        <v>0.7296</v>
      </c>
    </row>
    <row r="118" ht="13.5" spans="1:13">
      <c r="A118" s="1744" t="s">
        <v>974</v>
      </c>
      <c r="B118" s="1745">
        <f>ROUND(0.7275-0.01*B113,4)</f>
        <v>0.7153</v>
      </c>
      <c r="C118" s="1745">
        <f t="shared" ref="C118:H118" si="60">B118</f>
        <v>0.7153</v>
      </c>
      <c r="D118" s="1745">
        <f>ROUND(0.7043-0.012*B113,4)</f>
        <v>0.6897</v>
      </c>
      <c r="E118" s="1745">
        <f t="shared" si="60"/>
        <v>0.6897</v>
      </c>
      <c r="F118" s="1745">
        <f t="shared" si="60"/>
        <v>0.6897</v>
      </c>
      <c r="G118" s="1745">
        <f>ROUND(0.6299-0.0122*B113,4)</f>
        <v>0.615</v>
      </c>
      <c r="H118" s="1745">
        <f t="shared" si="60"/>
        <v>0.615</v>
      </c>
      <c r="I118" s="1745">
        <f>ROUND(0.5667-0.0136*B113,4)</f>
        <v>0.5501</v>
      </c>
      <c r="J118" s="1745">
        <f t="shared" ref="J118:M118" si="61">I118</f>
        <v>0.5501</v>
      </c>
      <c r="K118" s="1745">
        <f t="shared" si="61"/>
        <v>0.5501</v>
      </c>
      <c r="L118" s="1745">
        <f t="shared" si="61"/>
        <v>0.5501</v>
      </c>
      <c r="M118" s="1751">
        <f t="shared" si="61"/>
        <v>0.5501</v>
      </c>
    </row>
  </sheetData>
  <sheetProtection formatCells="0" formatColumns="0" formatRows="0"/>
  <mergeCells count="17">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7">
    <cfRule type="cellIs" dxfId="8" priority="5" stopIfTrue="1" operator="notEqual">
      <formula>"——"</formula>
    </cfRule>
  </conditionalFormatting>
  <conditionalFormatting sqref="F58">
    <cfRule type="cellIs" dxfId="8" priority="4" stopIfTrue="1" operator="notEqual">
      <formula>"——"</formula>
    </cfRule>
  </conditionalFormatting>
  <conditionalFormatting sqref="F69">
    <cfRule type="cellIs" dxfId="8" priority="3" stopIfTrue="1" operator="notEqual">
      <formula>"——"</formula>
    </cfRule>
  </conditionalFormatting>
  <conditionalFormatting sqref="F80">
    <cfRule type="cellIs" dxfId="8" priority="2" stopIfTrue="1" operator="notEqual">
      <formula>"——"</formula>
    </cfRule>
  </conditionalFormatting>
  <conditionalFormatting sqref="H58:H66 H47:H55 H69:H77 H80:H87">
    <cfRule type="cellIs" dxfId="2"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7:C55 C58:C66 C69:C77 C80:C87">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R118"/>
  <sheetViews>
    <sheetView view="pageBreakPreview" zoomScale="85" zoomScaleNormal="60" topLeftCell="B1" workbookViewId="0">
      <selection activeCell="D35" sqref="D34:D35"/>
    </sheetView>
  </sheetViews>
  <sheetFormatPr defaultColWidth="12" defaultRowHeight="12"/>
  <cols>
    <col min="1" max="1" width="9.75" style="1387" customWidth="1"/>
    <col min="2" max="2" width="20.875" style="1388" customWidth="1"/>
    <col min="3" max="4" width="12" style="1389"/>
    <col min="5" max="5" width="14.625" style="1389" customWidth="1"/>
    <col min="6" max="8" width="12" style="1389"/>
    <col min="9" max="9" width="12.25" style="1389" customWidth="1"/>
    <col min="10" max="10" width="12" style="1389"/>
    <col min="11" max="11" width="9.625" style="1386" customWidth="1"/>
    <col min="12" max="12" width="12" style="1389"/>
    <col min="13" max="14" width="10.625" style="1389" customWidth="1"/>
    <col min="15" max="17" width="12" style="1389"/>
    <col min="18" max="18" width="12" style="1387"/>
    <col min="19" max="22" width="15.5" style="1387" customWidth="1"/>
    <col min="23" max="28" width="12" style="1389"/>
    <col min="29" max="29" width="9.375" style="1387" customWidth="1"/>
    <col min="30" max="35" width="9.375" style="1390" customWidth="1"/>
    <col min="36" max="39" width="9.375" style="1387" customWidth="1"/>
    <col min="40" max="41" width="9.375" style="1389" customWidth="1"/>
    <col min="42" max="16384" width="12" style="1389"/>
  </cols>
  <sheetData>
    <row r="1" ht="20.25" spans="1:29">
      <c r="A1" s="1391" t="s">
        <v>803</v>
      </c>
      <c r="B1" s="1392"/>
      <c r="C1" s="1393" t="s">
        <v>389</v>
      </c>
      <c r="D1" s="1394">
        <f>SUM(D29:D30,D33:D39)</f>
        <v>0</v>
      </c>
      <c r="E1" s="1393" t="s">
        <v>392</v>
      </c>
      <c r="F1" s="1395">
        <f>'数据-基础表'!A3</f>
        <v>20468.06</v>
      </c>
      <c r="G1" s="1396"/>
      <c r="H1" s="1396"/>
      <c r="I1" s="1396"/>
      <c r="J1" s="1396"/>
      <c r="K1" s="1594"/>
      <c r="L1" s="1595" t="s">
        <v>804</v>
      </c>
      <c r="M1" s="1596">
        <f>SUMPRODUCT((区片价!B5:B9=I2)*(区片价!C3:F3=E2)*(区片价!C5:F9))</f>
        <v>0</v>
      </c>
      <c r="N1" s="1597">
        <f>SUMPRODUCT((因素修正幅度!B5:B9=I2)*(因素修正幅度!C3:F3=E2)*(因素修正幅度!C5:F9))</f>
        <v>0</v>
      </c>
      <c r="O1" s="1594"/>
      <c r="P1" s="1594"/>
      <c r="Q1" s="1594"/>
      <c r="R1" s="1685" t="s">
        <v>805</v>
      </c>
      <c r="S1" s="1685" t="s">
        <v>806</v>
      </c>
      <c r="T1" s="1685" t="s">
        <v>769</v>
      </c>
      <c r="U1" s="1685" t="s">
        <v>807</v>
      </c>
      <c r="V1" s="1685" t="s">
        <v>637</v>
      </c>
      <c r="W1" s="1594"/>
      <c r="X1" s="1594"/>
      <c r="Y1" s="1594"/>
      <c r="Z1" s="1594"/>
      <c r="AA1" s="1594"/>
      <c r="AB1" s="1594"/>
      <c r="AC1" s="1697"/>
    </row>
    <row r="2" ht="15.75" spans="1:29">
      <c r="A2" s="1393" t="s">
        <v>775</v>
      </c>
      <c r="B2" s="1397">
        <f ca="1">C26</f>
        <v>0</v>
      </c>
      <c r="C2" s="1398" t="s">
        <v>808</v>
      </c>
      <c r="D2" s="1399" t="s">
        <v>348</v>
      </c>
      <c r="E2" s="1400" t="s">
        <v>377</v>
      </c>
      <c r="F2" s="1399" t="s">
        <v>217</v>
      </c>
      <c r="G2" s="1401" t="str">
        <f>IF(E2="商业",项目基本情况!B43,IF(E2="办公",项目基本情况!C43,IF(E2="住宅",项目基本情况!D43,项目基本情况!E43)))</f>
        <v>八级</v>
      </c>
      <c r="H2" s="1399" t="s">
        <v>424</v>
      </c>
      <c r="I2" s="1598" t="str">
        <f>IF(E2="商业",项目基本情况!B44,IF(E2="办公",项目基本情况!C44,IF(E2="住宅",项目基本情况!D44,项目基本情况!E44)))</f>
        <v>Ⅷ-02</v>
      </c>
      <c r="J2" s="1599"/>
      <c r="K2" s="1600"/>
      <c r="L2" s="1601" t="s">
        <v>809</v>
      </c>
      <c r="M2" s="1602">
        <f>SUMPRODUCT((区片价!B10:B28=I2)*(区片价!C3:F3=E2)*(区片价!C10:F28))</f>
        <v>0</v>
      </c>
      <c r="N2" s="1603">
        <f>SUMPRODUCT((因素修正幅度!B10:B28=I2)*(因素修正幅度!C3:F3=E2)*(因素修正幅度!C10:F28))</f>
        <v>0</v>
      </c>
      <c r="O2" s="1600"/>
      <c r="P2" s="1594"/>
      <c r="Q2" s="1594"/>
      <c r="R2" s="1686">
        <v>1</v>
      </c>
      <c r="S2" s="1686">
        <f>ROUND(IF(G3&gt;1,IF(R2&lt;7,SUMPRODUCT((B93:B98=R2)*(C92:N92=G2)*(C93:N98)),SUMIF(C92:N92,G2,C100:N100)),IF(R2&lt;7,SUMPRODUCT((B102:B107=R2)*(C92:N92=G2)*(C102:N107)),SUMIF(C92:N92,G2,C109:N109))),4)</f>
        <v>1.942</v>
      </c>
      <c r="T2" s="1686">
        <f ca="1" t="shared" ref="T2:T16" si="0">ROUND($C$5*$C$18*$C$19*$C$20*S2*$C$24,0)</f>
        <v>10040</v>
      </c>
      <c r="U2" s="1687"/>
      <c r="V2" s="1686">
        <f ca="1" t="shared" ref="V2:V16" si="1">ROUND(T2*U2/10000,0)</f>
        <v>0</v>
      </c>
      <c r="W2" s="1594"/>
      <c r="X2" s="1594"/>
      <c r="Y2" s="1594"/>
      <c r="Z2" s="1594"/>
      <c r="AA2" s="1594"/>
      <c r="AB2" s="1594"/>
      <c r="AC2" s="1697"/>
    </row>
    <row r="3" ht="15.75" spans="1:29">
      <c r="A3" s="1402" t="s">
        <v>714</v>
      </c>
      <c r="B3" s="1397" t="e">
        <f ca="1">ROUND(B2*10000/D1,0)</f>
        <v>#DIV/0!</v>
      </c>
      <c r="C3" s="1398" t="s">
        <v>810</v>
      </c>
      <c r="D3" s="1399" t="s">
        <v>811</v>
      </c>
      <c r="E3" s="1403" t="s">
        <v>812</v>
      </c>
      <c r="F3" s="1404" t="s">
        <v>541</v>
      </c>
      <c r="G3" s="1405">
        <f>IF(F3="宗地容积率",'数据-汇总表'!I4,IF(F3="估价对象容积率",'数据-汇总表'!I6,'数据-汇总表'!I7))</f>
        <v>2</v>
      </c>
      <c r="H3" s="1406" t="s">
        <v>814</v>
      </c>
      <c r="I3" s="1604"/>
      <c r="J3" s="1599" t="s">
        <v>815</v>
      </c>
      <c r="K3" s="1600"/>
      <c r="L3" s="1601" t="s">
        <v>816</v>
      </c>
      <c r="M3" s="1602">
        <f>SUMPRODUCT((区片价!B29:B48=I2)*(区片价!C3:F3=E2)*(区片价!C29:F48))</f>
        <v>0</v>
      </c>
      <c r="N3" s="1603">
        <f>SUMPRODUCT((因素修正幅度!B29:B48=I2)*(因素修正幅度!C3:F3=E2)*(因素修正幅度!C29:F48))</f>
        <v>0</v>
      </c>
      <c r="O3" s="1600"/>
      <c r="P3" s="1594"/>
      <c r="Q3" s="1594"/>
      <c r="R3" s="1686">
        <v>2</v>
      </c>
      <c r="S3" s="1686">
        <f>ROUND(IF(G3&gt;1,IF(R3&lt;7,SUMPRODUCT((B93:B98=R3)*(C92:N92=G2)*(C93:N98)),SUMIF(C92:N92,G2,C100:N100)),IF(R3&lt;7,SUMPRODUCT((B102:B107=R3)*(C92:N92=G2)*(C102:N107)),SUMIF(C92:N92,G2,C109:N109))),4)</f>
        <v>1.2799</v>
      </c>
      <c r="T3" s="1686">
        <f ca="1" t="shared" si="0"/>
        <v>6617</v>
      </c>
      <c r="U3" s="1687"/>
      <c r="V3" s="1686">
        <f ca="1" t="shared" si="1"/>
        <v>0</v>
      </c>
      <c r="W3" s="1594"/>
      <c r="X3" s="1594"/>
      <c r="Y3" s="1594"/>
      <c r="Z3" s="1594"/>
      <c r="AA3" s="1594"/>
      <c r="AB3" s="1594"/>
      <c r="AC3" s="1697"/>
    </row>
    <row r="4" ht="28.5" spans="1:29">
      <c r="A4" s="1407" t="s">
        <v>817</v>
      </c>
      <c r="B4" s="1408">
        <f ca="1">ROUND(B2*10000/F1,0)</f>
        <v>0</v>
      </c>
      <c r="C4" s="1409" t="s">
        <v>810</v>
      </c>
      <c r="D4" s="1409">
        <f ca="1">ROUND(B2/(F1/666.67),0)</f>
        <v>0</v>
      </c>
      <c r="E4" s="1409" t="s">
        <v>818</v>
      </c>
      <c r="F4" s="1410"/>
      <c r="G4" s="1410"/>
      <c r="H4" s="1410"/>
      <c r="I4" s="1410"/>
      <c r="J4" s="1605"/>
      <c r="K4" s="1606"/>
      <c r="L4" s="1601" t="s">
        <v>819</v>
      </c>
      <c r="M4" s="1602">
        <f>SUMPRODUCT((区片价!B49:B75=I2)*(区片价!C3:F3=E2)*(区片价!C49:F75))</f>
        <v>0</v>
      </c>
      <c r="N4" s="1603">
        <f>SUMPRODUCT((因素修正幅度!B49:B75=I2)*(因素修正幅度!C3:F3=E2)*(因素修正幅度!C49:F75))</f>
        <v>0</v>
      </c>
      <c r="O4" s="1606"/>
      <c r="P4" s="1594"/>
      <c r="Q4" s="1594"/>
      <c r="R4" s="1686">
        <v>3</v>
      </c>
      <c r="S4" s="1686">
        <f>ROUND(IF(G3&gt;1,IF(R4&lt;7,SUMPRODUCT((B93:B98=R4)*(C92:N92=G2)*(C93:N98)),SUMIF(C92:N92,G2,C100:N100)),IF(R4&lt;7,SUMPRODUCT((B102:B107=R4)*(C92:N92=G2)*(C102:N107)),SUMIF(C92:N92,G2,C109:N109))),4)</f>
        <v>1.0072</v>
      </c>
      <c r="T4" s="1686">
        <f ca="1" t="shared" si="0"/>
        <v>5207</v>
      </c>
      <c r="U4" s="1687"/>
      <c r="V4" s="1686">
        <f ca="1" t="shared" si="1"/>
        <v>0</v>
      </c>
      <c r="W4" s="1594"/>
      <c r="X4" s="1594"/>
      <c r="Y4" s="1594"/>
      <c r="Z4" s="1594"/>
      <c r="AA4" s="1594"/>
      <c r="AB4" s="1594"/>
      <c r="AC4" s="1697"/>
    </row>
    <row r="5" s="1385" customFormat="1" ht="15.75" spans="1:39">
      <c r="A5" s="1411" t="s">
        <v>820</v>
      </c>
      <c r="B5" s="1412" t="s">
        <v>821</v>
      </c>
      <c r="C5" s="1413">
        <f>ROUND(IF(E2="商业",C6*C7+C16,(IF(E2="住宅",C6*C12+C16,C6+C16))),0)</f>
        <v>3920</v>
      </c>
      <c r="D5" s="1414">
        <f>ROUND(C6+C16,0)</f>
        <v>3920</v>
      </c>
      <c r="E5" s="1414"/>
      <c r="F5" s="1415"/>
      <c r="G5" s="1416"/>
      <c r="H5" s="1416"/>
      <c r="I5" s="1416"/>
      <c r="J5" s="1607"/>
      <c r="K5" s="1608"/>
      <c r="L5" s="1601" t="s">
        <v>822</v>
      </c>
      <c r="M5" s="1602">
        <f>SUMPRODUCT((区片价!B76:B109=I2)*(区片价!C3:F3=E2)*(区片价!C76:F109))</f>
        <v>0</v>
      </c>
      <c r="N5" s="1603">
        <f>SUMPRODUCT((因素修正幅度!B76:B109=I2)*(因素修正幅度!C3:F3=E2)*(因素修正幅度!C76:F109))</f>
        <v>0</v>
      </c>
      <c r="O5" s="1608"/>
      <c r="P5" s="1609"/>
      <c r="Q5" s="1594"/>
      <c r="R5" s="1686">
        <v>4</v>
      </c>
      <c r="S5" s="1686">
        <f>ROUND(IF(G3&gt;1,IF(R5&lt;7,SUMPRODUCT((B93:B98=R5)*(C92:N92=G2)*(C93:N98)),SUMIF(C92:N92,G2,C100:N100)),IF(R5&lt;7,SUMPRODUCT((B102:B107=R5)*(C92:N92=G2)*(C102:N107)),SUMIF(C92:N92,G2,C109:N109))),4)</f>
        <v>0.7525</v>
      </c>
      <c r="T5" s="1686">
        <f ca="1" t="shared" si="0"/>
        <v>3890</v>
      </c>
      <c r="U5" s="1687"/>
      <c r="V5" s="1686">
        <f ca="1" t="shared" si="1"/>
        <v>0</v>
      </c>
      <c r="W5" s="1594"/>
      <c r="X5" s="1594"/>
      <c r="Y5" s="1594"/>
      <c r="Z5" s="1594"/>
      <c r="AA5" s="1594"/>
      <c r="AB5" s="1594"/>
      <c r="AC5" s="1699"/>
      <c r="AD5" s="1700"/>
      <c r="AE5" s="1700"/>
      <c r="AF5" s="1700"/>
      <c r="AG5" s="1700"/>
      <c r="AH5" s="1700"/>
      <c r="AI5" s="1700"/>
      <c r="AJ5" s="1709"/>
      <c r="AK5" s="1709"/>
      <c r="AL5" s="1709"/>
      <c r="AM5" s="1709"/>
    </row>
    <row r="6" ht="15.75" spans="1:36">
      <c r="A6" s="1417" t="s">
        <v>823</v>
      </c>
      <c r="B6" s="1418" t="s">
        <v>821</v>
      </c>
      <c r="C6" s="1419">
        <v>3920</v>
      </c>
      <c r="D6" s="1420" t="s">
        <v>824</v>
      </c>
      <c r="E6" s="1421"/>
      <c r="F6" s="1421"/>
      <c r="G6" s="1422"/>
      <c r="H6" s="1422"/>
      <c r="I6" s="1422"/>
      <c r="J6" s="1610"/>
      <c r="K6" s="1611"/>
      <c r="L6" s="1601" t="s">
        <v>825</v>
      </c>
      <c r="M6" s="1602">
        <f>SUMPRODUCT((区片价!B110:B157=I2)*(区片价!C3:F3=E2)*(区片价!C110:F157))</f>
        <v>0</v>
      </c>
      <c r="N6" s="1603">
        <f>SUMPRODUCT((因素修正幅度!B110:B157=I2)*(因素修正幅度!C3:F3=E2)*(因素修正幅度!C110:F157))</f>
        <v>0</v>
      </c>
      <c r="O6" s="1611"/>
      <c r="P6" s="1612"/>
      <c r="Q6" s="1594"/>
      <c r="R6" s="1686">
        <v>5</v>
      </c>
      <c r="S6" s="1686">
        <f>ROUND(IF(G3&gt;1,IF(R6&lt;7,SUMPRODUCT((B93:B98=R6)*(C92:N92=G2)*(C93:N98)),SUMIF(C92:N92,G2,C100:N100)),IF(R6&lt;7,SUMPRODUCT((B102:B107=R6)*(C92:N92=G2)*(C102:N107)),SUMIF(C92:N92,G2,C109:N109))),4)</f>
        <v>0.5659</v>
      </c>
      <c r="T6" s="1686">
        <f ca="1" t="shared" si="0"/>
        <v>2926</v>
      </c>
      <c r="U6" s="1687"/>
      <c r="V6" s="1686">
        <f ca="1" t="shared" si="1"/>
        <v>0</v>
      </c>
      <c r="W6" s="1594"/>
      <c r="X6" s="1594"/>
      <c r="Y6" s="1594"/>
      <c r="Z6" s="1594"/>
      <c r="AA6" s="1594"/>
      <c r="AB6" s="1594"/>
      <c r="AC6" s="1699"/>
      <c r="AD6" s="1700"/>
      <c r="AE6" s="1700"/>
      <c r="AF6" s="1700"/>
      <c r="AG6" s="1700"/>
      <c r="AH6" s="1700"/>
      <c r="AI6" s="1700"/>
      <c r="AJ6" s="1709"/>
    </row>
    <row r="7" ht="24" spans="1:36">
      <c r="A7" s="1423" t="str">
        <f>IF(E2="商业",IF(C8="不临58条商业街","",2),"")</f>
        <v/>
      </c>
      <c r="B7" s="1424" t="s">
        <v>826</v>
      </c>
      <c r="C7" s="1425">
        <f>IF(C8="不临58条商业街",1,ROUND(1+(1.6*E8+1.2*E9+0.8*E10+0.4*E11)*C9,4))</f>
        <v>1</v>
      </c>
      <c r="D7" s="1426" t="s">
        <v>827</v>
      </c>
      <c r="E7" s="1427"/>
      <c r="F7" s="1428"/>
      <c r="G7" s="1429"/>
      <c r="H7" s="1429"/>
      <c r="I7" s="1429"/>
      <c r="J7" s="1613"/>
      <c r="K7" s="1611"/>
      <c r="L7" s="1601" t="s">
        <v>828</v>
      </c>
      <c r="M7" s="1602">
        <f>SUMPRODUCT((区片价!B158:B205=I2)*(区片价!C3:F3=E2)*(区片价!C158:F205))</f>
        <v>0</v>
      </c>
      <c r="N7" s="1603">
        <f>SUMPRODUCT((因素修正幅度!B158:B205=I2)*(因素修正幅度!C3:F3=E2)*(因素修正幅度!C158:F205))</f>
        <v>0</v>
      </c>
      <c r="O7" s="1611"/>
      <c r="P7" s="1612"/>
      <c r="Q7" s="1594"/>
      <c r="R7" s="1686">
        <v>6</v>
      </c>
      <c r="S7" s="1686">
        <f>ROUND(IF(G3&gt;1,IF(R7&lt;7,SUMPRODUCT((B93:B98=R7)*(C92:N92=G2)*(C93:N98)),SUMIF(C92:N92,G2,C100:N100)),IF(R7&lt;7,SUMPRODUCT((B102:B107=R7)*(C92:N92=G2)*(C102:N107)),SUMIF(C92:N92,G2,C109:N109))),4)</f>
        <v>0.4525</v>
      </c>
      <c r="T7" s="1686">
        <f ca="1" t="shared" si="0"/>
        <v>2339</v>
      </c>
      <c r="U7" s="1687"/>
      <c r="V7" s="1686">
        <f ca="1" t="shared" si="1"/>
        <v>0</v>
      </c>
      <c r="W7" s="1688" t="s">
        <v>829</v>
      </c>
      <c r="X7" s="1689" t="str">
        <f>G2</f>
        <v>八级</v>
      </c>
      <c r="Y7" s="1689" t="s">
        <v>830</v>
      </c>
      <c r="Z7" s="1701">
        <f>G3</f>
        <v>2</v>
      </c>
      <c r="AA7" s="1694"/>
      <c r="AB7" s="1694"/>
      <c r="AC7" s="1638"/>
      <c r="AD7" s="1702"/>
      <c r="AE7" s="1702"/>
      <c r="AF7" s="1702"/>
      <c r="AG7" s="1702"/>
      <c r="AH7" s="1702"/>
      <c r="AI7" s="1702"/>
      <c r="AJ7" s="1710"/>
    </row>
    <row r="8" ht="24.75" spans="1:36">
      <c r="A8" s="1430"/>
      <c r="B8" s="1406" t="s">
        <v>831</v>
      </c>
      <c r="C8" s="1431" t="s">
        <v>832</v>
      </c>
      <c r="D8" s="1432" t="s">
        <v>833</v>
      </c>
      <c r="E8" s="1433" t="e">
        <f>ROUND(C11/E7,4)</f>
        <v>#DIV/0!</v>
      </c>
      <c r="F8" s="1434" t="s">
        <v>834</v>
      </c>
      <c r="G8" s="1435"/>
      <c r="H8" s="1435"/>
      <c r="I8" s="1435"/>
      <c r="J8" s="1614"/>
      <c r="K8" s="1611"/>
      <c r="L8" s="1601" t="s">
        <v>835</v>
      </c>
      <c r="M8" s="1602">
        <f>SUMPRODUCT((区片价!B206:B244=I2)*(区片价!C3:F3=E2)*(区片价!C206:F244))</f>
        <v>5820</v>
      </c>
      <c r="N8" s="1603">
        <f>SUMPRODUCT((因素修正幅度!B206:B244=I2)*(因素修正幅度!C3:F3=E2)*(因素修正幅度!C206:F244))</f>
        <v>0.15</v>
      </c>
      <c r="O8" s="1611"/>
      <c r="P8" s="1594"/>
      <c r="Q8" s="1594"/>
      <c r="R8" s="1686">
        <v>7</v>
      </c>
      <c r="S8" s="1687"/>
      <c r="T8" s="1686">
        <f ca="1" t="shared" si="0"/>
        <v>0</v>
      </c>
      <c r="U8" s="1687"/>
      <c r="V8" s="1686">
        <f ca="1" t="shared" si="1"/>
        <v>0</v>
      </c>
      <c r="W8" s="1690" t="s">
        <v>836</v>
      </c>
      <c r="X8" s="1691"/>
      <c r="Y8" s="1528" t="s">
        <v>837</v>
      </c>
      <c r="Z8" s="1528" t="s">
        <v>838</v>
      </c>
      <c r="AA8" s="1528" t="s">
        <v>839</v>
      </c>
      <c r="AB8" s="1528" t="s">
        <v>840</v>
      </c>
      <c r="AC8" s="1528" t="s">
        <v>841</v>
      </c>
      <c r="AD8" s="1528" t="s">
        <v>842</v>
      </c>
      <c r="AE8" s="1528" t="s">
        <v>843</v>
      </c>
      <c r="AF8" s="1528" t="s">
        <v>844</v>
      </c>
      <c r="AG8" s="1528" t="s">
        <v>845</v>
      </c>
      <c r="AH8" s="1528" t="s">
        <v>846</v>
      </c>
      <c r="AI8" s="1528" t="s">
        <v>847</v>
      </c>
      <c r="AJ8" s="1528" t="s">
        <v>848</v>
      </c>
    </row>
    <row r="9" ht="15" spans="1:36">
      <c r="A9" s="1430"/>
      <c r="B9" s="1406" t="s">
        <v>849</v>
      </c>
      <c r="C9" s="1436">
        <f>SUMIF(修正!C59:C119,C8,修正!E59:E119)</f>
        <v>0</v>
      </c>
      <c r="D9" s="1437" t="s">
        <v>850</v>
      </c>
      <c r="E9" s="1437" t="e">
        <f>ROUND(C11/E7,4)</f>
        <v>#DIV/0!</v>
      </c>
      <c r="F9" s="1434" t="s">
        <v>851</v>
      </c>
      <c r="G9" s="1435"/>
      <c r="H9" s="1435"/>
      <c r="I9" s="1435"/>
      <c r="J9" s="1614"/>
      <c r="K9" s="1611"/>
      <c r="L9" s="1601" t="s">
        <v>852</v>
      </c>
      <c r="M9" s="1602">
        <f>SUMPRODUCT((区片价!B245:B289=I2)*(区片价!C3:F3=E2)*(区片价!C245:F289))</f>
        <v>0</v>
      </c>
      <c r="N9" s="1603">
        <f>SUMPRODUCT((因素修正幅度!B245:B289=I2)*(因素修正幅度!C3:F3=E2)*(因素修正幅度!C245:F289))</f>
        <v>0</v>
      </c>
      <c r="O9" s="1611"/>
      <c r="P9" s="1594"/>
      <c r="Q9" s="1594"/>
      <c r="R9" s="1686">
        <v>8</v>
      </c>
      <c r="S9" s="1687"/>
      <c r="T9" s="1686">
        <f ca="1" t="shared" si="0"/>
        <v>0</v>
      </c>
      <c r="U9" s="1687"/>
      <c r="V9" s="1686">
        <f ca="1" t="shared" si="1"/>
        <v>0</v>
      </c>
      <c r="W9" s="1688" t="s">
        <v>853</v>
      </c>
      <c r="X9" s="1692" t="s">
        <v>854</v>
      </c>
      <c r="Y9" s="1703"/>
      <c r="Z9" s="1704">
        <f t="shared" ref="Z9:AJ9" si="2">$Y$9</f>
        <v>0</v>
      </c>
      <c r="AA9" s="1704">
        <f t="shared" si="2"/>
        <v>0</v>
      </c>
      <c r="AB9" s="1704">
        <f t="shared" si="2"/>
        <v>0</v>
      </c>
      <c r="AC9" s="1704">
        <f t="shared" si="2"/>
        <v>0</v>
      </c>
      <c r="AD9" s="1704">
        <f t="shared" si="2"/>
        <v>0</v>
      </c>
      <c r="AE9" s="1704">
        <f t="shared" si="2"/>
        <v>0</v>
      </c>
      <c r="AF9" s="1704">
        <f t="shared" si="2"/>
        <v>0</v>
      </c>
      <c r="AG9" s="1704">
        <f t="shared" si="2"/>
        <v>0</v>
      </c>
      <c r="AH9" s="1704">
        <f t="shared" si="2"/>
        <v>0</v>
      </c>
      <c r="AI9" s="1704">
        <f t="shared" si="2"/>
        <v>0</v>
      </c>
      <c r="AJ9" s="1704">
        <f t="shared" si="2"/>
        <v>0</v>
      </c>
    </row>
    <row r="10" ht="15" spans="1:36">
      <c r="A10" s="1430"/>
      <c r="B10" s="1406" t="s">
        <v>855</v>
      </c>
      <c r="C10" s="1437">
        <f>SUMIF(修正!C59:C119,C8,修正!F59:F119)</f>
        <v>0</v>
      </c>
      <c r="D10" s="1437" t="s">
        <v>856</v>
      </c>
      <c r="E10" s="1437" t="e">
        <f>ROUND(C11/E7,4)</f>
        <v>#DIV/0!</v>
      </c>
      <c r="F10" s="1434" t="s">
        <v>857</v>
      </c>
      <c r="G10" s="1435"/>
      <c r="H10" s="1435"/>
      <c r="I10" s="1435"/>
      <c r="J10" s="1614"/>
      <c r="K10" s="1611"/>
      <c r="L10" s="1601" t="s">
        <v>858</v>
      </c>
      <c r="M10" s="1602">
        <f>SUMPRODUCT((区片价!B290:B316=I2)*(区片价!C3:F3=E2)*(区片价!C290:F316))</f>
        <v>0</v>
      </c>
      <c r="N10" s="1603">
        <f>SUMPRODUCT((因素修正幅度!B290:B316=I2)*(因素修正幅度!C3:F3=E2)*(因素修正幅度!C290:F316))</f>
        <v>0</v>
      </c>
      <c r="O10" s="1611"/>
      <c r="P10" s="1594"/>
      <c r="Q10" s="1594"/>
      <c r="R10" s="1686">
        <v>9</v>
      </c>
      <c r="S10" s="1687"/>
      <c r="T10" s="1686">
        <f ca="1" t="shared" si="0"/>
        <v>0</v>
      </c>
      <c r="U10" s="1687"/>
      <c r="V10" s="1686">
        <f ca="1" t="shared" si="1"/>
        <v>0</v>
      </c>
      <c r="W10" s="1688"/>
      <c r="X10" s="1692">
        <v>7</v>
      </c>
      <c r="Y10" s="1705">
        <f>(-0.163*(Y9^2)-0.59*Y9+7617)*(10^(-4))</f>
        <v>0.7617</v>
      </c>
      <c r="Z10" s="1705">
        <f>(-0.163*(Z9^2)-0.59*Z9+7617)*(10^(-4))</f>
        <v>0.7617</v>
      </c>
      <c r="AA10" s="1705">
        <f t="shared" ref="AA10:AE10" si="3">(-0.161*(AA9^2)-7.509*AA9+6533)*(10^(-4))</f>
        <v>0.6533</v>
      </c>
      <c r="AB10" s="1705">
        <f t="shared" si="3"/>
        <v>0.6533</v>
      </c>
      <c r="AC10" s="1705">
        <f t="shared" si="3"/>
        <v>0.6533</v>
      </c>
      <c r="AD10" s="1705">
        <f t="shared" si="3"/>
        <v>0.6533</v>
      </c>
      <c r="AE10" s="1705">
        <f t="shared" si="3"/>
        <v>0.6533</v>
      </c>
      <c r="AF10" s="1705">
        <f t="shared" ref="AF10:AJ10" si="4">(-0.214*(AF9^2)-21.991*AF9+4665)*(10^(-4))</f>
        <v>0.4665</v>
      </c>
      <c r="AG10" s="1705">
        <f t="shared" si="4"/>
        <v>0.4665</v>
      </c>
      <c r="AH10" s="1705">
        <f t="shared" si="4"/>
        <v>0.4665</v>
      </c>
      <c r="AI10" s="1705">
        <f t="shared" si="4"/>
        <v>0.4665</v>
      </c>
      <c r="AJ10" s="1705">
        <f t="shared" si="4"/>
        <v>0.4665</v>
      </c>
    </row>
    <row r="11" ht="15.75" customHeight="1" spans="1:36">
      <c r="A11" s="1430"/>
      <c r="B11" s="1438" t="s">
        <v>859</v>
      </c>
      <c r="C11" s="1439">
        <f>C10/4</f>
        <v>0</v>
      </c>
      <c r="D11" s="1439" t="s">
        <v>860</v>
      </c>
      <c r="E11" s="1439" t="e">
        <f>ROUND(C11/E7,4)</f>
        <v>#DIV/0!</v>
      </c>
      <c r="F11" s="1440" t="s">
        <v>861</v>
      </c>
      <c r="G11" s="1441"/>
      <c r="H11" s="1441"/>
      <c r="I11" s="1441"/>
      <c r="J11" s="1615"/>
      <c r="K11" s="1611"/>
      <c r="L11" s="1601" t="s">
        <v>862</v>
      </c>
      <c r="M11" s="1602">
        <f>SUMPRODUCT((区片价!B317:B337=I2)*(区片价!C3:F3=E2)*(区片价!C317:F337))</f>
        <v>0</v>
      </c>
      <c r="N11" s="1603">
        <f>SUMPRODUCT((因素修正幅度!B317:B337=I2)*(因素修正幅度!C3:F3=E2)*(因素修正幅度!C317:F337))</f>
        <v>0</v>
      </c>
      <c r="O11" s="1611"/>
      <c r="P11" s="1594"/>
      <c r="Q11" s="1594"/>
      <c r="R11" s="1686">
        <v>10</v>
      </c>
      <c r="S11" s="1687"/>
      <c r="T11" s="1686">
        <f ca="1" t="shared" si="0"/>
        <v>0</v>
      </c>
      <c r="U11" s="1687"/>
      <c r="V11" s="1686">
        <f ca="1" t="shared" si="1"/>
        <v>0</v>
      </c>
      <c r="W11" s="1688" t="s">
        <v>863</v>
      </c>
      <c r="X11" s="1437" t="s">
        <v>830</v>
      </c>
      <c r="Y11" s="1598">
        <f t="shared" ref="Y11:AJ11" si="5">$G$3</f>
        <v>2</v>
      </c>
      <c r="Z11" s="1598">
        <f t="shared" si="5"/>
        <v>2</v>
      </c>
      <c r="AA11" s="1598">
        <f t="shared" si="5"/>
        <v>2</v>
      </c>
      <c r="AB11" s="1598">
        <f t="shared" si="5"/>
        <v>2</v>
      </c>
      <c r="AC11" s="1598">
        <f t="shared" si="5"/>
        <v>2</v>
      </c>
      <c r="AD11" s="1598">
        <f t="shared" si="5"/>
        <v>2</v>
      </c>
      <c r="AE11" s="1598">
        <f t="shared" si="5"/>
        <v>2</v>
      </c>
      <c r="AF11" s="1598">
        <f t="shared" si="5"/>
        <v>2</v>
      </c>
      <c r="AG11" s="1598">
        <f t="shared" si="5"/>
        <v>2</v>
      </c>
      <c r="AH11" s="1598">
        <f t="shared" si="5"/>
        <v>2</v>
      </c>
      <c r="AI11" s="1598">
        <f t="shared" si="5"/>
        <v>2</v>
      </c>
      <c r="AJ11" s="1598">
        <f t="shared" si="5"/>
        <v>2</v>
      </c>
    </row>
    <row r="12" ht="25.5" spans="1:36">
      <c r="A12" s="1423" t="s">
        <v>864</v>
      </c>
      <c r="B12" s="1442" t="s">
        <v>865</v>
      </c>
      <c r="C12" s="1425">
        <f>ROUND(C15*D15*E15*F15*G15*H15*I15*J15,4)</f>
        <v>1</v>
      </c>
      <c r="D12" s="1443" t="s">
        <v>866</v>
      </c>
      <c r="E12" s="1444"/>
      <c r="F12" s="1444"/>
      <c r="G12" s="1445"/>
      <c r="H12" s="1445"/>
      <c r="I12" s="1445"/>
      <c r="J12" s="1616"/>
      <c r="K12" s="1611"/>
      <c r="L12" s="1617" t="s">
        <v>867</v>
      </c>
      <c r="M12" s="1618">
        <f>SUMPRODUCT((区片价!B338:B344=I2)*(区片价!C3:F3=E2)*(区片价!C338:F344))</f>
        <v>0</v>
      </c>
      <c r="N12" s="1619">
        <f>SUMPRODUCT((因素修正幅度!B338:B344=I2)*(因素修正幅度!C3:F3=E2)*(因素修正幅度!C338:F344))</f>
        <v>0</v>
      </c>
      <c r="O12" s="1611"/>
      <c r="P12" s="1594"/>
      <c r="Q12" s="1594"/>
      <c r="R12" s="1686">
        <v>11</v>
      </c>
      <c r="S12" s="1687"/>
      <c r="T12" s="1686">
        <f ca="1" t="shared" si="0"/>
        <v>0</v>
      </c>
      <c r="U12" s="1687"/>
      <c r="V12" s="1686">
        <f ca="1" t="shared" si="1"/>
        <v>0</v>
      </c>
      <c r="W12" s="1688"/>
      <c r="X12" s="1693" t="s">
        <v>868</v>
      </c>
      <c r="Y12" s="1704">
        <f t="shared" ref="Y12:AJ12" si="6">Y9</f>
        <v>0</v>
      </c>
      <c r="Z12" s="1704">
        <f t="shared" si="6"/>
        <v>0</v>
      </c>
      <c r="AA12" s="1704">
        <f t="shared" si="6"/>
        <v>0</v>
      </c>
      <c r="AB12" s="1704">
        <f t="shared" si="6"/>
        <v>0</v>
      </c>
      <c r="AC12" s="1704">
        <f t="shared" si="6"/>
        <v>0</v>
      </c>
      <c r="AD12" s="1704">
        <f t="shared" si="6"/>
        <v>0</v>
      </c>
      <c r="AE12" s="1704">
        <f t="shared" si="6"/>
        <v>0</v>
      </c>
      <c r="AF12" s="1704">
        <f t="shared" si="6"/>
        <v>0</v>
      </c>
      <c r="AG12" s="1704">
        <f t="shared" si="6"/>
        <v>0</v>
      </c>
      <c r="AH12" s="1704">
        <f t="shared" si="6"/>
        <v>0</v>
      </c>
      <c r="AI12" s="1704">
        <f t="shared" si="6"/>
        <v>0</v>
      </c>
      <c r="AJ12" s="1704">
        <f t="shared" si="6"/>
        <v>0</v>
      </c>
    </row>
    <row r="13" ht="24" spans="1:36">
      <c r="A13" s="1446"/>
      <c r="B13" s="1447" t="s">
        <v>869</v>
      </c>
      <c r="C13" s="1448" t="s">
        <v>870</v>
      </c>
      <c r="D13" s="1321" t="s">
        <v>871</v>
      </c>
      <c r="E13" s="1321" t="s">
        <v>872</v>
      </c>
      <c r="F13" s="1449" t="s">
        <v>873</v>
      </c>
      <c r="G13" s="1450" t="s">
        <v>874</v>
      </c>
      <c r="H13" s="1451" t="s">
        <v>874</v>
      </c>
      <c r="I13" s="1620" t="s">
        <v>874</v>
      </c>
      <c r="J13" s="1621" t="s">
        <v>874</v>
      </c>
      <c r="K13" s="1622"/>
      <c r="L13" s="1622"/>
      <c r="M13" s="1622"/>
      <c r="N13" s="1622"/>
      <c r="O13" s="1622"/>
      <c r="P13" s="1594"/>
      <c r="Q13" s="1594"/>
      <c r="R13" s="1686">
        <v>12</v>
      </c>
      <c r="S13" s="1687"/>
      <c r="T13" s="1686">
        <f ca="1" t="shared" si="0"/>
        <v>0</v>
      </c>
      <c r="U13" s="1687"/>
      <c r="V13" s="1686">
        <f ca="1" t="shared" si="1"/>
        <v>0</v>
      </c>
      <c r="W13" s="1688"/>
      <c r="X13" s="1693"/>
      <c r="Y13" s="1705">
        <f t="shared" ref="Y13:AJ13" si="7">(-0.163*(Y12^2)-0.59*Y12+7617)*(10^(-4))/Y11</f>
        <v>0.38085</v>
      </c>
      <c r="Z13" s="1705">
        <f t="shared" si="7"/>
        <v>0.38085</v>
      </c>
      <c r="AA13" s="1705">
        <f t="shared" si="7"/>
        <v>0.38085</v>
      </c>
      <c r="AB13" s="1705">
        <f t="shared" si="7"/>
        <v>0.38085</v>
      </c>
      <c r="AC13" s="1705">
        <f t="shared" si="7"/>
        <v>0.38085</v>
      </c>
      <c r="AD13" s="1705">
        <f t="shared" si="7"/>
        <v>0.38085</v>
      </c>
      <c r="AE13" s="1705">
        <f t="shared" si="7"/>
        <v>0.38085</v>
      </c>
      <c r="AF13" s="1705">
        <f t="shared" si="7"/>
        <v>0.38085</v>
      </c>
      <c r="AG13" s="1705">
        <f t="shared" si="7"/>
        <v>0.38085</v>
      </c>
      <c r="AH13" s="1705">
        <f t="shared" si="7"/>
        <v>0.38085</v>
      </c>
      <c r="AI13" s="1705">
        <f t="shared" si="7"/>
        <v>0.38085</v>
      </c>
      <c r="AJ13" s="1705">
        <f t="shared" si="7"/>
        <v>0.38085</v>
      </c>
    </row>
    <row r="14" ht="12.75" customHeight="1" spans="1:29">
      <c r="A14" s="1446"/>
      <c r="B14" s="1452"/>
      <c r="C14" s="1453"/>
      <c r="D14" s="1454"/>
      <c r="E14" s="1454"/>
      <c r="F14" s="1455"/>
      <c r="G14" s="1456" t="s">
        <v>875</v>
      </c>
      <c r="H14" s="1457"/>
      <c r="I14" s="1623"/>
      <c r="J14" s="1624"/>
      <c r="K14" s="1625"/>
      <c r="L14" s="1625"/>
      <c r="M14" s="1625"/>
      <c r="N14" s="1625"/>
      <c r="O14" s="1625"/>
      <c r="P14" s="1594"/>
      <c r="Q14" s="1594"/>
      <c r="R14" s="1686">
        <v>13</v>
      </c>
      <c r="S14" s="1687"/>
      <c r="T14" s="1686">
        <f ca="1" t="shared" si="0"/>
        <v>0</v>
      </c>
      <c r="U14" s="1687"/>
      <c r="V14" s="1686">
        <f ca="1" t="shared" si="1"/>
        <v>0</v>
      </c>
      <c r="W14" s="1594"/>
      <c r="X14" s="1594"/>
      <c r="Y14" s="1594"/>
      <c r="Z14" s="1594"/>
      <c r="AA14" s="1594"/>
      <c r="AB14" s="1594"/>
      <c r="AC14" s="1697"/>
    </row>
    <row r="15" ht="13.5" customHeight="1" spans="1:29">
      <c r="A15" s="1458"/>
      <c r="B15" s="1459" t="s">
        <v>876</v>
      </c>
      <c r="C15" s="1439">
        <f>IF(C14="有",1.1,1)</f>
        <v>1</v>
      </c>
      <c r="D15" s="1439">
        <f>IF(D14="有",1.1,1)</f>
        <v>1</v>
      </c>
      <c r="E15" s="1439">
        <f>IF(E14="有",1.1,1)</f>
        <v>1</v>
      </c>
      <c r="F15" s="1439">
        <f>IF(F14="500米范围内",1.2,IF(F14="500-1000米",1.1,1))</f>
        <v>1</v>
      </c>
      <c r="G15" s="1460">
        <v>1</v>
      </c>
      <c r="H15" s="1460">
        <v>1</v>
      </c>
      <c r="I15" s="1460">
        <v>1</v>
      </c>
      <c r="J15" s="1626">
        <v>1</v>
      </c>
      <c r="K15" s="1627"/>
      <c r="L15" s="1627"/>
      <c r="M15" s="1627"/>
      <c r="N15" s="1627"/>
      <c r="O15" s="1627"/>
      <c r="P15" s="1594"/>
      <c r="Q15" s="1594"/>
      <c r="R15" s="1686">
        <v>14</v>
      </c>
      <c r="S15" s="1687"/>
      <c r="T15" s="1686">
        <f ca="1" t="shared" si="0"/>
        <v>0</v>
      </c>
      <c r="U15" s="1687"/>
      <c r="V15" s="1686">
        <f ca="1" t="shared" si="1"/>
        <v>0</v>
      </c>
      <c r="W15" s="1594"/>
      <c r="X15" s="1594"/>
      <c r="Y15" s="1594"/>
      <c r="Z15" s="1594"/>
      <c r="AA15" s="1594"/>
      <c r="AB15" s="1594"/>
      <c r="AC15" s="1697"/>
    </row>
    <row r="16" ht="24.6" customHeight="1" spans="1:29">
      <c r="A16" s="1423" t="s">
        <v>877</v>
      </c>
      <c r="B16" s="1424" t="s">
        <v>878</v>
      </c>
      <c r="C16" s="1461">
        <f>ROUND(IF(F17="与级别开发程度一致",0,(G17-E17)/C17),0)</f>
        <v>0</v>
      </c>
      <c r="D16" s="1462" t="s">
        <v>879</v>
      </c>
      <c r="E16" s="1463"/>
      <c r="F16" s="1462" t="s">
        <v>880</v>
      </c>
      <c r="G16" s="1463"/>
      <c r="H16" s="1464" t="s">
        <v>881</v>
      </c>
      <c r="I16" s="1464" t="s">
        <v>882</v>
      </c>
      <c r="J16" s="1464" t="s">
        <v>883</v>
      </c>
      <c r="K16" s="1464" t="s">
        <v>884</v>
      </c>
      <c r="L16" s="1464" t="s">
        <v>885</v>
      </c>
      <c r="M16" s="1464" t="s">
        <v>886</v>
      </c>
      <c r="N16" s="1464" t="s">
        <v>138</v>
      </c>
      <c r="O16" s="1628"/>
      <c r="P16" s="1594"/>
      <c r="Q16" s="1694"/>
      <c r="R16" s="1686">
        <v>15</v>
      </c>
      <c r="S16" s="1687"/>
      <c r="T16" s="1686">
        <f ca="1" t="shared" si="0"/>
        <v>0</v>
      </c>
      <c r="U16" s="1687"/>
      <c r="V16" s="1686">
        <f ca="1" t="shared" si="1"/>
        <v>0</v>
      </c>
      <c r="W16" s="1694"/>
      <c r="X16" s="1694"/>
      <c r="Y16" s="1694"/>
      <c r="Z16" s="1694"/>
      <c r="AA16" s="1694"/>
      <c r="AB16" s="1694"/>
      <c r="AC16" s="1638"/>
    </row>
    <row r="17" ht="24.75" spans="1:39">
      <c r="A17" s="1465"/>
      <c r="B17" s="1466" t="s">
        <v>888</v>
      </c>
      <c r="C17" s="1467">
        <f>SUMPRODUCT((修正!A2:A5=E2)*(修正!B1:M1=G2)*(修正!B2:M5))</f>
        <v>2</v>
      </c>
      <c r="D17" s="1468" t="str">
        <f>IF(OR(G2="八级",G2="九级",G2="十级",G2="十一级",G2="十二级"),"五通一平","七通一平")</f>
        <v>五通一平</v>
      </c>
      <c r="E17" s="1469">
        <f>SUMPRODUCT((修正!B1:M1=G2)*(修正!B15:M15))</f>
        <v>155</v>
      </c>
      <c r="F17" s="1470" t="s">
        <v>889</v>
      </c>
      <c r="G17" s="1469">
        <f>SUM(H17:O17)</f>
        <v>155</v>
      </c>
      <c r="H17" s="1471">
        <f>SUMPRODUCT((七通一平=H16)*(修正!B1:M1=G2)*(修正!B6:M14))</f>
        <v>50</v>
      </c>
      <c r="I17" s="1471">
        <f>SUMPRODUCT((七通一平=I16)*(修正!B1:M1=G2)*(修正!B6:M14))</f>
        <v>40</v>
      </c>
      <c r="J17" s="1471">
        <f>SUMPRODUCT((七通一平=J16)*(修正!B1:M1=G2)*(修正!B6:M14))</f>
        <v>10</v>
      </c>
      <c r="K17" s="1471">
        <f>SUMPRODUCT((七通一平=K16)*(修正!B1:M1=G2)*(修正!B6:M14))</f>
        <v>20</v>
      </c>
      <c r="L17" s="1471">
        <f>SUMPRODUCT((七通一平=L16)*(修正!B1:M1=G2)*(修正!B6:M14))</f>
        <v>25</v>
      </c>
      <c r="M17" s="1471">
        <f>SUMPRODUCT((七通一平=M16)*(修正!B1:M1=G2)*(修正!B6:M14))</f>
        <v>10</v>
      </c>
      <c r="N17" s="1471">
        <f>SUMPRODUCT((七通一平=N16)*(修正!B1:M1=G2)*(修正!B6:M14))</f>
        <v>0</v>
      </c>
      <c r="O17" s="1629">
        <f>SUMPRODUCT((七通一平=O16)*(修正!B1:M1=G2)*(修正!B6:M14))</f>
        <v>0</v>
      </c>
      <c r="P17" s="1594"/>
      <c r="Q17" s="1694"/>
      <c r="R17" s="1638"/>
      <c r="S17" s="1638"/>
      <c r="T17" s="1638"/>
      <c r="U17" s="1638"/>
      <c r="V17" s="1638"/>
      <c r="W17" s="1694"/>
      <c r="X17" s="1694"/>
      <c r="Y17" s="1694"/>
      <c r="Z17" s="1694"/>
      <c r="AA17" s="1694"/>
      <c r="AB17" s="1694"/>
      <c r="AC17" s="1638"/>
      <c r="AH17" s="1386"/>
      <c r="AI17" s="1386"/>
      <c r="AJ17" s="1389"/>
      <c r="AK17" s="1389"/>
      <c r="AL17" s="1389"/>
      <c r="AM17" s="1389"/>
    </row>
    <row r="18" s="1385" customFormat="1" ht="15.75" spans="1:38">
      <c r="A18" s="1472" t="s">
        <v>890</v>
      </c>
      <c r="B18" s="1473" t="s">
        <v>891</v>
      </c>
      <c r="C18" s="1474">
        <f>SUMIF(修正!C18:C39,E3,修正!E18:E39)</f>
        <v>0.9</v>
      </c>
      <c r="D18" s="1475"/>
      <c r="E18" s="1476"/>
      <c r="F18" s="1477"/>
      <c r="G18" s="1478"/>
      <c r="H18" s="1478"/>
      <c r="I18" s="1478"/>
      <c r="J18" s="1630"/>
      <c r="K18" s="1608"/>
      <c r="L18" s="1478"/>
      <c r="M18" s="1478"/>
      <c r="N18" s="1478"/>
      <c r="O18" s="1478"/>
      <c r="P18" s="1631"/>
      <c r="Q18" s="1695"/>
      <c r="R18" s="1695"/>
      <c r="S18" s="1695"/>
      <c r="T18" s="1695"/>
      <c r="U18" s="1695"/>
      <c r="V18" s="1695"/>
      <c r="W18" s="1638"/>
      <c r="X18" s="1638"/>
      <c r="Y18" s="1638"/>
      <c r="Z18" s="1638"/>
      <c r="AA18" s="1694"/>
      <c r="AB18" s="1694"/>
      <c r="AC18" s="1654"/>
      <c r="AD18" s="1706"/>
      <c r="AE18" s="1706"/>
      <c r="AF18" s="1706"/>
      <c r="AG18" s="1706"/>
      <c r="AH18" s="1390"/>
      <c r="AI18" s="1390"/>
      <c r="AJ18" s="1387"/>
      <c r="AK18" s="1387"/>
      <c r="AL18" s="1387"/>
    </row>
    <row r="19" s="1385" customFormat="1" ht="27.75" spans="1:35">
      <c r="A19" s="1479" t="s">
        <v>892</v>
      </c>
      <c r="B19" s="1480" t="s">
        <v>893</v>
      </c>
      <c r="C19" s="1481">
        <f>ROUND(IF(H19="按公示增长率计算",SUMPRODUCT((地价!A3:A36=YEAR(G19)&amp;"-"&amp;ROUNDUP(MONTH(G19)/3,0))*(地价!X2:AB2=E2)*(地价!X3:AB36)),IF(H19="地价指数",M20/M19,(1+I19)^O19)),4)</f>
        <v>1.3963</v>
      </c>
      <c r="D19" s="1482" t="s">
        <v>894</v>
      </c>
      <c r="E19" s="1483">
        <v>41640</v>
      </c>
      <c r="F19" s="1482" t="s">
        <v>354</v>
      </c>
      <c r="G19" s="1484">
        <f>'数据-取费表'!B2</f>
        <v>44519</v>
      </c>
      <c r="H19" s="1485" t="s">
        <v>895</v>
      </c>
      <c r="I19" s="1632" t="str">
        <f>IF(H19="季度增幅（自定义）",SUMIF(N21:N24,E2,O21:O24),"")</f>
        <v/>
      </c>
      <c r="J19" s="1633"/>
      <c r="K19" s="1608"/>
      <c r="L19" s="1634" t="s">
        <v>896</v>
      </c>
      <c r="M19" s="1635">
        <f>ROUND(SUMIF(地价!B2:F2,E2,地价!B36:F36),0)</f>
        <v>258</v>
      </c>
      <c r="N19" s="1636" t="s">
        <v>897</v>
      </c>
      <c r="O19" s="1637">
        <f>ROUNDDOWN(DATEDIF(E19,G19,"M")/3,0)</f>
        <v>31</v>
      </c>
      <c r="P19" s="1638"/>
      <c r="Q19" s="1696"/>
      <c r="R19" s="1654"/>
      <c r="S19" s="1654"/>
      <c r="T19" s="1654"/>
      <c r="U19" s="1654"/>
      <c r="V19" s="1654"/>
      <c r="W19" s="1654"/>
      <c r="X19" s="1654"/>
      <c r="Y19" s="1390"/>
      <c r="Z19" s="1390"/>
      <c r="AA19" s="1390"/>
      <c r="AB19" s="1390"/>
      <c r="AC19" s="1706"/>
      <c r="AD19" s="1707"/>
      <c r="AE19" s="1708"/>
      <c r="AF19" s="1387"/>
      <c r="AG19" s="1709"/>
      <c r="AH19" s="1709"/>
      <c r="AI19" s="1709"/>
    </row>
    <row r="20" s="1385" customFormat="1" ht="27.75" spans="1:30">
      <c r="A20" s="1472" t="s">
        <v>898</v>
      </c>
      <c r="B20" s="1486" t="s">
        <v>899</v>
      </c>
      <c r="C20" s="1487">
        <f ca="1">ROUND(POWER(1+G20,J20-I20)*(POWER(1+G20,I20)-1)/(POWER(1+G20,J20)-1),4)</f>
        <v>1</v>
      </c>
      <c r="D20" s="1488" t="s">
        <v>900</v>
      </c>
      <c r="E20" s="1489">
        <f ca="1">存贷款利率!I4/100</f>
        <v>0.0435</v>
      </c>
      <c r="F20" s="1488" t="s">
        <v>901</v>
      </c>
      <c r="G20" s="1490">
        <f ca="1">SUMIF(M26:P26,E2,M28:P28)</f>
        <v>0.052</v>
      </c>
      <c r="H20" s="1488" t="s">
        <v>902</v>
      </c>
      <c r="I20" s="1639">
        <v>50</v>
      </c>
      <c r="J20" s="1640">
        <f>IF(E2="住宅",70,IF(E2="商业",40,50))</f>
        <v>50</v>
      </c>
      <c r="K20" s="1627"/>
      <c r="L20" s="1641" t="s">
        <v>903</v>
      </c>
      <c r="M20" s="1642">
        <f>ROUND(SUMPRODUCT((地价!A4:A36=YEAR(G19)&amp;"-"&amp;ROUNDUP(MONTH(G19)/3,0))*(地价!B2:F2=E2)*(地价!B4:F36)),0)</f>
        <v>352</v>
      </c>
      <c r="N20" s="1643" t="s">
        <v>904</v>
      </c>
      <c r="O20" s="1644" t="s">
        <v>905</v>
      </c>
      <c r="P20" s="1645" t="s">
        <v>906</v>
      </c>
      <c r="Q20" s="1696"/>
      <c r="R20" s="1654"/>
      <c r="S20" s="1654"/>
      <c r="T20" s="1654"/>
      <c r="U20" s="1654"/>
      <c r="V20" s="1654"/>
      <c r="W20" s="1654"/>
      <c r="X20" s="1654"/>
      <c r="Y20" s="1706"/>
      <c r="Z20" s="1706"/>
      <c r="AA20" s="1706"/>
      <c r="AB20" s="1706"/>
      <c r="AC20" s="1706"/>
      <c r="AD20" s="1706"/>
    </row>
    <row r="21" s="1385" customFormat="1" ht="14.25" spans="1:30">
      <c r="A21" s="1491" t="s">
        <v>907</v>
      </c>
      <c r="B21" s="1492" t="s">
        <v>176</v>
      </c>
      <c r="C21" s="1493">
        <f>IF(B21="容积率修正",IF(G3&lt;=10,D22,J22),C23)</f>
        <v>1</v>
      </c>
      <c r="D21" s="1494"/>
      <c r="E21" s="1494"/>
      <c r="F21" s="1494"/>
      <c r="G21" s="1494"/>
      <c r="H21" s="1494"/>
      <c r="I21" s="1494"/>
      <c r="J21" s="1646"/>
      <c r="K21" s="1608"/>
      <c r="L21" s="1494"/>
      <c r="M21" s="1494"/>
      <c r="N21" s="1647" t="s">
        <v>376</v>
      </c>
      <c r="O21" s="1648"/>
      <c r="P21" s="1649">
        <f>SUMPRODUCT((地价!A3:A36=YEAR(G19)&amp;"-"&amp;ROUNDUP(MONTH(G19)/3,0))*(地价!AD2:AH2=N21)*(地价!AD3:AH36))</f>
        <v>0.0105</v>
      </c>
      <c r="Q21" s="1696"/>
      <c r="R21" s="1654"/>
      <c r="S21" s="1654"/>
      <c r="T21" s="1654"/>
      <c r="U21" s="1654"/>
      <c r="V21" s="1654"/>
      <c r="W21" s="1654"/>
      <c r="X21" s="1654"/>
      <c r="Y21" s="1390"/>
      <c r="Z21" s="1390"/>
      <c r="AA21" s="1390"/>
      <c r="AB21" s="1390"/>
      <c r="AC21" s="1706"/>
      <c r="AD21" s="1706"/>
    </row>
    <row r="22" s="1385" customFormat="1" ht="14.25" spans="1:30">
      <c r="A22" s="1495" t="s">
        <v>823</v>
      </c>
      <c r="B22" s="1496" t="s">
        <v>908</v>
      </c>
      <c r="C22" s="1497" t="s">
        <v>909</v>
      </c>
      <c r="D22" s="1497">
        <f>IF(E22=G22,F22,IF(G3&lt;=10,ROUND(F22+(H22-F22)*(G3-E22)/(G22-E22),4),"——"))</f>
        <v>1</v>
      </c>
      <c r="E22" s="1405">
        <f>ROUNDDOWN(G3,1)</f>
        <v>2</v>
      </c>
      <c r="F22" s="14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05">
        <f>ROUNDUP(G3,1)</f>
        <v>2</v>
      </c>
      <c r="H22" s="14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497" t="s">
        <v>910</v>
      </c>
      <c r="J22" s="1497" t="str">
        <f>IF(G3&gt;10,D113,"——")</f>
        <v>——</v>
      </c>
      <c r="K22" s="1650"/>
      <c r="L22" s="1494"/>
      <c r="M22" s="1494"/>
      <c r="N22" s="1647" t="s">
        <v>377</v>
      </c>
      <c r="O22" s="1648"/>
      <c r="P22" s="1649">
        <f>SUMPRODUCT((地价!A3:A36=YEAR(G19)&amp;"-"&amp;ROUNDUP(MONTH(G19)/3,0))*(地价!AD2:AH2=N22)*(地价!AD3:AH36))</f>
        <v>0.0105</v>
      </c>
      <c r="Q22" s="1696"/>
      <c r="R22" s="1654"/>
      <c r="S22" s="1654"/>
      <c r="T22" s="1654"/>
      <c r="U22" s="1654"/>
      <c r="V22" s="1654"/>
      <c r="W22" s="1654"/>
      <c r="X22" s="1654"/>
      <c r="Y22" s="1706"/>
      <c r="Z22" s="1706"/>
      <c r="AA22" s="1706"/>
      <c r="AB22" s="1706"/>
      <c r="AC22" s="1706"/>
      <c r="AD22" s="1706"/>
    </row>
    <row r="23" ht="15.75" spans="1:39">
      <c r="A23" s="1495" t="s">
        <v>864</v>
      </c>
      <c r="B23" s="1496" t="s">
        <v>911</v>
      </c>
      <c r="C23" s="1498">
        <f>ROUND(IF(G3&gt;1,IF(I3&lt;7,SUMPRODUCT((B93:B98=I3)*(C92:N92=G2)*(C93:N98)),SUMIF(C92:N92,G2,C100:N100)),IF(I3&lt;7,SUMPRODUCT((B102:B107=I3)*(C92:N92=G2)*(C102:N107)),SUMIF(C92:N92,G2,C109:N109))),4)</f>
        <v>0</v>
      </c>
      <c r="D23" s="1499"/>
      <c r="E23" s="1499"/>
      <c r="F23" s="1500"/>
      <c r="G23" s="1501"/>
      <c r="H23" s="1502"/>
      <c r="I23" s="1651"/>
      <c r="J23" s="1651"/>
      <c r="K23" s="1652"/>
      <c r="L23" s="1396"/>
      <c r="M23" s="1396"/>
      <c r="N23" s="1647" t="s">
        <v>375</v>
      </c>
      <c r="O23" s="1648"/>
      <c r="P23" s="1649">
        <f>SUMPRODUCT((地价!A3:A36=YEAR(G19)&amp;"-"&amp;ROUNDUP(MONTH(G19)/3,0))*(地价!AD2:AH2=N23)*(地价!AD3:AH36))</f>
        <v>0.0183</v>
      </c>
      <c r="Q23" s="1696"/>
      <c r="R23" s="1654"/>
      <c r="S23" s="1654"/>
      <c r="T23" s="1654"/>
      <c r="U23" s="1654"/>
      <c r="V23" s="1654"/>
      <c r="W23" s="1654"/>
      <c r="X23" s="1654"/>
      <c r="Y23" s="1390"/>
      <c r="Z23" s="1390"/>
      <c r="AA23" s="1390"/>
      <c r="AB23" s="1390"/>
      <c r="AC23" s="1390"/>
      <c r="AE23" s="1387"/>
      <c r="AF23" s="1387"/>
      <c r="AG23" s="1387"/>
      <c r="AH23" s="1387"/>
      <c r="AI23" s="1387"/>
      <c r="AJ23" s="1389"/>
      <c r="AK23" s="1389"/>
      <c r="AL23" s="1389"/>
      <c r="AM23" s="1389"/>
    </row>
    <row r="24" s="1385" customFormat="1" ht="15.75" spans="1:30">
      <c r="A24" s="1503" t="s">
        <v>912</v>
      </c>
      <c r="B24" s="1412" t="s">
        <v>913</v>
      </c>
      <c r="C24" s="1504">
        <f>SUMIF(A44:A87,E2,B44:B87)</f>
        <v>1.0495</v>
      </c>
      <c r="D24" s="1505"/>
      <c r="E24" s="1506"/>
      <c r="F24" s="1506"/>
      <c r="G24" s="1506"/>
      <c r="H24" s="1506"/>
      <c r="I24" s="1506"/>
      <c r="J24" s="1506"/>
      <c r="K24" s="1652"/>
      <c r="L24" s="1494"/>
      <c r="M24" s="1494"/>
      <c r="N24" s="1647" t="s">
        <v>164</v>
      </c>
      <c r="O24" s="1653"/>
      <c r="P24" s="1649">
        <f>SUMPRODUCT((地价!A3:A36=YEAR(G19)&amp;"-"&amp;ROUNDUP(MONTH(G19)/3,0))*(地价!AD2:AH2=N24)*(地价!AD3:AH36))</f>
        <v>0.0122</v>
      </c>
      <c r="Q24" s="1696"/>
      <c r="R24" s="1654"/>
      <c r="S24" s="1654"/>
      <c r="T24" s="1654"/>
      <c r="U24" s="1654"/>
      <c r="V24" s="1654"/>
      <c r="W24" s="1654"/>
      <c r="X24" s="1654"/>
      <c r="Y24" s="1706"/>
      <c r="Z24" s="1706"/>
      <c r="AA24" s="1706"/>
      <c r="AB24" s="1706"/>
      <c r="AC24" s="1706"/>
      <c r="AD24" s="1706"/>
    </row>
    <row r="25" ht="15" spans="1:39">
      <c r="A25" s="1503" t="s">
        <v>914</v>
      </c>
      <c r="B25" s="1507" t="s">
        <v>915</v>
      </c>
      <c r="C25" s="1508"/>
      <c r="D25" s="1429"/>
      <c r="E25" s="1429"/>
      <c r="F25" s="1509"/>
      <c r="G25" s="1429"/>
      <c r="H25" s="1429"/>
      <c r="I25" s="1429"/>
      <c r="J25" s="1613"/>
      <c r="K25" s="1611"/>
      <c r="L25" s="1654"/>
      <c r="M25" s="1654"/>
      <c r="N25" s="1655" t="s">
        <v>916</v>
      </c>
      <c r="O25" s="1656"/>
      <c r="P25" s="1657">
        <f>SUMPRODUCT((地价!A3:A36=YEAR(G19)&amp;"-"&amp;ROUNDUP(MONTH(G19)/3,0))*(地价!AD2:AH2=N25)*(地价!AD3:AH36))</f>
        <v>0.0166</v>
      </c>
      <c r="Q25" s="1696"/>
      <c r="R25" s="1654"/>
      <c r="S25" s="1654"/>
      <c r="T25" s="1654"/>
      <c r="U25" s="1654"/>
      <c r="V25" s="1654"/>
      <c r="W25" s="1654"/>
      <c r="X25" s="1654"/>
      <c r="Y25" s="1390"/>
      <c r="Z25" s="1390"/>
      <c r="AA25" s="1390"/>
      <c r="AB25" s="1390"/>
      <c r="AC25" s="1390"/>
      <c r="AE25" s="1387"/>
      <c r="AF25" s="1387"/>
      <c r="AG25" s="1387"/>
      <c r="AH25" s="1387"/>
      <c r="AI25" s="1389"/>
      <c r="AJ25" s="1389"/>
      <c r="AK25" s="1389"/>
      <c r="AL25" s="1389"/>
      <c r="AM25" s="1389"/>
    </row>
    <row r="26" ht="14.25" spans="1:39">
      <c r="A26" s="1510"/>
      <c r="B26" s="1496" t="s">
        <v>783</v>
      </c>
      <c r="C26" s="1511">
        <f ca="1">IF(B21="容积率修正",E29+SUM(E33:E39),SUM(V2:V16)+SUM(E33:E39))</f>
        <v>0</v>
      </c>
      <c r="D26" s="1512"/>
      <c r="E26" s="1457"/>
      <c r="F26" s="1513"/>
      <c r="G26" s="1457"/>
      <c r="H26" s="1457"/>
      <c r="I26" s="1457"/>
      <c r="J26" s="1658"/>
      <c r="K26" s="1611"/>
      <c r="L26" s="1659" t="s">
        <v>348</v>
      </c>
      <c r="M26" s="1426" t="s">
        <v>376</v>
      </c>
      <c r="N26" s="1426" t="s">
        <v>377</v>
      </c>
      <c r="O26" s="1426" t="s">
        <v>375</v>
      </c>
      <c r="P26" s="1660" t="s">
        <v>164</v>
      </c>
      <c r="Q26" s="1696"/>
      <c r="R26" s="1654"/>
      <c r="S26" s="1654"/>
      <c r="T26" s="1654"/>
      <c r="U26" s="1654"/>
      <c r="V26" s="1654"/>
      <c r="W26" s="1654"/>
      <c r="X26" s="1654"/>
      <c r="Y26" s="1706"/>
      <c r="Z26" s="1706"/>
      <c r="AA26" s="1706"/>
      <c r="AB26" s="1706"/>
      <c r="AC26" s="1390"/>
      <c r="AE26" s="1387"/>
      <c r="AF26" s="1387"/>
      <c r="AG26" s="1387"/>
      <c r="AH26" s="1387"/>
      <c r="AI26" s="1389"/>
      <c r="AJ26" s="1389"/>
      <c r="AK26" s="1389"/>
      <c r="AL26" s="1389"/>
      <c r="AM26" s="1389"/>
    </row>
    <row r="27" ht="15" spans="1:29">
      <c r="A27" s="1510"/>
      <c r="B27" s="1514" t="s">
        <v>917</v>
      </c>
      <c r="C27" s="1515">
        <f ca="1">E30+SUM(I33:I39)</f>
        <v>0</v>
      </c>
      <c r="D27" s="1516"/>
      <c r="E27" s="1517"/>
      <c r="F27" s="1518"/>
      <c r="G27" s="1517"/>
      <c r="H27" s="1517"/>
      <c r="I27" s="1517"/>
      <c r="J27" s="1661"/>
      <c r="K27" s="1611"/>
      <c r="L27" s="1662" t="s">
        <v>918</v>
      </c>
      <c r="M27" s="1436">
        <v>0.25</v>
      </c>
      <c r="N27" s="1436">
        <v>0.2</v>
      </c>
      <c r="O27" s="1436">
        <v>0.15</v>
      </c>
      <c r="P27" s="1663">
        <v>0.1</v>
      </c>
      <c r="Q27" s="1654"/>
      <c r="R27" s="1696"/>
      <c r="S27" s="1696"/>
      <c r="T27" s="1696"/>
      <c r="U27" s="1696"/>
      <c r="V27" s="1696"/>
      <c r="W27" s="1654"/>
      <c r="X27" s="1654"/>
      <c r="Y27" s="1654"/>
      <c r="Z27" s="1654"/>
      <c r="AA27" s="1654"/>
      <c r="AB27" s="1654"/>
      <c r="AC27" s="1654"/>
    </row>
    <row r="28" ht="15" spans="1:33">
      <c r="A28" s="1519"/>
      <c r="B28" s="1520" t="s">
        <v>919</v>
      </c>
      <c r="C28" s="1521" t="s">
        <v>920</v>
      </c>
      <c r="D28" s="1521" t="s">
        <v>389</v>
      </c>
      <c r="E28" s="1522" t="s">
        <v>637</v>
      </c>
      <c r="F28" s="1523"/>
      <c r="G28" s="1445"/>
      <c r="H28" s="1445"/>
      <c r="I28" s="1445"/>
      <c r="J28" s="1616"/>
      <c r="K28" s="1611"/>
      <c r="L28" s="1664" t="s">
        <v>901</v>
      </c>
      <c r="M28" s="1665">
        <f ca="1">ROUND($E$20*(1+M27),3)</f>
        <v>0.054</v>
      </c>
      <c r="N28" s="1665">
        <f ca="1">ROUND($E$20*(1+N27),3)</f>
        <v>0.052</v>
      </c>
      <c r="O28" s="1665">
        <f ca="1">ROUND($E$20*(1+O27),3)</f>
        <v>0.05</v>
      </c>
      <c r="P28" s="1666">
        <f ca="1">ROUND($E$20*(1+P27),3)</f>
        <v>0.048</v>
      </c>
      <c r="Q28" s="1654"/>
      <c r="R28" s="1696"/>
      <c r="S28" s="1696"/>
      <c r="T28" s="1696"/>
      <c r="U28" s="1696"/>
      <c r="V28" s="1696"/>
      <c r="W28" s="1654"/>
      <c r="X28" s="1654"/>
      <c r="Y28" s="1654"/>
      <c r="Z28" s="1654"/>
      <c r="AA28" s="1654"/>
      <c r="AB28" s="1654"/>
      <c r="AC28" s="1654"/>
      <c r="AD28" s="1706"/>
      <c r="AE28" s="1706"/>
      <c r="AF28" s="1706"/>
      <c r="AG28" s="1706"/>
    </row>
    <row r="29" ht="14.25" spans="1:40">
      <c r="A29" s="1524"/>
      <c r="B29" s="1525" t="s">
        <v>921</v>
      </c>
      <c r="C29" s="1526">
        <f ca="1">ROUND(C5*C18*C19*C20*C21*C24,0)</f>
        <v>5170</v>
      </c>
      <c r="D29" s="1527"/>
      <c r="E29" s="1528">
        <f ca="1" t="shared" ref="E29:E39" si="8">ROUND(C29*D29/10000,0)</f>
        <v>0</v>
      </c>
      <c r="F29" s="1529" t="s">
        <v>922</v>
      </c>
      <c r="G29" s="1530"/>
      <c r="H29" s="1530"/>
      <c r="I29" s="1530"/>
      <c r="J29" s="1667"/>
      <c r="K29" s="1668"/>
      <c r="L29" s="1668"/>
      <c r="M29" s="1668"/>
      <c r="N29" s="1668"/>
      <c r="O29" s="1668"/>
      <c r="P29" s="1594"/>
      <c r="Q29" s="1654"/>
      <c r="R29" s="1654"/>
      <c r="S29" s="1654"/>
      <c r="T29" s="1654"/>
      <c r="U29" s="1654"/>
      <c r="V29" s="1654"/>
      <c r="W29" s="1696"/>
      <c r="X29" s="1696"/>
      <c r="Y29" s="1696"/>
      <c r="Z29" s="1696"/>
      <c r="AA29" s="1696"/>
      <c r="AB29" s="1654"/>
      <c r="AC29" s="1654"/>
      <c r="AD29" s="1654"/>
      <c r="AE29" s="1654"/>
      <c r="AF29" s="1654"/>
      <c r="AG29" s="1654"/>
      <c r="AH29" s="1654"/>
      <c r="AJ29" s="1390"/>
      <c r="AK29" s="1390"/>
      <c r="AL29" s="1390"/>
      <c r="AM29" s="1386"/>
      <c r="AN29" s="1386"/>
    </row>
    <row r="30" ht="24.75" spans="1:40">
      <c r="A30" s="1531"/>
      <c r="B30" s="1532" t="s">
        <v>923</v>
      </c>
      <c r="C30" s="1471">
        <f ca="1">ROUND(IF(E2="工业",C29*M39,C29*M38),0)</f>
        <v>1293</v>
      </c>
      <c r="D30" s="1533"/>
      <c r="E30" s="1528">
        <f ca="1" t="shared" si="8"/>
        <v>0</v>
      </c>
      <c r="F30" s="1534" t="s">
        <v>924</v>
      </c>
      <c r="G30" s="1535"/>
      <c r="H30" s="1535"/>
      <c r="I30" s="1535"/>
      <c r="J30" s="1669"/>
      <c r="K30" s="1611"/>
      <c r="L30" s="1611"/>
      <c r="M30" s="1611"/>
      <c r="N30" s="1611"/>
      <c r="O30" s="1611"/>
      <c r="P30" s="1594"/>
      <c r="Q30" s="1594"/>
      <c r="R30" s="1594"/>
      <c r="S30" s="1594"/>
      <c r="T30" s="1594"/>
      <c r="U30" s="1594"/>
      <c r="V30" s="1594"/>
      <c r="W30" s="1697"/>
      <c r="X30" s="1697"/>
      <c r="Y30" s="1697"/>
      <c r="Z30" s="1697"/>
      <c r="AA30" s="1697"/>
      <c r="AB30" s="1594"/>
      <c r="AC30" s="1594"/>
      <c r="AD30" s="1594"/>
      <c r="AE30" s="1594"/>
      <c r="AF30" s="1594"/>
      <c r="AG30" s="1594"/>
      <c r="AH30" s="1594"/>
      <c r="AI30" s="1706"/>
      <c r="AJ30" s="1706"/>
      <c r="AK30" s="1706"/>
      <c r="AL30" s="1706"/>
      <c r="AM30" s="1386"/>
      <c r="AN30" s="1386"/>
    </row>
    <row r="31" spans="1:40">
      <c r="A31" s="1536"/>
      <c r="B31" s="1537" t="s">
        <v>925</v>
      </c>
      <c r="C31" s="1538" t="s">
        <v>926</v>
      </c>
      <c r="D31" s="1445"/>
      <c r="E31" s="1538"/>
      <c r="F31" s="1538"/>
      <c r="G31" s="1443" t="s">
        <v>924</v>
      </c>
      <c r="H31" s="1445"/>
      <c r="I31" s="1670"/>
      <c r="J31" s="1616"/>
      <c r="K31" s="1611"/>
      <c r="L31" s="1611"/>
      <c r="M31" s="1611"/>
      <c r="N31" s="1611"/>
      <c r="O31" s="1611"/>
      <c r="P31" s="1594"/>
      <c r="Q31" s="1594"/>
      <c r="R31" s="1594"/>
      <c r="S31" s="1594"/>
      <c r="T31" s="1594"/>
      <c r="U31" s="1594"/>
      <c r="V31" s="1594"/>
      <c r="W31" s="1697"/>
      <c r="X31" s="1697"/>
      <c r="Y31" s="1697"/>
      <c r="Z31" s="1697"/>
      <c r="AA31" s="1697"/>
      <c r="AB31" s="1594"/>
      <c r="AC31" s="1594"/>
      <c r="AD31" s="1594"/>
      <c r="AE31" s="1594"/>
      <c r="AF31" s="1594"/>
      <c r="AG31" s="1594"/>
      <c r="AH31" s="1594"/>
      <c r="AJ31" s="1390"/>
      <c r="AK31" s="1390"/>
      <c r="AL31" s="1390"/>
      <c r="AM31" s="1386"/>
      <c r="AN31" s="1386"/>
    </row>
    <row r="32" ht="24" spans="1:40">
      <c r="A32" s="1524"/>
      <c r="B32" s="1539"/>
      <c r="C32" s="1540" t="s">
        <v>920</v>
      </c>
      <c r="D32" s="1541" t="s">
        <v>389</v>
      </c>
      <c r="E32" s="1541" t="s">
        <v>637</v>
      </c>
      <c r="F32" s="1394" t="s">
        <v>927</v>
      </c>
      <c r="G32" s="1542" t="s">
        <v>920</v>
      </c>
      <c r="H32" s="1542" t="s">
        <v>389</v>
      </c>
      <c r="I32" s="1542" t="s">
        <v>637</v>
      </c>
      <c r="J32" s="1671"/>
      <c r="K32" s="1672"/>
      <c r="L32" s="1672"/>
      <c r="M32" s="1672"/>
      <c r="N32" s="1672"/>
      <c r="O32" s="1672"/>
      <c r="P32" s="1594"/>
      <c r="Q32" s="1594"/>
      <c r="R32" s="1594"/>
      <c r="S32" s="1594"/>
      <c r="T32" s="1594"/>
      <c r="U32" s="1594"/>
      <c r="V32" s="1594"/>
      <c r="W32" s="1697"/>
      <c r="X32" s="1697"/>
      <c r="Y32" s="1697"/>
      <c r="Z32" s="1697"/>
      <c r="AA32" s="1697"/>
      <c r="AB32" s="1594"/>
      <c r="AC32" s="1594"/>
      <c r="AD32" s="1594"/>
      <c r="AE32" s="1594"/>
      <c r="AF32" s="1594"/>
      <c r="AG32" s="1594"/>
      <c r="AH32" s="1594"/>
      <c r="AI32" s="1386"/>
      <c r="AJ32" s="1386"/>
      <c r="AK32" s="1386"/>
      <c r="AL32" s="1386"/>
      <c r="AM32" s="1386"/>
      <c r="AN32" s="1386"/>
    </row>
    <row r="33" ht="12.75" spans="1:44">
      <c r="A33" s="1543"/>
      <c r="B33" s="1544" t="s">
        <v>928</v>
      </c>
      <c r="C33" s="1526">
        <f ca="1">ROUND(D5*C19*C20*C24*F33,0)</f>
        <v>3447</v>
      </c>
      <c r="D33" s="1545"/>
      <c r="E33" s="1437">
        <f ca="1" t="shared" si="8"/>
        <v>0</v>
      </c>
      <c r="F33" s="1437">
        <f>SUMIF(修正!A45:A56,G2,修正!B45:B56)</f>
        <v>0.6</v>
      </c>
      <c r="G33" s="1437">
        <f ca="1">ROUND(IF(E2="工业",C33*$M$39,C33*$M$38),0)</f>
        <v>862</v>
      </c>
      <c r="H33" s="1437">
        <f t="shared" ref="H33:H39" si="9">D33</f>
        <v>0</v>
      </c>
      <c r="I33" s="1437">
        <f ca="1" t="shared" ref="I33:I39" si="10">ROUND(G33*H33/10000,0)</f>
        <v>0</v>
      </c>
      <c r="J33" s="1543" t="s">
        <v>929</v>
      </c>
      <c r="K33" s="1622"/>
      <c r="L33" s="1622"/>
      <c r="M33" s="1622"/>
      <c r="N33" s="1622"/>
      <c r="O33" s="1622"/>
      <c r="P33" s="1594"/>
      <c r="Q33" s="1594"/>
      <c r="R33" s="1594"/>
      <c r="S33" s="1594"/>
      <c r="T33" s="1594"/>
      <c r="U33" s="1594"/>
      <c r="V33" s="1594"/>
      <c r="W33" s="1697"/>
      <c r="X33" s="1697"/>
      <c r="Y33" s="1697"/>
      <c r="Z33" s="1697"/>
      <c r="AA33" s="1697"/>
      <c r="AB33" s="1594"/>
      <c r="AC33" s="1594"/>
      <c r="AD33" s="1594"/>
      <c r="AE33" s="1594"/>
      <c r="AF33" s="1594"/>
      <c r="AG33" s="1594"/>
      <c r="AH33" s="1697"/>
      <c r="AJ33" s="1390"/>
      <c r="AK33" s="1390"/>
      <c r="AL33" s="1390"/>
      <c r="AM33" s="1390"/>
      <c r="AN33" s="1390"/>
      <c r="AO33" s="1387"/>
      <c r="AP33" s="1387"/>
      <c r="AQ33" s="1387"/>
      <c r="AR33" s="1387"/>
    </row>
    <row r="34" ht="12.75" spans="1:44">
      <c r="A34" s="1546"/>
      <c r="B34" s="1448" t="s">
        <v>930</v>
      </c>
      <c r="C34" s="1526">
        <f ca="1">ROUND(D5*C19*C20*C24*F34,0)</f>
        <v>1723</v>
      </c>
      <c r="D34" s="1545"/>
      <c r="E34" s="1437">
        <f ca="1" t="shared" si="8"/>
        <v>0</v>
      </c>
      <c r="F34" s="1437">
        <f>SUMIF(修正!A45:A56,G2,修正!C45:C56)</f>
        <v>0.3</v>
      </c>
      <c r="G34" s="1437">
        <f ca="1">ROUND(IF(E2="工业",C34*$M$39,C34*$M$38),0)</f>
        <v>431</v>
      </c>
      <c r="H34" s="1437">
        <f t="shared" si="9"/>
        <v>0</v>
      </c>
      <c r="I34" s="1437">
        <f ca="1" t="shared" si="10"/>
        <v>0</v>
      </c>
      <c r="J34" s="1546"/>
      <c r="K34" s="1622"/>
      <c r="L34" s="1622"/>
      <c r="M34" s="1622"/>
      <c r="N34" s="1622"/>
      <c r="O34" s="1622"/>
      <c r="P34" s="1594"/>
      <c r="Q34" s="1594"/>
      <c r="R34" s="1594"/>
      <c r="S34" s="1594"/>
      <c r="T34" s="1594"/>
      <c r="U34" s="1594"/>
      <c r="V34" s="1594"/>
      <c r="W34" s="1697"/>
      <c r="X34" s="1697"/>
      <c r="Y34" s="1697"/>
      <c r="Z34" s="1697"/>
      <c r="AA34" s="1697"/>
      <c r="AB34" s="1594"/>
      <c r="AC34" s="1594"/>
      <c r="AD34" s="1594"/>
      <c r="AE34" s="1594"/>
      <c r="AF34" s="1594"/>
      <c r="AG34" s="1594"/>
      <c r="AH34" s="1697"/>
      <c r="AJ34" s="1390"/>
      <c r="AK34" s="1390"/>
      <c r="AL34" s="1390"/>
      <c r="AM34" s="1390"/>
      <c r="AN34" s="1390"/>
      <c r="AO34" s="1387"/>
      <c r="AP34" s="1387"/>
      <c r="AQ34" s="1387"/>
      <c r="AR34" s="1387"/>
    </row>
    <row r="35" ht="12.75" spans="1:44">
      <c r="A35" s="1546"/>
      <c r="B35" s="1448" t="s">
        <v>931</v>
      </c>
      <c r="C35" s="1526">
        <f ca="1">ROUND(D5*C19*C20*C24*F35,0)</f>
        <v>1149</v>
      </c>
      <c r="D35" s="1545"/>
      <c r="E35" s="1437">
        <f ca="1" t="shared" si="8"/>
        <v>0</v>
      </c>
      <c r="F35" s="1437">
        <f>SUMIF(修正!A45:A56,G2,修正!D45:D56)</f>
        <v>0.2</v>
      </c>
      <c r="G35" s="1437">
        <f ca="1">ROUND(IF(E2="工业",C35*$M$39,C35*$M$38),0)</f>
        <v>287</v>
      </c>
      <c r="H35" s="1437">
        <f t="shared" si="9"/>
        <v>0</v>
      </c>
      <c r="I35" s="1437">
        <f ca="1" t="shared" si="10"/>
        <v>0</v>
      </c>
      <c r="J35" s="1546"/>
      <c r="K35" s="1622"/>
      <c r="L35" s="1622"/>
      <c r="M35" s="1622"/>
      <c r="N35" s="1622"/>
      <c r="O35" s="1622"/>
      <c r="P35" s="1594"/>
      <c r="Q35" s="1594"/>
      <c r="R35" s="1594"/>
      <c r="S35" s="1594"/>
      <c r="T35" s="1594"/>
      <c r="U35" s="1594"/>
      <c r="V35" s="1594"/>
      <c r="W35" s="1697"/>
      <c r="X35" s="1697"/>
      <c r="Y35" s="1697"/>
      <c r="Z35" s="1697"/>
      <c r="AA35" s="1697"/>
      <c r="AB35" s="1594"/>
      <c r="AC35" s="1594"/>
      <c r="AD35" s="1594"/>
      <c r="AE35" s="1594"/>
      <c r="AF35" s="1594"/>
      <c r="AG35" s="1594"/>
      <c r="AH35" s="1697"/>
      <c r="AJ35" s="1390"/>
      <c r="AK35" s="1390"/>
      <c r="AL35" s="1390"/>
      <c r="AM35" s="1390"/>
      <c r="AN35" s="1390"/>
      <c r="AO35" s="1387"/>
      <c r="AP35" s="1387"/>
      <c r="AQ35" s="1387"/>
      <c r="AR35" s="1387"/>
    </row>
    <row r="36" ht="13.5" spans="1:44">
      <c r="A36" s="1547"/>
      <c r="B36" s="1448" t="s">
        <v>932</v>
      </c>
      <c r="C36" s="1526">
        <f ca="1">ROUND(D5*C19*C20*C24*F36,0)</f>
        <v>1149</v>
      </c>
      <c r="D36" s="1545"/>
      <c r="E36" s="1437">
        <f ca="1" t="shared" si="8"/>
        <v>0</v>
      </c>
      <c r="F36" s="1437">
        <f>SUMIF(修正!A45:A56,G2,修正!E45:E56)</f>
        <v>0.2</v>
      </c>
      <c r="G36" s="1437">
        <f ca="1">ROUND(IF(E2="工业",C36*$M$39,C36*$M$38),0)</f>
        <v>287</v>
      </c>
      <c r="H36" s="1437">
        <f t="shared" si="9"/>
        <v>0</v>
      </c>
      <c r="I36" s="1437">
        <f ca="1" t="shared" si="10"/>
        <v>0</v>
      </c>
      <c r="J36" s="1547"/>
      <c r="K36" s="1622"/>
      <c r="L36" s="1622"/>
      <c r="M36" s="1622"/>
      <c r="N36" s="1622"/>
      <c r="O36" s="1622"/>
      <c r="P36" s="1594"/>
      <c r="Q36" s="1594"/>
      <c r="R36" s="1594"/>
      <c r="S36" s="1594"/>
      <c r="T36" s="1594"/>
      <c r="U36" s="1594"/>
      <c r="V36" s="1594"/>
      <c r="W36" s="1697"/>
      <c r="X36" s="1697"/>
      <c r="Y36" s="1697"/>
      <c r="Z36" s="1697"/>
      <c r="AA36" s="1697"/>
      <c r="AB36" s="1594"/>
      <c r="AC36" s="1594"/>
      <c r="AD36" s="1594"/>
      <c r="AE36" s="1594"/>
      <c r="AF36" s="1594"/>
      <c r="AG36" s="1594"/>
      <c r="AH36" s="1697"/>
      <c r="AJ36" s="1390"/>
      <c r="AK36" s="1390"/>
      <c r="AL36" s="1390"/>
      <c r="AM36" s="1390"/>
      <c r="AN36" s="1390"/>
      <c r="AO36" s="1387"/>
      <c r="AP36" s="1387"/>
      <c r="AQ36" s="1387"/>
      <c r="AR36" s="1387"/>
    </row>
    <row r="37" ht="12.75" spans="1:29">
      <c r="A37" s="1548"/>
      <c r="B37" s="1448" t="s">
        <v>568</v>
      </c>
      <c r="C37" s="1437">
        <f ca="1">ROUND(D5*C19*C20*C24*F37*C41,0)</f>
        <v>1149</v>
      </c>
      <c r="D37" s="1545"/>
      <c r="E37" s="1437">
        <f ca="1" t="shared" si="8"/>
        <v>0</v>
      </c>
      <c r="F37" s="1526">
        <f>SUMIF(修正!A45:A56,G2,修正!F45:F56)</f>
        <v>0.2</v>
      </c>
      <c r="G37" s="1437">
        <f ca="1">ROUND(IF(E2="工业",C37*$M$39,C37*$M$38),0)</f>
        <v>287</v>
      </c>
      <c r="H37" s="1437">
        <f t="shared" si="9"/>
        <v>0</v>
      </c>
      <c r="I37" s="1437">
        <f ca="1" t="shared" si="10"/>
        <v>0</v>
      </c>
      <c r="J37" s="1673"/>
      <c r="K37" s="1594"/>
      <c r="L37" s="1674" t="s">
        <v>933</v>
      </c>
      <c r="M37" s="1675"/>
      <c r="N37" s="1594"/>
      <c r="O37" s="1594"/>
      <c r="P37" s="1594"/>
      <c r="Q37" s="1594"/>
      <c r="R37" s="1697"/>
      <c r="S37" s="1697"/>
      <c r="T37" s="1697"/>
      <c r="U37" s="1697"/>
      <c r="V37" s="1697"/>
      <c r="W37" s="1594"/>
      <c r="X37" s="1594"/>
      <c r="Y37" s="1594"/>
      <c r="Z37" s="1594"/>
      <c r="AA37" s="1594"/>
      <c r="AB37" s="1594"/>
      <c r="AC37" s="1697"/>
    </row>
    <row r="38" ht="12.75" spans="1:29">
      <c r="A38" s="1548"/>
      <c r="B38" s="1448" t="s">
        <v>780</v>
      </c>
      <c r="C38" s="1437">
        <f ca="1">ROUND(D5*C19*C41*C24*F38,0)</f>
        <v>1149</v>
      </c>
      <c r="D38" s="1545"/>
      <c r="E38" s="1437">
        <f ca="1" t="shared" si="8"/>
        <v>0</v>
      </c>
      <c r="F38" s="1526">
        <f>SUMIF(修正!A45:A56,G2,修正!G45:G56)</f>
        <v>0.2</v>
      </c>
      <c r="G38" s="1437">
        <f ca="1">ROUND(IF(E2="工业",C38*$M$39,C38*$M$38),0)</f>
        <v>287</v>
      </c>
      <c r="H38" s="1437">
        <f t="shared" si="9"/>
        <v>0</v>
      </c>
      <c r="I38" s="1437">
        <f ca="1" t="shared" si="10"/>
        <v>0</v>
      </c>
      <c r="J38" s="1673"/>
      <c r="K38" s="1594"/>
      <c r="L38" s="1676" t="s">
        <v>934</v>
      </c>
      <c r="M38" s="1677">
        <v>0.25</v>
      </c>
      <c r="N38" s="1594"/>
      <c r="O38" s="1594"/>
      <c r="P38" s="1594"/>
      <c r="Q38" s="1594"/>
      <c r="R38" s="1697"/>
      <c r="S38" s="1697"/>
      <c r="T38" s="1697"/>
      <c r="U38" s="1697"/>
      <c r="V38" s="1697"/>
      <c r="W38" s="1594"/>
      <c r="X38" s="1594"/>
      <c r="Y38" s="1594"/>
      <c r="Z38" s="1594"/>
      <c r="AA38" s="1594"/>
      <c r="AB38" s="1594"/>
      <c r="AC38" s="1697"/>
    </row>
    <row r="39" ht="13.5" spans="1:29">
      <c r="A39" s="1531"/>
      <c r="B39" s="1549" t="s">
        <v>383</v>
      </c>
      <c r="C39" s="1471">
        <f ca="1">ROUND(D5*C19*C41*C24*F39,0)</f>
        <v>862</v>
      </c>
      <c r="D39" s="1550"/>
      <c r="E39" s="1471">
        <f ca="1" t="shared" si="8"/>
        <v>0</v>
      </c>
      <c r="F39" s="1551">
        <f>SUMIF(修正!A45:A56,G2,修正!H45:H56)</f>
        <v>0.15</v>
      </c>
      <c r="G39" s="1471">
        <f ca="1">ROUND(IF(E2="工业",C39*$M$39,C39*$M$38),0)</f>
        <v>216</v>
      </c>
      <c r="H39" s="1471">
        <f t="shared" si="9"/>
        <v>0</v>
      </c>
      <c r="I39" s="1471">
        <f ca="1" t="shared" si="10"/>
        <v>0</v>
      </c>
      <c r="J39" s="1678"/>
      <c r="K39" s="1594"/>
      <c r="L39" s="1679" t="s">
        <v>935</v>
      </c>
      <c r="M39" s="1680">
        <v>0.15</v>
      </c>
      <c r="N39" s="1594"/>
      <c r="O39" s="1594"/>
      <c r="P39" s="1594"/>
      <c r="Q39" s="1594"/>
      <c r="R39" s="1697"/>
      <c r="S39" s="1697"/>
      <c r="T39" s="1697"/>
      <c r="U39" s="1697"/>
      <c r="V39" s="1697"/>
      <c r="W39" s="1594"/>
      <c r="X39" s="1594"/>
      <c r="Y39" s="1594"/>
      <c r="Z39" s="1594"/>
      <c r="AA39" s="1594"/>
      <c r="AB39" s="1594"/>
      <c r="AC39" s="1697"/>
    </row>
    <row r="40" s="1386" customFormat="1" spans="2:39">
      <c r="B40" s="1552"/>
      <c r="C40" s="1552"/>
      <c r="D40" s="1552"/>
      <c r="E40" s="1552"/>
      <c r="F40" s="1552"/>
      <c r="G40" s="1552"/>
      <c r="H40" s="1552"/>
      <c r="I40" s="1552"/>
      <c r="J40" s="1552"/>
      <c r="K40" s="1552"/>
      <c r="L40" s="1552"/>
      <c r="M40" s="1552"/>
      <c r="N40" s="1552"/>
      <c r="O40" s="1552"/>
      <c r="P40" s="1552"/>
      <c r="Q40" s="1552"/>
      <c r="R40" s="1698"/>
      <c r="S40" s="1698"/>
      <c r="T40" s="1698"/>
      <c r="U40" s="1698"/>
      <c r="V40" s="1698"/>
      <c r="W40" s="1552"/>
      <c r="X40" s="1552"/>
      <c r="Y40" s="1552"/>
      <c r="Z40" s="1552"/>
      <c r="AA40" s="1552"/>
      <c r="AB40" s="1552"/>
      <c r="AC40" s="1698"/>
      <c r="AD40" s="1390"/>
      <c r="AE40" s="1390"/>
      <c r="AF40" s="1390"/>
      <c r="AG40" s="1390"/>
      <c r="AH40" s="1390"/>
      <c r="AI40" s="1390"/>
      <c r="AJ40" s="1390"/>
      <c r="AK40" s="1390"/>
      <c r="AL40" s="1390"/>
      <c r="AM40" s="1390"/>
    </row>
    <row r="41" s="1386" customFormat="1" ht="12.75" spans="1:39">
      <c r="A41" s="1390"/>
      <c r="B41" s="1553" t="s">
        <v>936</v>
      </c>
      <c r="C41" s="1554">
        <f ca="1">ROUND(POWER(1+E41,H41-G41)*(POWER(1+E41,G41)-1)/(POWER(1+E41,H41)-1),4)</f>
        <v>1</v>
      </c>
      <c r="D41" s="1555" t="s">
        <v>937</v>
      </c>
      <c r="E41" s="1556">
        <f ca="1">G20</f>
        <v>0.052</v>
      </c>
      <c r="F41" s="1555" t="s">
        <v>938</v>
      </c>
      <c r="G41" s="1557">
        <v>50</v>
      </c>
      <c r="H41" s="1555">
        <v>50</v>
      </c>
      <c r="I41" s="1552"/>
      <c r="J41" s="1552"/>
      <c r="K41" s="1552"/>
      <c r="L41" s="1552"/>
      <c r="M41" s="1552"/>
      <c r="N41" s="1552"/>
      <c r="O41" s="1552"/>
      <c r="P41" s="1552"/>
      <c r="Q41" s="1552"/>
      <c r="R41" s="1698"/>
      <c r="S41" s="1698"/>
      <c r="T41" s="1698"/>
      <c r="U41" s="1698"/>
      <c r="V41" s="1698"/>
      <c r="W41" s="1552"/>
      <c r="X41" s="1552"/>
      <c r="Y41" s="1552"/>
      <c r="Z41" s="1552"/>
      <c r="AA41" s="1552"/>
      <c r="AB41" s="1552"/>
      <c r="AC41" s="1698"/>
      <c r="AD41" s="1390"/>
      <c r="AE41" s="1390"/>
      <c r="AF41" s="1390"/>
      <c r="AG41" s="1390"/>
      <c r="AH41" s="1390"/>
      <c r="AI41" s="1390"/>
      <c r="AJ41" s="1390"/>
      <c r="AK41" s="1390"/>
      <c r="AL41" s="1390"/>
      <c r="AM41" s="1390"/>
    </row>
    <row r="42" s="1386" customFormat="1" spans="1:39">
      <c r="A42" s="1390"/>
      <c r="B42" s="1558"/>
      <c r="C42" s="1552"/>
      <c r="D42" s="1552"/>
      <c r="E42" s="1552"/>
      <c r="F42" s="1552"/>
      <c r="G42" s="1552"/>
      <c r="H42" s="1552"/>
      <c r="I42" s="1552"/>
      <c r="J42" s="1552"/>
      <c r="K42" s="1552"/>
      <c r="L42" s="1552"/>
      <c r="M42" s="1552"/>
      <c r="N42" s="1552"/>
      <c r="O42" s="1552"/>
      <c r="P42" s="1552"/>
      <c r="Q42" s="1552"/>
      <c r="R42" s="1698"/>
      <c r="S42" s="1698"/>
      <c r="T42" s="1698"/>
      <c r="U42" s="1698"/>
      <c r="V42" s="1698"/>
      <c r="W42" s="1552"/>
      <c r="X42" s="1552"/>
      <c r="Y42" s="1552"/>
      <c r="Z42" s="1552"/>
      <c r="AA42" s="1552"/>
      <c r="AB42" s="1552"/>
      <c r="AC42" s="1698"/>
      <c r="AD42" s="1390"/>
      <c r="AE42" s="1390"/>
      <c r="AF42" s="1390"/>
      <c r="AG42" s="1390"/>
      <c r="AH42" s="1390"/>
      <c r="AI42" s="1390"/>
      <c r="AJ42" s="1390"/>
      <c r="AK42" s="1390"/>
      <c r="AL42" s="1390"/>
      <c r="AM42" s="1390"/>
    </row>
    <row r="43" s="1386" customFormat="1" spans="1:39">
      <c r="A43" s="1390"/>
      <c r="B43" s="1558"/>
      <c r="C43" s="1552"/>
      <c r="D43" s="1552"/>
      <c r="E43" s="1552"/>
      <c r="F43" s="1552"/>
      <c r="G43" s="1552"/>
      <c r="H43" s="1552"/>
      <c r="I43" s="1552"/>
      <c r="J43" s="1552"/>
      <c r="K43" s="1552"/>
      <c r="L43" s="1552"/>
      <c r="M43" s="1552"/>
      <c r="N43" s="1552"/>
      <c r="O43" s="1552"/>
      <c r="P43" s="1552"/>
      <c r="Q43" s="1552"/>
      <c r="R43" s="1698"/>
      <c r="S43" s="1698"/>
      <c r="T43" s="1698"/>
      <c r="U43" s="1698"/>
      <c r="V43" s="1698"/>
      <c r="W43" s="1552"/>
      <c r="X43" s="1552"/>
      <c r="Y43" s="1552"/>
      <c r="Z43" s="1552"/>
      <c r="AA43" s="1552"/>
      <c r="AB43" s="1552"/>
      <c r="AC43" s="1698"/>
      <c r="AD43" s="1390"/>
      <c r="AE43" s="1390"/>
      <c r="AF43" s="1390"/>
      <c r="AG43" s="1390"/>
      <c r="AH43" s="1390"/>
      <c r="AI43" s="1390"/>
      <c r="AJ43" s="1390"/>
      <c r="AK43" s="1390"/>
      <c r="AL43" s="1390"/>
      <c r="AM43" s="1390"/>
    </row>
    <row r="44" s="1386" customFormat="1" ht="15" spans="1:39">
      <c r="A44" s="1559" t="s">
        <v>939</v>
      </c>
      <c r="B44" s="1560"/>
      <c r="C44" s="1561"/>
      <c r="D44" s="1562"/>
      <c r="E44" s="1562"/>
      <c r="F44" s="1563"/>
      <c r="G44" s="1302"/>
      <c r="H44" s="1563"/>
      <c r="I44" s="1302"/>
      <c r="J44" s="1302"/>
      <c r="K44" s="1302"/>
      <c r="L44" s="1302"/>
      <c r="M44" s="1302"/>
      <c r="O44" s="1552"/>
      <c r="P44" s="1552"/>
      <c r="Q44" s="1552"/>
      <c r="R44" s="1698"/>
      <c r="S44" s="1698"/>
      <c r="T44" s="1698"/>
      <c r="U44" s="1698"/>
      <c r="V44" s="1698"/>
      <c r="W44" s="1552"/>
      <c r="X44" s="1552"/>
      <c r="Y44" s="1552"/>
      <c r="Z44" s="1552"/>
      <c r="AA44" s="1552"/>
      <c r="AB44" s="1552"/>
      <c r="AC44" s="1698"/>
      <c r="AD44" s="1390"/>
      <c r="AE44" s="1390"/>
      <c r="AF44" s="1390"/>
      <c r="AG44" s="1390"/>
      <c r="AH44" s="1390"/>
      <c r="AI44" s="1390"/>
      <c r="AJ44" s="1390"/>
      <c r="AK44" s="1390"/>
      <c r="AL44" s="1390"/>
      <c r="AM44" s="1390"/>
    </row>
    <row r="45" s="1386" customFormat="1" ht="15" spans="1:39">
      <c r="A45" s="1564" t="s">
        <v>376</v>
      </c>
      <c r="B45" s="1565">
        <f>1+E47</f>
        <v>1</v>
      </c>
      <c r="C45" s="1566"/>
      <c r="D45" s="1567"/>
      <c r="E45" s="1568"/>
      <c r="F45" s="1569"/>
      <c r="G45" s="1563"/>
      <c r="H45" s="1563"/>
      <c r="I45" s="1302"/>
      <c r="J45" s="1302"/>
      <c r="K45" s="1302"/>
      <c r="L45" s="1302"/>
      <c r="M45" s="1302"/>
      <c r="O45" s="1552"/>
      <c r="P45" s="1552"/>
      <c r="Q45" s="1552"/>
      <c r="R45" s="1698"/>
      <c r="S45" s="1698"/>
      <c r="T45" s="1698"/>
      <c r="U45" s="1698"/>
      <c r="V45" s="1698"/>
      <c r="W45" s="1552"/>
      <c r="X45" s="1552"/>
      <c r="Y45" s="1552"/>
      <c r="Z45" s="1552"/>
      <c r="AA45" s="1552"/>
      <c r="AB45" s="1552"/>
      <c r="AC45" s="1698"/>
      <c r="AD45" s="1390"/>
      <c r="AE45" s="1390"/>
      <c r="AF45" s="1390"/>
      <c r="AG45" s="1390"/>
      <c r="AH45" s="1390"/>
      <c r="AI45" s="1390"/>
      <c r="AJ45" s="1390"/>
      <c r="AK45" s="1390"/>
      <c r="AL45" s="1390"/>
      <c r="AM45" s="1390"/>
    </row>
    <row r="46" s="1386" customFormat="1" ht="24" spans="1:40">
      <c r="A46" s="1354" t="s">
        <v>940</v>
      </c>
      <c r="B46" s="1570" t="s">
        <v>941</v>
      </c>
      <c r="C46" s="1571" t="s">
        <v>942</v>
      </c>
      <c r="D46" s="1572" t="s">
        <v>943</v>
      </c>
      <c r="E46" s="1573" t="s">
        <v>944</v>
      </c>
      <c r="F46" s="1574" t="s">
        <v>945</v>
      </c>
      <c r="G46" s="1572" t="s">
        <v>946</v>
      </c>
      <c r="H46" s="1575" t="s">
        <v>947</v>
      </c>
      <c r="I46" s="1572" t="s">
        <v>948</v>
      </c>
      <c r="J46" s="1681" t="s">
        <v>250</v>
      </c>
      <c r="K46" s="1681" t="s">
        <v>262</v>
      </c>
      <c r="L46" s="1681" t="s">
        <v>272</v>
      </c>
      <c r="M46" s="1681" t="s">
        <v>282</v>
      </c>
      <c r="N46" s="1681" t="s">
        <v>289</v>
      </c>
      <c r="P46" s="1552"/>
      <c r="Q46" s="1552"/>
      <c r="R46" s="1698"/>
      <c r="S46" s="1698"/>
      <c r="T46" s="1698"/>
      <c r="U46" s="1698"/>
      <c r="V46" s="1698"/>
      <c r="W46" s="1552"/>
      <c r="X46" s="1552"/>
      <c r="Y46" s="1552"/>
      <c r="Z46" s="1552"/>
      <c r="AA46" s="1552"/>
      <c r="AB46" s="1552"/>
      <c r="AC46" s="1552"/>
      <c r="AD46" s="1698"/>
      <c r="AE46" s="1390"/>
      <c r="AF46" s="1390"/>
      <c r="AG46" s="1390"/>
      <c r="AH46" s="1390"/>
      <c r="AI46" s="1390"/>
      <c r="AJ46" s="1390"/>
      <c r="AK46" s="1390"/>
      <c r="AL46" s="1390"/>
      <c r="AM46" s="1390"/>
      <c r="AN46" s="1390"/>
    </row>
    <row r="47" s="1386" customFormat="1" ht="36" spans="1:40">
      <c r="A47" s="1354" t="s">
        <v>949</v>
      </c>
      <c r="B47" s="1576" t="str">
        <f>估价对象房地状况!C16</f>
        <v>估价对象位于XX商圈，周边商业氛围成熟，人流量大，商业繁华度好</v>
      </c>
      <c r="C47" s="1577"/>
      <c r="D47" s="1578">
        <f t="shared" ref="D47:D55" si="11">SUMIF($J$46:$N$46,C47,J47:N47)</f>
        <v>0</v>
      </c>
      <c r="E47" s="1579">
        <f>ROUND(SUM(D47:D55),4)</f>
        <v>0</v>
      </c>
      <c r="F47" s="1580" t="str">
        <f>IF(E2="商业",SUMIF(L1:L12,G2,N1:N12),"——")</f>
        <v>——</v>
      </c>
      <c r="G47" s="1581"/>
      <c r="H47" s="1582" t="str">
        <f t="shared" ref="H47:H55" si="12">IFERROR(ROUNDDOWN(($F$47*I47/2),4),"——")</f>
        <v>——</v>
      </c>
      <c r="I47" s="1682">
        <v>0.33</v>
      </c>
      <c r="J47" s="1683">
        <f t="shared" ref="J47:J55" si="13">K47+$G47</f>
        <v>0</v>
      </c>
      <c r="K47" s="1683">
        <f t="shared" ref="K47:K55" si="14">$L47+$G47</f>
        <v>0</v>
      </c>
      <c r="L47" s="1683">
        <v>0</v>
      </c>
      <c r="M47" s="1683">
        <f t="shared" ref="M47:M55" si="15">L47-$G47</f>
        <v>0</v>
      </c>
      <c r="N47" s="1683">
        <f t="shared" ref="N47:N55" si="16">M47-$G47</f>
        <v>0</v>
      </c>
      <c r="P47" s="1552"/>
      <c r="Q47" s="1552"/>
      <c r="R47" s="1698"/>
      <c r="S47" s="1698"/>
      <c r="T47" s="1698"/>
      <c r="U47" s="1698"/>
      <c r="V47" s="1698"/>
      <c r="W47" s="1552"/>
      <c r="X47" s="1552"/>
      <c r="Y47" s="1552"/>
      <c r="Z47" s="1552"/>
      <c r="AA47" s="1552"/>
      <c r="AB47" s="1552"/>
      <c r="AC47" s="1552"/>
      <c r="AD47" s="1698"/>
      <c r="AE47" s="1390"/>
      <c r="AF47" s="1390"/>
      <c r="AG47" s="1390"/>
      <c r="AH47" s="1390"/>
      <c r="AI47" s="1390"/>
      <c r="AJ47" s="1390"/>
      <c r="AK47" s="1390"/>
      <c r="AL47" s="1390"/>
      <c r="AM47" s="1390"/>
      <c r="AN47" s="1390"/>
    </row>
    <row r="48" s="1386" customFormat="1" ht="48" spans="1:40">
      <c r="A48" s="1354" t="s">
        <v>685</v>
      </c>
      <c r="B48" s="1570" t="str">
        <f>估价对象房地状况!C18</f>
        <v>估价对象周边道路状况、公共交通通达情况、停车便捷程度，综合评价交通便捷度较好</v>
      </c>
      <c r="C48" s="1577"/>
      <c r="D48" s="1578">
        <f t="shared" si="11"/>
        <v>0</v>
      </c>
      <c r="E48" s="1583"/>
      <c r="F48" s="1580"/>
      <c r="G48" s="1581"/>
      <c r="H48" s="1582" t="str">
        <f t="shared" si="12"/>
        <v>——</v>
      </c>
      <c r="I48" s="1682">
        <v>0.25</v>
      </c>
      <c r="J48" s="1683">
        <f t="shared" si="13"/>
        <v>0</v>
      </c>
      <c r="K48" s="1683">
        <f t="shared" si="14"/>
        <v>0</v>
      </c>
      <c r="L48" s="1683">
        <v>0</v>
      </c>
      <c r="M48" s="1683">
        <f t="shared" si="15"/>
        <v>0</v>
      </c>
      <c r="N48" s="1683">
        <f t="shared" si="16"/>
        <v>0</v>
      </c>
      <c r="P48" s="1552"/>
      <c r="Q48" s="1552"/>
      <c r="R48" s="1698"/>
      <c r="S48" s="1698"/>
      <c r="T48" s="1698"/>
      <c r="U48" s="1698"/>
      <c r="V48" s="1698"/>
      <c r="W48" s="1552"/>
      <c r="X48" s="1552"/>
      <c r="Y48" s="1552"/>
      <c r="Z48" s="1552"/>
      <c r="AA48" s="1552"/>
      <c r="AB48" s="1552"/>
      <c r="AC48" s="1552"/>
      <c r="AD48" s="1698"/>
      <c r="AE48" s="1390"/>
      <c r="AF48" s="1390"/>
      <c r="AG48" s="1390"/>
      <c r="AH48" s="1390"/>
      <c r="AI48" s="1390"/>
      <c r="AJ48" s="1390"/>
      <c r="AK48" s="1390"/>
      <c r="AL48" s="1390"/>
      <c r="AM48" s="1390"/>
      <c r="AN48" s="1390"/>
    </row>
    <row r="49" s="1386" customFormat="1" ht="24" spans="1:40">
      <c r="A49" s="1354" t="s">
        <v>697</v>
      </c>
      <c r="B49" s="1570">
        <f>估价对象房地状况!C19</f>
        <v>0</v>
      </c>
      <c r="C49" s="1577"/>
      <c r="D49" s="1578">
        <f t="shared" si="11"/>
        <v>0</v>
      </c>
      <c r="E49" s="1583"/>
      <c r="F49" s="1580"/>
      <c r="G49" s="1581"/>
      <c r="H49" s="1582" t="str">
        <f t="shared" si="12"/>
        <v>——</v>
      </c>
      <c r="I49" s="1682">
        <v>0.05</v>
      </c>
      <c r="J49" s="1683">
        <f t="shared" si="13"/>
        <v>0</v>
      </c>
      <c r="K49" s="1683">
        <f t="shared" si="14"/>
        <v>0</v>
      </c>
      <c r="L49" s="1683">
        <v>0</v>
      </c>
      <c r="M49" s="1683">
        <f t="shared" si="15"/>
        <v>0</v>
      </c>
      <c r="N49" s="1683">
        <f t="shared" si="16"/>
        <v>0</v>
      </c>
      <c r="P49" s="1552"/>
      <c r="Q49" s="1552"/>
      <c r="R49" s="1698"/>
      <c r="S49" s="1698"/>
      <c r="T49" s="1698"/>
      <c r="U49" s="1698"/>
      <c r="V49" s="1698"/>
      <c r="W49" s="1552"/>
      <c r="X49" s="1552"/>
      <c r="Y49" s="1552"/>
      <c r="Z49" s="1552"/>
      <c r="AA49" s="1552"/>
      <c r="AB49" s="1552"/>
      <c r="AC49" s="1552"/>
      <c r="AD49" s="1698"/>
      <c r="AE49" s="1390"/>
      <c r="AF49" s="1390"/>
      <c r="AG49" s="1390"/>
      <c r="AH49" s="1390"/>
      <c r="AI49" s="1390"/>
      <c r="AJ49" s="1390"/>
      <c r="AK49" s="1390"/>
      <c r="AL49" s="1390"/>
      <c r="AM49" s="1390"/>
      <c r="AN49" s="1390"/>
    </row>
    <row r="50" s="1386" customFormat="1" ht="36" spans="1:40">
      <c r="A50" s="1354" t="s">
        <v>950</v>
      </c>
      <c r="B50" s="1584" t="s">
        <v>951</v>
      </c>
      <c r="C50" s="1577"/>
      <c r="D50" s="1578">
        <f t="shared" si="11"/>
        <v>0</v>
      </c>
      <c r="E50" s="1583"/>
      <c r="F50" s="1580"/>
      <c r="G50" s="1581"/>
      <c r="H50" s="1582" t="str">
        <f t="shared" si="12"/>
        <v>——</v>
      </c>
      <c r="I50" s="1682">
        <v>0.05</v>
      </c>
      <c r="J50" s="1683">
        <f t="shared" si="13"/>
        <v>0</v>
      </c>
      <c r="K50" s="1683">
        <f t="shared" si="14"/>
        <v>0</v>
      </c>
      <c r="L50" s="1683">
        <v>0</v>
      </c>
      <c r="M50" s="1683">
        <f t="shared" si="15"/>
        <v>0</v>
      </c>
      <c r="N50" s="1683">
        <f t="shared" si="16"/>
        <v>0</v>
      </c>
      <c r="P50" s="1552"/>
      <c r="Q50" s="1552"/>
      <c r="R50" s="1698"/>
      <c r="S50" s="1698"/>
      <c r="T50" s="1698"/>
      <c r="U50" s="1698"/>
      <c r="V50" s="1698"/>
      <c r="W50" s="1552"/>
      <c r="X50" s="1552"/>
      <c r="Y50" s="1552"/>
      <c r="Z50" s="1552"/>
      <c r="AA50" s="1552"/>
      <c r="AB50" s="1552"/>
      <c r="AC50" s="1552"/>
      <c r="AD50" s="1698"/>
      <c r="AE50" s="1390"/>
      <c r="AF50" s="1390"/>
      <c r="AG50" s="1390"/>
      <c r="AH50" s="1390"/>
      <c r="AI50" s="1390"/>
      <c r="AJ50" s="1390"/>
      <c r="AK50" s="1390"/>
      <c r="AL50" s="1390"/>
      <c r="AM50" s="1390"/>
      <c r="AN50" s="1390"/>
    </row>
    <row r="51" s="1386" customFormat="1" ht="24" spans="1:40">
      <c r="A51" s="1354" t="s">
        <v>952</v>
      </c>
      <c r="B51" s="1570">
        <f>估价对象房地状况!C24</f>
        <v>0</v>
      </c>
      <c r="C51" s="1577"/>
      <c r="D51" s="1578">
        <f t="shared" si="11"/>
        <v>0</v>
      </c>
      <c r="E51" s="1583"/>
      <c r="F51" s="1580"/>
      <c r="G51" s="1581"/>
      <c r="H51" s="1582" t="str">
        <f t="shared" si="12"/>
        <v>——</v>
      </c>
      <c r="I51" s="1682">
        <v>0.08</v>
      </c>
      <c r="J51" s="1683">
        <f t="shared" si="13"/>
        <v>0</v>
      </c>
      <c r="K51" s="1683">
        <f t="shared" si="14"/>
        <v>0</v>
      </c>
      <c r="L51" s="1683">
        <v>0</v>
      </c>
      <c r="M51" s="1683">
        <f t="shared" si="15"/>
        <v>0</v>
      </c>
      <c r="N51" s="1683">
        <f t="shared" si="16"/>
        <v>0</v>
      </c>
      <c r="P51" s="1552"/>
      <c r="Q51" s="1552"/>
      <c r="R51" s="1698"/>
      <c r="S51" s="1698"/>
      <c r="T51" s="1698"/>
      <c r="U51" s="1698"/>
      <c r="V51" s="1698"/>
      <c r="W51" s="1552"/>
      <c r="X51" s="1552"/>
      <c r="Y51" s="1552"/>
      <c r="Z51" s="1552"/>
      <c r="AA51" s="1552"/>
      <c r="AB51" s="1552"/>
      <c r="AC51" s="1552"/>
      <c r="AD51" s="1698"/>
      <c r="AE51" s="1390"/>
      <c r="AF51" s="1390"/>
      <c r="AG51" s="1390"/>
      <c r="AH51" s="1390"/>
      <c r="AI51" s="1390"/>
      <c r="AJ51" s="1390"/>
      <c r="AK51" s="1390"/>
      <c r="AL51" s="1390"/>
      <c r="AM51" s="1390"/>
      <c r="AN51" s="1390"/>
    </row>
    <row r="52" s="1386" customFormat="1" ht="24" spans="1:40">
      <c r="A52" s="1354" t="s">
        <v>953</v>
      </c>
      <c r="B52" s="1585" t="s">
        <v>954</v>
      </c>
      <c r="C52" s="1577"/>
      <c r="D52" s="1578">
        <f t="shared" si="11"/>
        <v>0</v>
      </c>
      <c r="E52" s="1583"/>
      <c r="F52" s="1580"/>
      <c r="G52" s="1581"/>
      <c r="H52" s="1582" t="str">
        <f t="shared" si="12"/>
        <v>——</v>
      </c>
      <c r="I52" s="1682">
        <v>0.03</v>
      </c>
      <c r="J52" s="1683">
        <f t="shared" si="13"/>
        <v>0</v>
      </c>
      <c r="K52" s="1683">
        <f t="shared" si="14"/>
        <v>0</v>
      </c>
      <c r="L52" s="1683">
        <v>0</v>
      </c>
      <c r="M52" s="1683">
        <f t="shared" si="15"/>
        <v>0</v>
      </c>
      <c r="N52" s="1683">
        <f t="shared" si="16"/>
        <v>0</v>
      </c>
      <c r="P52" s="1552"/>
      <c r="Q52" s="1552"/>
      <c r="R52" s="1698"/>
      <c r="S52" s="1698"/>
      <c r="T52" s="1698"/>
      <c r="U52" s="1698"/>
      <c r="V52" s="1698"/>
      <c r="W52" s="1552"/>
      <c r="X52" s="1552"/>
      <c r="Y52" s="1552"/>
      <c r="Z52" s="1552"/>
      <c r="AA52" s="1552"/>
      <c r="AB52" s="1552"/>
      <c r="AC52" s="1552"/>
      <c r="AD52" s="1698"/>
      <c r="AE52" s="1390"/>
      <c r="AF52" s="1390"/>
      <c r="AG52" s="1390"/>
      <c r="AH52" s="1390"/>
      <c r="AI52" s="1390"/>
      <c r="AJ52" s="1390"/>
      <c r="AK52" s="1390"/>
      <c r="AL52" s="1390"/>
      <c r="AM52" s="1390"/>
      <c r="AN52" s="1390"/>
    </row>
    <row r="53" s="1386" customFormat="1" ht="24" spans="1:40">
      <c r="A53" s="1586" t="s">
        <v>955</v>
      </c>
      <c r="B53" s="1587" t="str">
        <f>估价对象房地状况!C21</f>
        <v>估价对象所在区域公共配套设施齐备情况</v>
      </c>
      <c r="C53" s="1577"/>
      <c r="D53" s="1578">
        <f t="shared" si="11"/>
        <v>0</v>
      </c>
      <c r="E53" s="1583"/>
      <c r="F53" s="1580"/>
      <c r="G53" s="1581"/>
      <c r="H53" s="1582" t="str">
        <f t="shared" si="12"/>
        <v>——</v>
      </c>
      <c r="I53" s="1682">
        <v>0.05</v>
      </c>
      <c r="J53" s="1683">
        <f t="shared" si="13"/>
        <v>0</v>
      </c>
      <c r="K53" s="1683">
        <f t="shared" si="14"/>
        <v>0</v>
      </c>
      <c r="L53" s="1683">
        <v>0</v>
      </c>
      <c r="M53" s="1683">
        <f t="shared" si="15"/>
        <v>0</v>
      </c>
      <c r="N53" s="1683">
        <f t="shared" si="16"/>
        <v>0</v>
      </c>
      <c r="P53" s="1552"/>
      <c r="Q53" s="1552"/>
      <c r="R53" s="1698"/>
      <c r="S53" s="1698"/>
      <c r="T53" s="1698"/>
      <c r="U53" s="1698"/>
      <c r="V53" s="1698"/>
      <c r="W53" s="1552"/>
      <c r="X53" s="1552"/>
      <c r="Y53" s="1552"/>
      <c r="Z53" s="1552"/>
      <c r="AA53" s="1552"/>
      <c r="AB53" s="1552"/>
      <c r="AC53" s="1552"/>
      <c r="AD53" s="1698"/>
      <c r="AE53" s="1390"/>
      <c r="AF53" s="1390"/>
      <c r="AG53" s="1390"/>
      <c r="AH53" s="1390"/>
      <c r="AI53" s="1390"/>
      <c r="AJ53" s="1390"/>
      <c r="AK53" s="1390"/>
      <c r="AL53" s="1390"/>
      <c r="AM53" s="1390"/>
      <c r="AN53" s="1390"/>
    </row>
    <row r="54" s="1386" customFormat="1" ht="24" spans="1:40">
      <c r="A54" s="1586" t="s">
        <v>956</v>
      </c>
      <c r="B54" s="1570" t="str">
        <f>估价对象房地状况!C22</f>
        <v>估价对象所在区域基础设施水平</v>
      </c>
      <c r="C54" s="1577"/>
      <c r="D54" s="1578">
        <f t="shared" si="11"/>
        <v>0</v>
      </c>
      <c r="E54" s="1583"/>
      <c r="F54" s="1580"/>
      <c r="G54" s="1581"/>
      <c r="H54" s="1582" t="str">
        <f t="shared" si="12"/>
        <v>——</v>
      </c>
      <c r="I54" s="1682">
        <v>0.1</v>
      </c>
      <c r="J54" s="1683">
        <f t="shared" si="13"/>
        <v>0</v>
      </c>
      <c r="K54" s="1683">
        <f t="shared" si="14"/>
        <v>0</v>
      </c>
      <c r="L54" s="1683">
        <v>0</v>
      </c>
      <c r="M54" s="1683">
        <f t="shared" si="15"/>
        <v>0</v>
      </c>
      <c r="N54" s="1683">
        <f t="shared" si="16"/>
        <v>0</v>
      </c>
      <c r="P54" s="1552"/>
      <c r="Q54" s="1552"/>
      <c r="R54" s="1698"/>
      <c r="S54" s="1698"/>
      <c r="T54" s="1698"/>
      <c r="U54" s="1698"/>
      <c r="V54" s="1698"/>
      <c r="W54" s="1552"/>
      <c r="X54" s="1552"/>
      <c r="Y54" s="1552"/>
      <c r="Z54" s="1552"/>
      <c r="AA54" s="1552"/>
      <c r="AB54" s="1552"/>
      <c r="AC54" s="1552"/>
      <c r="AD54" s="1698"/>
      <c r="AE54" s="1390"/>
      <c r="AF54" s="1390"/>
      <c r="AG54" s="1390"/>
      <c r="AH54" s="1390"/>
      <c r="AI54" s="1390"/>
      <c r="AJ54" s="1390"/>
      <c r="AK54" s="1390"/>
      <c r="AL54" s="1390"/>
      <c r="AM54" s="1390"/>
      <c r="AN54" s="1390"/>
    </row>
    <row r="55" s="1386" customFormat="1" ht="24.75" spans="1:40">
      <c r="A55" s="1588" t="s">
        <v>957</v>
      </c>
      <c r="B55" s="1589" t="str">
        <f>估价对象房地状况!C20</f>
        <v>区域自然环境：；人文环境；综合评价环境状况一般</v>
      </c>
      <c r="C55" s="1577"/>
      <c r="D55" s="1578">
        <f t="shared" si="11"/>
        <v>0</v>
      </c>
      <c r="E55" s="1590"/>
      <c r="F55" s="1580"/>
      <c r="G55" s="1581"/>
      <c r="H55" s="1582" t="str">
        <f t="shared" si="12"/>
        <v>——</v>
      </c>
      <c r="I55" s="1684">
        <v>0.06</v>
      </c>
      <c r="J55" s="1683">
        <f t="shared" si="13"/>
        <v>0</v>
      </c>
      <c r="K55" s="1683">
        <f t="shared" si="14"/>
        <v>0</v>
      </c>
      <c r="L55" s="1683">
        <v>0</v>
      </c>
      <c r="M55" s="1683">
        <f t="shared" si="15"/>
        <v>0</v>
      </c>
      <c r="N55" s="1683">
        <f t="shared" si="16"/>
        <v>0</v>
      </c>
      <c r="P55" s="1552"/>
      <c r="Q55" s="1552"/>
      <c r="R55" s="1698"/>
      <c r="S55" s="1698"/>
      <c r="T55" s="1698"/>
      <c r="U55" s="1698"/>
      <c r="V55" s="1698"/>
      <c r="W55" s="1552"/>
      <c r="X55" s="1552"/>
      <c r="Y55" s="1552"/>
      <c r="Z55" s="1552"/>
      <c r="AA55" s="1552"/>
      <c r="AB55" s="1552"/>
      <c r="AC55" s="1552"/>
      <c r="AD55" s="1698"/>
      <c r="AE55" s="1390"/>
      <c r="AF55" s="1390"/>
      <c r="AG55" s="1390"/>
      <c r="AH55" s="1390"/>
      <c r="AI55" s="1390"/>
      <c r="AJ55" s="1390"/>
      <c r="AK55" s="1390"/>
      <c r="AL55" s="1390"/>
      <c r="AM55" s="1390"/>
      <c r="AN55" s="1390"/>
    </row>
    <row r="56" s="1386" customFormat="1" ht="15" spans="1:40">
      <c r="A56" s="1564" t="s">
        <v>377</v>
      </c>
      <c r="B56" s="1565">
        <f>1+E58</f>
        <v>1.0495</v>
      </c>
      <c r="C56" s="1591"/>
      <c r="D56" s="1567"/>
      <c r="E56" s="1568"/>
      <c r="F56" s="1569"/>
      <c r="G56" s="1563"/>
      <c r="H56" s="1563"/>
      <c r="I56" s="1563"/>
      <c r="J56" s="1302"/>
      <c r="K56" s="1302"/>
      <c r="L56" s="1302"/>
      <c r="M56" s="1302"/>
      <c r="N56" s="1302"/>
      <c r="P56" s="1552"/>
      <c r="Q56" s="1552"/>
      <c r="R56" s="1698"/>
      <c r="S56" s="1698"/>
      <c r="T56" s="1698"/>
      <c r="U56" s="1698"/>
      <c r="V56" s="1698"/>
      <c r="W56" s="1552"/>
      <c r="X56" s="1552"/>
      <c r="Y56" s="1552"/>
      <c r="Z56" s="1552"/>
      <c r="AA56" s="1552"/>
      <c r="AB56" s="1552"/>
      <c r="AC56" s="1552"/>
      <c r="AD56" s="1698"/>
      <c r="AE56" s="1390"/>
      <c r="AF56" s="1390"/>
      <c r="AG56" s="1390"/>
      <c r="AH56" s="1390"/>
      <c r="AI56" s="1390"/>
      <c r="AJ56" s="1390"/>
      <c r="AK56" s="1390"/>
      <c r="AL56" s="1390"/>
      <c r="AM56" s="1390"/>
      <c r="AN56" s="1390"/>
    </row>
    <row r="57" s="1386" customFormat="1" ht="24" spans="1:40">
      <c r="A57" s="1354" t="s">
        <v>940</v>
      </c>
      <c r="B57" s="1570"/>
      <c r="C57" s="1571" t="s">
        <v>942</v>
      </c>
      <c r="D57" s="1572" t="s">
        <v>943</v>
      </c>
      <c r="E57" s="1573" t="s">
        <v>944</v>
      </c>
      <c r="F57" s="1574" t="s">
        <v>945</v>
      </c>
      <c r="G57" s="1572" t="s">
        <v>946</v>
      </c>
      <c r="H57" s="1575" t="s">
        <v>947</v>
      </c>
      <c r="I57" s="1572" t="s">
        <v>948</v>
      </c>
      <c r="J57" s="1681" t="s">
        <v>250</v>
      </c>
      <c r="K57" s="1681" t="s">
        <v>262</v>
      </c>
      <c r="L57" s="1681" t="s">
        <v>272</v>
      </c>
      <c r="M57" s="1681" t="s">
        <v>282</v>
      </c>
      <c r="N57" s="1681" t="s">
        <v>289</v>
      </c>
      <c r="P57" s="1552"/>
      <c r="Q57" s="1552"/>
      <c r="R57" s="1698"/>
      <c r="S57" s="1698"/>
      <c r="T57" s="1698"/>
      <c r="U57" s="1698"/>
      <c r="V57" s="1698"/>
      <c r="W57" s="1552"/>
      <c r="X57" s="1552"/>
      <c r="Y57" s="1552"/>
      <c r="Z57" s="1552"/>
      <c r="AA57" s="1552"/>
      <c r="AB57" s="1552"/>
      <c r="AC57" s="1552"/>
      <c r="AD57" s="1698"/>
      <c r="AE57" s="1390"/>
      <c r="AF57" s="1390"/>
      <c r="AG57" s="1390"/>
      <c r="AH57" s="1390"/>
      <c r="AI57" s="1390"/>
      <c r="AJ57" s="1390"/>
      <c r="AK57" s="1390"/>
      <c r="AL57" s="1390"/>
      <c r="AM57" s="1390"/>
      <c r="AN57" s="1390"/>
    </row>
    <row r="58" s="1386" customFormat="1" ht="36" spans="1:40">
      <c r="A58" s="1354" t="s">
        <v>687</v>
      </c>
      <c r="B58" s="1576" t="str">
        <f>估价对象房地状况!C17</f>
        <v>估价对象位于XX商圈，周边办公楼项目较多，入驻率高，办公集聚程度较好</v>
      </c>
      <c r="C58" s="1577" t="s">
        <v>958</v>
      </c>
      <c r="D58" s="1578">
        <f t="shared" ref="D58:D66" si="17">SUMIF($J$57:$N$57,C58,J58:N58)</f>
        <v>0.018</v>
      </c>
      <c r="E58" s="1579">
        <f>ROUND(SUM(D58:D66),4)</f>
        <v>0.0495</v>
      </c>
      <c r="F58" s="1580">
        <f>IF(E2="办公",SUMIF(L1:L12,G2,N1:N12),"——")</f>
        <v>0.15</v>
      </c>
      <c r="G58" s="1581">
        <v>0.018</v>
      </c>
      <c r="H58" s="1582">
        <f>IFERROR(ROUNDDOWN($F$58*I58/2,4),"——")</f>
        <v>0.018</v>
      </c>
      <c r="I58" s="1682">
        <v>0.24</v>
      </c>
      <c r="J58" s="1683">
        <f t="shared" ref="J58:J66" si="18">K58+$G58</f>
        <v>0.036</v>
      </c>
      <c r="K58" s="1683">
        <f t="shared" ref="K58:K66" si="19">$L58+$G58</f>
        <v>0.018</v>
      </c>
      <c r="L58" s="1683">
        <v>0</v>
      </c>
      <c r="M58" s="1683">
        <f t="shared" ref="M58:M66" si="20">L58-$G58</f>
        <v>-0.018</v>
      </c>
      <c r="N58" s="1683">
        <f t="shared" ref="N58:N66" si="21">M58-$G58</f>
        <v>-0.036</v>
      </c>
      <c r="P58" s="1552"/>
      <c r="Q58" s="1552"/>
      <c r="R58" s="1698"/>
      <c r="S58" s="1698"/>
      <c r="T58" s="1698"/>
      <c r="U58" s="1698"/>
      <c r="V58" s="1698"/>
      <c r="W58" s="1552"/>
      <c r="X58" s="1552"/>
      <c r="Y58" s="1552"/>
      <c r="Z58" s="1552"/>
      <c r="AA58" s="1552"/>
      <c r="AB58" s="1552"/>
      <c r="AC58" s="1552"/>
      <c r="AD58" s="1698"/>
      <c r="AE58" s="1390"/>
      <c r="AF58" s="1390"/>
      <c r="AG58" s="1390"/>
      <c r="AH58" s="1390"/>
      <c r="AI58" s="1390"/>
      <c r="AJ58" s="1390"/>
      <c r="AK58" s="1390"/>
      <c r="AL58" s="1390"/>
      <c r="AM58" s="1390"/>
      <c r="AN58" s="1390"/>
    </row>
    <row r="59" s="1386" customFormat="1" ht="48" spans="1:40">
      <c r="A59" s="1354" t="s">
        <v>685</v>
      </c>
      <c r="B59" s="1570" t="str">
        <f>估价对象房地状况!C18</f>
        <v>估价对象周边道路状况、公共交通通达情况、停车便捷程度，综合评价交通便捷度较好</v>
      </c>
      <c r="C59" s="1577" t="s">
        <v>958</v>
      </c>
      <c r="D59" s="1578">
        <f t="shared" si="17"/>
        <v>0.0225</v>
      </c>
      <c r="E59" s="1583"/>
      <c r="F59" s="1580"/>
      <c r="G59" s="1581">
        <v>0.0225</v>
      </c>
      <c r="H59" s="1592">
        <f t="shared" ref="H59:H66" si="22">IFERROR($F$58*I59/2,"——")</f>
        <v>0.0225</v>
      </c>
      <c r="I59" s="1682">
        <v>0.3</v>
      </c>
      <c r="J59" s="1683">
        <f t="shared" si="18"/>
        <v>0.045</v>
      </c>
      <c r="K59" s="1683">
        <f t="shared" si="19"/>
        <v>0.0225</v>
      </c>
      <c r="L59" s="1683">
        <v>0</v>
      </c>
      <c r="M59" s="1683">
        <f t="shared" si="20"/>
        <v>-0.0225</v>
      </c>
      <c r="N59" s="1683">
        <f t="shared" si="21"/>
        <v>-0.045</v>
      </c>
      <c r="P59" s="1552"/>
      <c r="Q59" s="1552"/>
      <c r="R59" s="1698"/>
      <c r="S59" s="1698"/>
      <c r="T59" s="1698"/>
      <c r="U59" s="1698"/>
      <c r="V59" s="1698"/>
      <c r="W59" s="1552"/>
      <c r="X59" s="1552"/>
      <c r="Y59" s="1552"/>
      <c r="Z59" s="1552"/>
      <c r="AA59" s="1552"/>
      <c r="AB59" s="1552"/>
      <c r="AC59" s="1552"/>
      <c r="AD59" s="1698"/>
      <c r="AE59" s="1390"/>
      <c r="AF59" s="1390"/>
      <c r="AG59" s="1390"/>
      <c r="AH59" s="1390"/>
      <c r="AI59" s="1390"/>
      <c r="AJ59" s="1390"/>
      <c r="AK59" s="1390"/>
      <c r="AL59" s="1390"/>
      <c r="AM59" s="1390"/>
      <c r="AN59" s="1390"/>
    </row>
    <row r="60" s="1386" customFormat="1" ht="24" spans="1:40">
      <c r="A60" s="1354" t="s">
        <v>697</v>
      </c>
      <c r="B60" s="1570">
        <f>估价对象房地状况!C19</f>
        <v>0</v>
      </c>
      <c r="C60" s="1577" t="s">
        <v>959</v>
      </c>
      <c r="D60" s="1578">
        <f t="shared" si="17"/>
        <v>0</v>
      </c>
      <c r="E60" s="1583"/>
      <c r="F60" s="1580"/>
      <c r="G60" s="1581">
        <v>0.006</v>
      </c>
      <c r="H60" s="1592">
        <f t="shared" si="22"/>
        <v>0.006</v>
      </c>
      <c r="I60" s="1682">
        <v>0.08</v>
      </c>
      <c r="J60" s="1683">
        <f t="shared" si="18"/>
        <v>0.012</v>
      </c>
      <c r="K60" s="1683">
        <f t="shared" si="19"/>
        <v>0.006</v>
      </c>
      <c r="L60" s="1683">
        <v>0</v>
      </c>
      <c r="M60" s="1683">
        <f t="shared" si="20"/>
        <v>-0.006</v>
      </c>
      <c r="N60" s="1683">
        <f t="shared" si="21"/>
        <v>-0.012</v>
      </c>
      <c r="P60" s="1552"/>
      <c r="Q60" s="1552"/>
      <c r="R60" s="1698"/>
      <c r="S60" s="1698"/>
      <c r="T60" s="1698"/>
      <c r="U60" s="1698"/>
      <c r="V60" s="1698"/>
      <c r="W60" s="1552"/>
      <c r="X60" s="1552"/>
      <c r="Y60" s="1552"/>
      <c r="Z60" s="1552"/>
      <c r="AA60" s="1552"/>
      <c r="AB60" s="1552"/>
      <c r="AC60" s="1552"/>
      <c r="AD60" s="1698"/>
      <c r="AE60" s="1390"/>
      <c r="AF60" s="1390"/>
      <c r="AG60" s="1390"/>
      <c r="AH60" s="1390"/>
      <c r="AI60" s="1390"/>
      <c r="AJ60" s="1390"/>
      <c r="AK60" s="1390"/>
      <c r="AL60" s="1390"/>
      <c r="AM60" s="1390"/>
      <c r="AN60" s="1390"/>
    </row>
    <row r="61" s="1386" customFormat="1" ht="36" spans="1:40">
      <c r="A61" s="1354" t="s">
        <v>950</v>
      </c>
      <c r="B61" s="1584" t="s">
        <v>951</v>
      </c>
      <c r="C61" s="1577" t="s">
        <v>959</v>
      </c>
      <c r="D61" s="1578">
        <f t="shared" si="17"/>
        <v>0</v>
      </c>
      <c r="E61" s="1583"/>
      <c r="F61" s="1580"/>
      <c r="G61" s="1581">
        <v>0.003</v>
      </c>
      <c r="H61" s="1592">
        <f t="shared" si="22"/>
        <v>0.003</v>
      </c>
      <c r="I61" s="1682">
        <v>0.04</v>
      </c>
      <c r="J61" s="1683">
        <f t="shared" si="18"/>
        <v>0.006</v>
      </c>
      <c r="K61" s="1683">
        <f t="shared" si="19"/>
        <v>0.003</v>
      </c>
      <c r="L61" s="1683">
        <v>0</v>
      </c>
      <c r="M61" s="1683">
        <f t="shared" si="20"/>
        <v>-0.003</v>
      </c>
      <c r="N61" s="1683">
        <f t="shared" si="21"/>
        <v>-0.006</v>
      </c>
      <c r="P61" s="1552"/>
      <c r="Q61" s="1552"/>
      <c r="R61" s="1698"/>
      <c r="S61" s="1698"/>
      <c r="T61" s="1698"/>
      <c r="U61" s="1698"/>
      <c r="V61" s="1698"/>
      <c r="W61" s="1552"/>
      <c r="X61" s="1552"/>
      <c r="Y61" s="1552"/>
      <c r="Z61" s="1552"/>
      <c r="AA61" s="1552"/>
      <c r="AB61" s="1552"/>
      <c r="AC61" s="1552"/>
      <c r="AD61" s="1698"/>
      <c r="AE61" s="1390"/>
      <c r="AF61" s="1390"/>
      <c r="AG61" s="1390"/>
      <c r="AH61" s="1390"/>
      <c r="AI61" s="1390"/>
      <c r="AJ61" s="1390"/>
      <c r="AK61" s="1390"/>
      <c r="AL61" s="1390"/>
      <c r="AM61" s="1390"/>
      <c r="AN61" s="1390"/>
    </row>
    <row r="62" s="1386" customFormat="1" ht="24" spans="1:40">
      <c r="A62" s="1354" t="s">
        <v>952</v>
      </c>
      <c r="B62" s="1570">
        <f>估价对象房地状况!C24</f>
        <v>0</v>
      </c>
      <c r="C62" s="1577" t="s">
        <v>960</v>
      </c>
      <c r="D62" s="1578">
        <f t="shared" si="17"/>
        <v>-0.00375</v>
      </c>
      <c r="E62" s="1583"/>
      <c r="F62" s="1580"/>
      <c r="G62" s="1581">
        <v>0.00375</v>
      </c>
      <c r="H62" s="1592">
        <f t="shared" si="22"/>
        <v>0.00375</v>
      </c>
      <c r="I62" s="1682">
        <v>0.05</v>
      </c>
      <c r="J62" s="1683">
        <f t="shared" si="18"/>
        <v>0.0075</v>
      </c>
      <c r="K62" s="1683">
        <f t="shared" si="19"/>
        <v>0.00375</v>
      </c>
      <c r="L62" s="1683">
        <v>0</v>
      </c>
      <c r="M62" s="1683">
        <f t="shared" si="20"/>
        <v>-0.00375</v>
      </c>
      <c r="N62" s="1683">
        <f t="shared" si="21"/>
        <v>-0.0075</v>
      </c>
      <c r="P62" s="1552"/>
      <c r="Q62" s="1552"/>
      <c r="R62" s="1698"/>
      <c r="S62" s="1698"/>
      <c r="T62" s="1698"/>
      <c r="U62" s="1698"/>
      <c r="V62" s="1698"/>
      <c r="W62" s="1552"/>
      <c r="X62" s="1552"/>
      <c r="Y62" s="1552"/>
      <c r="Z62" s="1552"/>
      <c r="AA62" s="1552"/>
      <c r="AB62" s="1552"/>
      <c r="AC62" s="1552"/>
      <c r="AD62" s="1698"/>
      <c r="AE62" s="1390"/>
      <c r="AF62" s="1390"/>
      <c r="AG62" s="1390"/>
      <c r="AH62" s="1390"/>
      <c r="AI62" s="1390"/>
      <c r="AJ62" s="1390"/>
      <c r="AK62" s="1390"/>
      <c r="AL62" s="1390"/>
      <c r="AM62" s="1390"/>
      <c r="AN62" s="1390"/>
    </row>
    <row r="63" s="1386" customFormat="1" ht="24" spans="1:40">
      <c r="A63" s="1354" t="s">
        <v>953</v>
      </c>
      <c r="B63" s="1585" t="s">
        <v>954</v>
      </c>
      <c r="C63" s="1577" t="s">
        <v>958</v>
      </c>
      <c r="D63" s="1578">
        <f t="shared" si="17"/>
        <v>0.00375</v>
      </c>
      <c r="E63" s="1583"/>
      <c r="F63" s="1580"/>
      <c r="G63" s="1581">
        <v>0.00375</v>
      </c>
      <c r="H63" s="1592">
        <f t="shared" si="22"/>
        <v>0.00375</v>
      </c>
      <c r="I63" s="1682">
        <v>0.05</v>
      </c>
      <c r="J63" s="1683">
        <f t="shared" si="18"/>
        <v>0.0075</v>
      </c>
      <c r="K63" s="1683">
        <f t="shared" si="19"/>
        <v>0.00375</v>
      </c>
      <c r="L63" s="1683">
        <v>0</v>
      </c>
      <c r="M63" s="1683">
        <f t="shared" si="20"/>
        <v>-0.00375</v>
      </c>
      <c r="N63" s="1683">
        <f t="shared" si="21"/>
        <v>-0.0075</v>
      </c>
      <c r="P63" s="1552"/>
      <c r="Q63" s="1552"/>
      <c r="R63" s="1698"/>
      <c r="S63" s="1698"/>
      <c r="T63" s="1698"/>
      <c r="U63" s="1698"/>
      <c r="V63" s="1698"/>
      <c r="W63" s="1552"/>
      <c r="X63" s="1552"/>
      <c r="Y63" s="1552"/>
      <c r="Z63" s="1552"/>
      <c r="AA63" s="1552"/>
      <c r="AB63" s="1552"/>
      <c r="AC63" s="1552"/>
      <c r="AD63" s="1698"/>
      <c r="AE63" s="1390"/>
      <c r="AF63" s="1390"/>
      <c r="AG63" s="1390"/>
      <c r="AH63" s="1390"/>
      <c r="AI63" s="1390"/>
      <c r="AJ63" s="1390"/>
      <c r="AK63" s="1390"/>
      <c r="AL63" s="1390"/>
      <c r="AM63" s="1390"/>
      <c r="AN63" s="1390"/>
    </row>
    <row r="64" s="1386" customFormat="1" ht="24" spans="1:40">
      <c r="A64" s="1354" t="s">
        <v>955</v>
      </c>
      <c r="B64" s="1587" t="str">
        <f>估价对象房地状况!C21</f>
        <v>估价对象所在区域公共配套设施齐备情况</v>
      </c>
      <c r="C64" s="1577" t="s">
        <v>959</v>
      </c>
      <c r="D64" s="1578">
        <f t="shared" si="17"/>
        <v>0</v>
      </c>
      <c r="E64" s="1583"/>
      <c r="F64" s="1580"/>
      <c r="G64" s="1581">
        <v>0.0045</v>
      </c>
      <c r="H64" s="1592">
        <f t="shared" si="22"/>
        <v>0.0045</v>
      </c>
      <c r="I64" s="1682">
        <v>0.06</v>
      </c>
      <c r="J64" s="1683">
        <f t="shared" si="18"/>
        <v>0.009</v>
      </c>
      <c r="K64" s="1683">
        <f t="shared" si="19"/>
        <v>0.0045</v>
      </c>
      <c r="L64" s="1683">
        <v>0</v>
      </c>
      <c r="M64" s="1683">
        <f t="shared" si="20"/>
        <v>-0.0045</v>
      </c>
      <c r="N64" s="1683">
        <f t="shared" si="21"/>
        <v>-0.009</v>
      </c>
      <c r="P64" s="1552"/>
      <c r="Q64" s="1552"/>
      <c r="R64" s="1698"/>
      <c r="S64" s="1698"/>
      <c r="T64" s="1698"/>
      <c r="U64" s="1698"/>
      <c r="V64" s="1698"/>
      <c r="W64" s="1552"/>
      <c r="X64" s="1552"/>
      <c r="Y64" s="1552"/>
      <c r="Z64" s="1552"/>
      <c r="AA64" s="1552"/>
      <c r="AB64" s="1552"/>
      <c r="AC64" s="1552"/>
      <c r="AD64" s="1698"/>
      <c r="AE64" s="1390"/>
      <c r="AF64" s="1390"/>
      <c r="AG64" s="1390"/>
      <c r="AH64" s="1390"/>
      <c r="AI64" s="1390"/>
      <c r="AJ64" s="1390"/>
      <c r="AK64" s="1390"/>
      <c r="AL64" s="1390"/>
      <c r="AM64" s="1390"/>
      <c r="AN64" s="1390"/>
    </row>
    <row r="65" s="1386" customFormat="1" ht="24" spans="1:40">
      <c r="A65" s="1354" t="s">
        <v>956</v>
      </c>
      <c r="B65" s="1587" t="str">
        <f>估价对象房地状况!C22</f>
        <v>估价对象所在区域基础设施水平</v>
      </c>
      <c r="C65" s="1577" t="s">
        <v>958</v>
      </c>
      <c r="D65" s="1578">
        <f t="shared" si="17"/>
        <v>0.009</v>
      </c>
      <c r="E65" s="1583"/>
      <c r="F65" s="1580"/>
      <c r="G65" s="1581">
        <v>0.009</v>
      </c>
      <c r="H65" s="1592">
        <f t="shared" si="22"/>
        <v>0.009</v>
      </c>
      <c r="I65" s="1682">
        <v>0.12</v>
      </c>
      <c r="J65" s="1683">
        <f t="shared" si="18"/>
        <v>0.018</v>
      </c>
      <c r="K65" s="1683">
        <f t="shared" si="19"/>
        <v>0.009</v>
      </c>
      <c r="L65" s="1683">
        <v>0</v>
      </c>
      <c r="M65" s="1683">
        <f t="shared" si="20"/>
        <v>-0.009</v>
      </c>
      <c r="N65" s="1683">
        <f t="shared" si="21"/>
        <v>-0.018</v>
      </c>
      <c r="P65" s="1552"/>
      <c r="Q65" s="1552"/>
      <c r="R65" s="1698"/>
      <c r="S65" s="1698"/>
      <c r="T65" s="1698"/>
      <c r="U65" s="1698"/>
      <c r="V65" s="1698"/>
      <c r="W65" s="1552"/>
      <c r="X65" s="1552"/>
      <c r="Y65" s="1552"/>
      <c r="Z65" s="1552"/>
      <c r="AA65" s="1552"/>
      <c r="AB65" s="1552"/>
      <c r="AC65" s="1552"/>
      <c r="AD65" s="1698"/>
      <c r="AE65" s="1390"/>
      <c r="AF65" s="1390"/>
      <c r="AG65" s="1390"/>
      <c r="AH65" s="1390"/>
      <c r="AI65" s="1390"/>
      <c r="AJ65" s="1390"/>
      <c r="AK65" s="1390"/>
      <c r="AL65" s="1390"/>
      <c r="AM65" s="1390"/>
      <c r="AN65" s="1390"/>
    </row>
    <row r="66" s="1386" customFormat="1" ht="24.75" spans="1:40">
      <c r="A66" s="1588" t="s">
        <v>957</v>
      </c>
      <c r="B66" s="1711" t="str">
        <f>估价对象房地状况!C20</f>
        <v>区域自然环境：；人文环境；综合评价环境状况一般</v>
      </c>
      <c r="C66" s="1577" t="s">
        <v>959</v>
      </c>
      <c r="D66" s="1578">
        <f t="shared" si="17"/>
        <v>0</v>
      </c>
      <c r="E66" s="1590"/>
      <c r="F66" s="1580"/>
      <c r="G66" s="1581">
        <v>0.0045</v>
      </c>
      <c r="H66" s="1592">
        <f t="shared" si="22"/>
        <v>0.0045</v>
      </c>
      <c r="I66" s="1684">
        <v>0.06</v>
      </c>
      <c r="J66" s="1683">
        <f t="shared" si="18"/>
        <v>0.009</v>
      </c>
      <c r="K66" s="1683">
        <f t="shared" si="19"/>
        <v>0.0045</v>
      </c>
      <c r="L66" s="1683">
        <v>0</v>
      </c>
      <c r="M66" s="1683">
        <f t="shared" si="20"/>
        <v>-0.0045</v>
      </c>
      <c r="N66" s="1683">
        <f t="shared" si="21"/>
        <v>-0.009</v>
      </c>
      <c r="P66" s="1552"/>
      <c r="Q66" s="1552"/>
      <c r="R66" s="1698"/>
      <c r="S66" s="1698"/>
      <c r="T66" s="1698"/>
      <c r="U66" s="1698"/>
      <c r="V66" s="1698"/>
      <c r="W66" s="1552"/>
      <c r="X66" s="1552"/>
      <c r="Y66" s="1552"/>
      <c r="Z66" s="1552"/>
      <c r="AA66" s="1552"/>
      <c r="AB66" s="1552"/>
      <c r="AC66" s="1552"/>
      <c r="AD66" s="1698"/>
      <c r="AE66" s="1390"/>
      <c r="AF66" s="1390"/>
      <c r="AG66" s="1390"/>
      <c r="AH66" s="1390"/>
      <c r="AI66" s="1390"/>
      <c r="AJ66" s="1390"/>
      <c r="AK66" s="1390"/>
      <c r="AL66" s="1390"/>
      <c r="AM66" s="1390"/>
      <c r="AN66" s="1390"/>
    </row>
    <row r="67" s="1386" customFormat="1" ht="15" spans="1:40">
      <c r="A67" s="1564" t="s">
        <v>375</v>
      </c>
      <c r="B67" s="1565">
        <f>1+E69</f>
        <v>1</v>
      </c>
      <c r="C67" s="1591"/>
      <c r="D67" s="1567"/>
      <c r="E67" s="1568"/>
      <c r="F67" s="1569"/>
      <c r="G67" s="1563"/>
      <c r="H67" s="1563"/>
      <c r="I67" s="1563"/>
      <c r="J67" s="1302"/>
      <c r="K67" s="1302"/>
      <c r="L67" s="1302"/>
      <c r="M67" s="1302"/>
      <c r="N67" s="1302"/>
      <c r="P67" s="1552"/>
      <c r="Q67" s="1552"/>
      <c r="R67" s="1698"/>
      <c r="S67" s="1698"/>
      <c r="T67" s="1698"/>
      <c r="U67" s="1698"/>
      <c r="V67" s="1698"/>
      <c r="W67" s="1552"/>
      <c r="X67" s="1552"/>
      <c r="Y67" s="1552"/>
      <c r="Z67" s="1552"/>
      <c r="AA67" s="1552"/>
      <c r="AB67" s="1552"/>
      <c r="AC67" s="1552"/>
      <c r="AD67" s="1698"/>
      <c r="AE67" s="1390"/>
      <c r="AF67" s="1390"/>
      <c r="AG67" s="1390"/>
      <c r="AH67" s="1390"/>
      <c r="AI67" s="1390"/>
      <c r="AJ67" s="1390"/>
      <c r="AK67" s="1390"/>
      <c r="AL67" s="1390"/>
      <c r="AM67" s="1390"/>
      <c r="AN67" s="1390"/>
    </row>
    <row r="68" s="1386" customFormat="1" ht="24" spans="1:40">
      <c r="A68" s="1354" t="s">
        <v>940</v>
      </c>
      <c r="B68" s="1570"/>
      <c r="C68" s="1571" t="s">
        <v>942</v>
      </c>
      <c r="D68" s="1572" t="s">
        <v>943</v>
      </c>
      <c r="E68" s="1573" t="s">
        <v>944</v>
      </c>
      <c r="F68" s="1574" t="s">
        <v>945</v>
      </c>
      <c r="G68" s="1572" t="s">
        <v>946</v>
      </c>
      <c r="H68" s="1575" t="s">
        <v>947</v>
      </c>
      <c r="I68" s="1572" t="s">
        <v>948</v>
      </c>
      <c r="J68" s="1681" t="s">
        <v>250</v>
      </c>
      <c r="K68" s="1681" t="s">
        <v>262</v>
      </c>
      <c r="L68" s="1681" t="s">
        <v>272</v>
      </c>
      <c r="M68" s="1681" t="s">
        <v>282</v>
      </c>
      <c r="N68" s="1681" t="s">
        <v>289</v>
      </c>
      <c r="P68" s="1552"/>
      <c r="Q68" s="1552"/>
      <c r="R68" s="1698"/>
      <c r="S68" s="1698"/>
      <c r="T68" s="1698"/>
      <c r="U68" s="1698"/>
      <c r="V68" s="1698"/>
      <c r="W68" s="1552"/>
      <c r="X68" s="1552"/>
      <c r="Y68" s="1552"/>
      <c r="Z68" s="1552"/>
      <c r="AA68" s="1552"/>
      <c r="AB68" s="1552"/>
      <c r="AC68" s="1552"/>
      <c r="AD68" s="1698"/>
      <c r="AE68" s="1390"/>
      <c r="AF68" s="1390"/>
      <c r="AG68" s="1390"/>
      <c r="AH68" s="1390"/>
      <c r="AI68" s="1390"/>
      <c r="AJ68" s="1390"/>
      <c r="AK68" s="1390"/>
      <c r="AL68" s="1390"/>
      <c r="AM68" s="1390"/>
      <c r="AN68" s="1390"/>
    </row>
    <row r="69" s="1386" customFormat="1" ht="48" spans="1:40">
      <c r="A69" s="1354" t="s">
        <v>679</v>
      </c>
      <c r="B69" s="1576" t="str">
        <f>估价对象房地状况!C15</f>
        <v>估价对象周边居住用地比例、居住小区规模和社区发展完善程度，综合评价居住社区成熟度一般</v>
      </c>
      <c r="C69" s="1712"/>
      <c r="D69" s="1578">
        <f t="shared" ref="D69:D77" si="23">SUMIF($J$68:$N$68,C69,J69:N69)</f>
        <v>0</v>
      </c>
      <c r="E69" s="1579">
        <f>ROUND(SUM(D69:D77),4)</f>
        <v>0</v>
      </c>
      <c r="F69" s="1580" t="str">
        <f>IF(E2="住宅",SUMIF(L1:L12,G2,N1:N12),"——")</f>
        <v>——</v>
      </c>
      <c r="G69" s="1713"/>
      <c r="H69" s="1714" t="str">
        <f t="shared" ref="H69:H77" si="24">IFERROR(ROUNDDOWN($F$69*I69/2,4),"——")</f>
        <v>——</v>
      </c>
      <c r="I69" s="1682">
        <v>0.14</v>
      </c>
      <c r="J69" s="1683">
        <f t="shared" ref="J69:J77" si="25">K69+$G69</f>
        <v>0</v>
      </c>
      <c r="K69" s="1683">
        <f t="shared" ref="K69:K77" si="26">$L69+$G69</f>
        <v>0</v>
      </c>
      <c r="L69" s="1683">
        <v>0</v>
      </c>
      <c r="M69" s="1683">
        <f t="shared" ref="M69:M77" si="27">L69-$G69</f>
        <v>0</v>
      </c>
      <c r="N69" s="1683">
        <f t="shared" ref="N69:N77" si="28">M69-$G69</f>
        <v>0</v>
      </c>
      <c r="P69" s="1552"/>
      <c r="Q69" s="1552"/>
      <c r="R69" s="1698"/>
      <c r="S69" s="1698"/>
      <c r="T69" s="1698"/>
      <c r="U69" s="1698"/>
      <c r="V69" s="1698"/>
      <c r="W69" s="1552"/>
      <c r="X69" s="1552"/>
      <c r="Y69" s="1552"/>
      <c r="Z69" s="1552"/>
      <c r="AA69" s="1552"/>
      <c r="AB69" s="1552"/>
      <c r="AC69" s="1552"/>
      <c r="AD69" s="1698"/>
      <c r="AE69" s="1390"/>
      <c r="AF69" s="1390"/>
      <c r="AG69" s="1390"/>
      <c r="AH69" s="1390"/>
      <c r="AI69" s="1390"/>
      <c r="AJ69" s="1390"/>
      <c r="AK69" s="1390"/>
      <c r="AL69" s="1390"/>
      <c r="AM69" s="1390"/>
      <c r="AN69" s="1390"/>
    </row>
    <row r="70" s="1386" customFormat="1" ht="48" spans="1:40">
      <c r="A70" s="1354" t="s">
        <v>685</v>
      </c>
      <c r="B70" s="1570" t="str">
        <f>估价对象房地状况!C18</f>
        <v>估价对象周边道路状况、公共交通通达情况、停车便捷程度，综合评价交通便捷度较好</v>
      </c>
      <c r="C70" s="1712"/>
      <c r="D70" s="1578">
        <f t="shared" si="23"/>
        <v>0</v>
      </c>
      <c r="E70" s="1715"/>
      <c r="F70" s="1716"/>
      <c r="G70" s="1713"/>
      <c r="H70" s="1714" t="str">
        <f t="shared" si="24"/>
        <v>——</v>
      </c>
      <c r="I70" s="1682">
        <v>0.3</v>
      </c>
      <c r="J70" s="1683">
        <f t="shared" si="25"/>
        <v>0</v>
      </c>
      <c r="K70" s="1683">
        <f t="shared" si="26"/>
        <v>0</v>
      </c>
      <c r="L70" s="1683">
        <v>0</v>
      </c>
      <c r="M70" s="1683">
        <f t="shared" si="27"/>
        <v>0</v>
      </c>
      <c r="N70" s="1683">
        <f t="shared" si="28"/>
        <v>0</v>
      </c>
      <c r="P70" s="1552"/>
      <c r="Q70" s="1552"/>
      <c r="R70" s="1698"/>
      <c r="S70" s="1698"/>
      <c r="T70" s="1698"/>
      <c r="U70" s="1698"/>
      <c r="V70" s="1698"/>
      <c r="W70" s="1552"/>
      <c r="X70" s="1552"/>
      <c r="Y70" s="1552"/>
      <c r="Z70" s="1552"/>
      <c r="AA70" s="1552"/>
      <c r="AB70" s="1552"/>
      <c r="AC70" s="1552"/>
      <c r="AD70" s="1698"/>
      <c r="AE70" s="1390"/>
      <c r="AF70" s="1390"/>
      <c r="AG70" s="1390"/>
      <c r="AH70" s="1390"/>
      <c r="AI70" s="1390"/>
      <c r="AJ70" s="1390"/>
      <c r="AK70" s="1390"/>
      <c r="AL70" s="1390"/>
      <c r="AM70" s="1390"/>
      <c r="AN70" s="1390"/>
    </row>
    <row r="71" s="1386" customFormat="1" ht="24" spans="1:40">
      <c r="A71" s="1354" t="s">
        <v>697</v>
      </c>
      <c r="B71" s="1570">
        <f>估价对象房地状况!C19</f>
        <v>0</v>
      </c>
      <c r="C71" s="1712"/>
      <c r="D71" s="1578">
        <f t="shared" si="23"/>
        <v>0</v>
      </c>
      <c r="E71" s="1715"/>
      <c r="F71" s="1716"/>
      <c r="G71" s="1713"/>
      <c r="H71" s="1714" t="str">
        <f t="shared" si="24"/>
        <v>——</v>
      </c>
      <c r="I71" s="1682">
        <v>0.08</v>
      </c>
      <c r="J71" s="1683">
        <f t="shared" si="25"/>
        <v>0</v>
      </c>
      <c r="K71" s="1683">
        <f t="shared" si="26"/>
        <v>0</v>
      </c>
      <c r="L71" s="1683">
        <v>0</v>
      </c>
      <c r="M71" s="1683">
        <f t="shared" si="27"/>
        <v>0</v>
      </c>
      <c r="N71" s="1683">
        <f t="shared" si="28"/>
        <v>0</v>
      </c>
      <c r="P71" s="1552"/>
      <c r="Q71" s="1552"/>
      <c r="R71" s="1698"/>
      <c r="S71" s="1698"/>
      <c r="T71" s="1698"/>
      <c r="U71" s="1698"/>
      <c r="V71" s="1698"/>
      <c r="W71" s="1552"/>
      <c r="X71" s="1552"/>
      <c r="Y71" s="1552"/>
      <c r="Z71" s="1552"/>
      <c r="AA71" s="1552"/>
      <c r="AB71" s="1552"/>
      <c r="AC71" s="1552"/>
      <c r="AD71" s="1698"/>
      <c r="AE71" s="1390"/>
      <c r="AF71" s="1390"/>
      <c r="AG71" s="1390"/>
      <c r="AH71" s="1390"/>
      <c r="AI71" s="1390"/>
      <c r="AJ71" s="1390"/>
      <c r="AK71" s="1390"/>
      <c r="AL71" s="1390"/>
      <c r="AM71" s="1390"/>
      <c r="AN71" s="1390"/>
    </row>
    <row r="72" s="1386" customFormat="1" ht="14.25" spans="1:40">
      <c r="A72" s="1354" t="s">
        <v>961</v>
      </c>
      <c r="B72" s="1570">
        <f>估价对象房地状况!C24</f>
        <v>0</v>
      </c>
      <c r="C72" s="1712"/>
      <c r="D72" s="1578">
        <f t="shared" si="23"/>
        <v>0</v>
      </c>
      <c r="E72" s="1715"/>
      <c r="F72" s="1716"/>
      <c r="G72" s="1713"/>
      <c r="H72" s="1714" t="str">
        <f t="shared" si="24"/>
        <v>——</v>
      </c>
      <c r="I72" s="1682">
        <v>0.04</v>
      </c>
      <c r="J72" s="1683">
        <f t="shared" si="25"/>
        <v>0</v>
      </c>
      <c r="K72" s="1683">
        <f t="shared" si="26"/>
        <v>0</v>
      </c>
      <c r="L72" s="1683">
        <v>0</v>
      </c>
      <c r="M72" s="1683">
        <f t="shared" si="27"/>
        <v>0</v>
      </c>
      <c r="N72" s="1683">
        <f t="shared" si="28"/>
        <v>0</v>
      </c>
      <c r="P72" s="1552"/>
      <c r="Q72" s="1552"/>
      <c r="R72" s="1698"/>
      <c r="S72" s="1698"/>
      <c r="T72" s="1698"/>
      <c r="U72" s="1698"/>
      <c r="V72" s="1698"/>
      <c r="W72" s="1552"/>
      <c r="X72" s="1552"/>
      <c r="Y72" s="1552"/>
      <c r="Z72" s="1552"/>
      <c r="AA72" s="1552"/>
      <c r="AB72" s="1552"/>
      <c r="AC72" s="1552"/>
      <c r="AD72" s="1698"/>
      <c r="AE72" s="1390"/>
      <c r="AF72" s="1390"/>
      <c r="AG72" s="1390"/>
      <c r="AH72" s="1390"/>
      <c r="AI72" s="1390"/>
      <c r="AJ72" s="1390"/>
      <c r="AK72" s="1390"/>
      <c r="AL72" s="1390"/>
      <c r="AM72" s="1390"/>
      <c r="AN72" s="1390"/>
    </row>
    <row r="73" s="1386" customFormat="1" ht="24" spans="1:40">
      <c r="A73" s="1354" t="s">
        <v>955</v>
      </c>
      <c r="B73" s="1587" t="str">
        <f>估价对象房地状况!C21</f>
        <v>估价对象所在区域公共配套设施齐备情况</v>
      </c>
      <c r="C73" s="1712"/>
      <c r="D73" s="1578">
        <f t="shared" si="23"/>
        <v>0</v>
      </c>
      <c r="E73" s="1715"/>
      <c r="F73" s="1716"/>
      <c r="G73" s="1713"/>
      <c r="H73" s="1714" t="str">
        <f t="shared" si="24"/>
        <v>——</v>
      </c>
      <c r="I73" s="1682">
        <v>0.08</v>
      </c>
      <c r="J73" s="1683">
        <f t="shared" si="25"/>
        <v>0</v>
      </c>
      <c r="K73" s="1683">
        <f t="shared" si="26"/>
        <v>0</v>
      </c>
      <c r="L73" s="1683">
        <v>0</v>
      </c>
      <c r="M73" s="1683">
        <f t="shared" si="27"/>
        <v>0</v>
      </c>
      <c r="N73" s="1683">
        <f t="shared" si="28"/>
        <v>0</v>
      </c>
      <c r="P73" s="1552"/>
      <c r="Q73" s="1552"/>
      <c r="R73" s="1698"/>
      <c r="S73" s="1698"/>
      <c r="T73" s="1698"/>
      <c r="U73" s="1698"/>
      <c r="V73" s="1698"/>
      <c r="W73" s="1552"/>
      <c r="X73" s="1552"/>
      <c r="Y73" s="1552"/>
      <c r="Z73" s="1552"/>
      <c r="AA73" s="1552"/>
      <c r="AB73" s="1552"/>
      <c r="AC73" s="1552"/>
      <c r="AD73" s="1698"/>
      <c r="AE73" s="1390"/>
      <c r="AF73" s="1390"/>
      <c r="AG73" s="1390"/>
      <c r="AH73" s="1390"/>
      <c r="AI73" s="1390"/>
      <c r="AJ73" s="1390"/>
      <c r="AK73" s="1390"/>
      <c r="AL73" s="1390"/>
      <c r="AM73" s="1390"/>
      <c r="AN73" s="1390"/>
    </row>
    <row r="74" s="1386" customFormat="1" ht="24" spans="1:40">
      <c r="A74" s="1354" t="s">
        <v>956</v>
      </c>
      <c r="B74" s="1587" t="str">
        <f>估价对象房地状况!C22</f>
        <v>估价对象所在区域基础设施水平</v>
      </c>
      <c r="C74" s="1712"/>
      <c r="D74" s="1578">
        <f t="shared" si="23"/>
        <v>0</v>
      </c>
      <c r="E74" s="1715"/>
      <c r="F74" s="1716"/>
      <c r="G74" s="1713"/>
      <c r="H74" s="1714" t="str">
        <f t="shared" si="24"/>
        <v>——</v>
      </c>
      <c r="I74" s="1682">
        <v>0.12</v>
      </c>
      <c r="J74" s="1683">
        <f t="shared" si="25"/>
        <v>0</v>
      </c>
      <c r="K74" s="1683">
        <f t="shared" si="26"/>
        <v>0</v>
      </c>
      <c r="L74" s="1683">
        <v>0</v>
      </c>
      <c r="M74" s="1683">
        <f t="shared" si="27"/>
        <v>0</v>
      </c>
      <c r="N74" s="1683">
        <f t="shared" si="28"/>
        <v>0</v>
      </c>
      <c r="P74" s="1552"/>
      <c r="Q74" s="1552"/>
      <c r="R74" s="1698"/>
      <c r="S74" s="1698"/>
      <c r="T74" s="1698"/>
      <c r="U74" s="1698"/>
      <c r="V74" s="1698"/>
      <c r="W74" s="1552"/>
      <c r="X74" s="1552"/>
      <c r="Y74" s="1552"/>
      <c r="Z74" s="1552"/>
      <c r="AA74" s="1552"/>
      <c r="AB74" s="1552"/>
      <c r="AC74" s="1552"/>
      <c r="AD74" s="1698"/>
      <c r="AE74" s="1390"/>
      <c r="AF74" s="1390"/>
      <c r="AG74" s="1390"/>
      <c r="AH74" s="1390"/>
      <c r="AI74" s="1390"/>
      <c r="AJ74" s="1390"/>
      <c r="AK74" s="1390"/>
      <c r="AL74" s="1390"/>
      <c r="AM74" s="1390"/>
      <c r="AN74" s="1390"/>
    </row>
    <row r="75" s="1386" customFormat="1" ht="24" spans="1:40">
      <c r="A75" s="1354" t="s">
        <v>953</v>
      </c>
      <c r="B75" s="1585" t="s">
        <v>954</v>
      </c>
      <c r="C75" s="1712"/>
      <c r="D75" s="1578">
        <f t="shared" si="23"/>
        <v>0</v>
      </c>
      <c r="E75" s="1715"/>
      <c r="F75" s="1716"/>
      <c r="G75" s="1713"/>
      <c r="H75" s="1714" t="str">
        <f t="shared" si="24"/>
        <v>——</v>
      </c>
      <c r="I75" s="1682">
        <v>0.05</v>
      </c>
      <c r="J75" s="1683">
        <f t="shared" si="25"/>
        <v>0</v>
      </c>
      <c r="K75" s="1683">
        <f t="shared" si="26"/>
        <v>0</v>
      </c>
      <c r="L75" s="1683">
        <v>0</v>
      </c>
      <c r="M75" s="1683">
        <f t="shared" si="27"/>
        <v>0</v>
      </c>
      <c r="N75" s="1683">
        <f t="shared" si="28"/>
        <v>0</v>
      </c>
      <c r="P75" s="1552"/>
      <c r="Q75" s="1552"/>
      <c r="R75" s="1698"/>
      <c r="S75" s="1698"/>
      <c r="T75" s="1698"/>
      <c r="U75" s="1698"/>
      <c r="V75" s="1698"/>
      <c r="W75" s="1552"/>
      <c r="X75" s="1552"/>
      <c r="Y75" s="1552"/>
      <c r="Z75" s="1552"/>
      <c r="AA75" s="1552"/>
      <c r="AB75" s="1552"/>
      <c r="AC75" s="1552"/>
      <c r="AD75" s="1698"/>
      <c r="AE75" s="1390"/>
      <c r="AF75" s="1390"/>
      <c r="AG75" s="1390"/>
      <c r="AH75" s="1390"/>
      <c r="AI75" s="1390"/>
      <c r="AJ75" s="1390"/>
      <c r="AK75" s="1390"/>
      <c r="AL75" s="1390"/>
      <c r="AM75" s="1390"/>
      <c r="AN75" s="1390"/>
    </row>
    <row r="76" ht="24" spans="1:40">
      <c r="A76" s="1354" t="s">
        <v>957</v>
      </c>
      <c r="B76" s="1576" t="str">
        <f>估价对象房地状况!C20</f>
        <v>区域自然环境：；人文环境；综合评价环境状况一般</v>
      </c>
      <c r="C76" s="1712"/>
      <c r="D76" s="1578">
        <f t="shared" si="23"/>
        <v>0</v>
      </c>
      <c r="E76" s="1715"/>
      <c r="F76" s="1716"/>
      <c r="G76" s="1713"/>
      <c r="H76" s="1714" t="str">
        <f t="shared" si="24"/>
        <v>——</v>
      </c>
      <c r="I76" s="1682">
        <v>0.15</v>
      </c>
      <c r="J76" s="1683">
        <f t="shared" si="25"/>
        <v>0</v>
      </c>
      <c r="K76" s="1683">
        <f t="shared" si="26"/>
        <v>0</v>
      </c>
      <c r="L76" s="1683">
        <v>0</v>
      </c>
      <c r="M76" s="1683">
        <f t="shared" si="27"/>
        <v>0</v>
      </c>
      <c r="N76" s="1683">
        <f t="shared" si="28"/>
        <v>0</v>
      </c>
      <c r="P76" s="1746"/>
      <c r="Q76" s="1746"/>
      <c r="R76" s="1752"/>
      <c r="S76" s="1752"/>
      <c r="T76" s="1752"/>
      <c r="U76" s="1752"/>
      <c r="V76" s="1752"/>
      <c r="W76" s="1746"/>
      <c r="X76" s="1746"/>
      <c r="Y76" s="1746"/>
      <c r="Z76" s="1746"/>
      <c r="AA76" s="1746"/>
      <c r="AB76" s="1746"/>
      <c r="AC76" s="1746"/>
      <c r="AD76" s="1752"/>
      <c r="AJ76" s="1390"/>
      <c r="AN76" s="1387"/>
    </row>
    <row r="77" ht="24.75" spans="1:40">
      <c r="A77" s="1588" t="s">
        <v>962</v>
      </c>
      <c r="B77" s="1717"/>
      <c r="C77" s="1712"/>
      <c r="D77" s="1578">
        <f t="shared" si="23"/>
        <v>0</v>
      </c>
      <c r="E77" s="1657"/>
      <c r="F77" s="1716"/>
      <c r="G77" s="1713"/>
      <c r="H77" s="1714" t="str">
        <f t="shared" si="24"/>
        <v>——</v>
      </c>
      <c r="I77" s="1684">
        <v>0.04</v>
      </c>
      <c r="J77" s="1683">
        <f t="shared" si="25"/>
        <v>0</v>
      </c>
      <c r="K77" s="1683">
        <f t="shared" si="26"/>
        <v>0</v>
      </c>
      <c r="L77" s="1683">
        <v>0</v>
      </c>
      <c r="M77" s="1683">
        <f t="shared" si="27"/>
        <v>0</v>
      </c>
      <c r="N77" s="1683">
        <f t="shared" si="28"/>
        <v>0</v>
      </c>
      <c r="AC77" s="1389"/>
      <c r="AD77" s="1387"/>
      <c r="AJ77" s="1390"/>
      <c r="AN77" s="1387"/>
    </row>
    <row r="78" ht="15" spans="1:40">
      <c r="A78" s="1564" t="s">
        <v>164</v>
      </c>
      <c r="B78" s="1565">
        <f>1+E80</f>
        <v>1</v>
      </c>
      <c r="C78" s="1591"/>
      <c r="D78" s="1567"/>
      <c r="E78" s="1568"/>
      <c r="F78" s="1569"/>
      <c r="G78" s="1563"/>
      <c r="H78" s="1563"/>
      <c r="I78" s="1563"/>
      <c r="J78" s="1302"/>
      <c r="K78" s="1302"/>
      <c r="L78" s="1302"/>
      <c r="M78" s="1302"/>
      <c r="N78" s="1302"/>
      <c r="AC78" s="1389"/>
      <c r="AD78" s="1387"/>
      <c r="AJ78" s="1390"/>
      <c r="AN78" s="1387"/>
    </row>
    <row r="79" ht="24" spans="1:40">
      <c r="A79" s="1354" t="s">
        <v>940</v>
      </c>
      <c r="B79" s="1570"/>
      <c r="C79" s="1571" t="s">
        <v>942</v>
      </c>
      <c r="D79" s="1572" t="s">
        <v>943</v>
      </c>
      <c r="E79" s="1573" t="s">
        <v>944</v>
      </c>
      <c r="F79" s="1574" t="s">
        <v>945</v>
      </c>
      <c r="G79" s="1572" t="s">
        <v>946</v>
      </c>
      <c r="H79" s="1575" t="s">
        <v>947</v>
      </c>
      <c r="I79" s="1572" t="s">
        <v>948</v>
      </c>
      <c r="J79" s="1681" t="s">
        <v>250</v>
      </c>
      <c r="K79" s="1681" t="s">
        <v>262</v>
      </c>
      <c r="L79" s="1681" t="s">
        <v>272</v>
      </c>
      <c r="M79" s="1681" t="s">
        <v>282</v>
      </c>
      <c r="N79" s="1681" t="s">
        <v>289</v>
      </c>
      <c r="AC79" s="1389"/>
      <c r="AD79" s="1387"/>
      <c r="AJ79" s="1390"/>
      <c r="AN79" s="1387"/>
    </row>
    <row r="80" ht="36" spans="1:40">
      <c r="A80" s="1354" t="s">
        <v>681</v>
      </c>
      <c r="B80" s="1570" t="str">
        <f>估价对象房地状况!G15</f>
        <v>估价对象位于XX开发区，园区建设成熟度XX，产业集聚程度XX</v>
      </c>
      <c r="C80" s="1577"/>
      <c r="D80" s="1578">
        <f t="shared" ref="D80:D87" si="29">SUMIF($J$79:$N$79,C80,J80:N80)</f>
        <v>0</v>
      </c>
      <c r="E80" s="1579">
        <f>ROUND(SUM(D80:D87),4)</f>
        <v>0</v>
      </c>
      <c r="F80" s="1580" t="str">
        <f>IF(E2="工业",SUMIF(L1:L12,G2,N1:N12),"——")</f>
        <v>——</v>
      </c>
      <c r="G80" s="1581"/>
      <c r="H80" s="1582" t="str">
        <f t="shared" ref="H80:H87" si="30">IFERROR(ROUNDDOWN($F$80*I80/2,4),"——")</f>
        <v>——</v>
      </c>
      <c r="I80" s="1682">
        <v>0.26</v>
      </c>
      <c r="J80" s="1683">
        <f t="shared" ref="J80:J87" si="31">K80+$G80</f>
        <v>0</v>
      </c>
      <c r="K80" s="1683">
        <f t="shared" ref="K80:K87" si="32">$L80+$G80</f>
        <v>0</v>
      </c>
      <c r="L80" s="1683">
        <v>0</v>
      </c>
      <c r="M80" s="1683">
        <f t="shared" ref="M80:M87" si="33">L80-$G80</f>
        <v>0</v>
      </c>
      <c r="N80" s="1683">
        <f t="shared" ref="N80:N87" si="34">M80-$G80</f>
        <v>0</v>
      </c>
      <c r="AC80" s="1389"/>
      <c r="AD80" s="1387"/>
      <c r="AJ80" s="1390"/>
      <c r="AN80" s="1387"/>
    </row>
    <row r="81" ht="48" spans="1:40">
      <c r="A81" s="1354" t="s">
        <v>685</v>
      </c>
      <c r="B81" s="1570" t="str">
        <f>估价对象房地状况!G16</f>
        <v>估价对象周边道路状况、公共交通通达情况、停车便捷程度，综合评价交通便捷度较好</v>
      </c>
      <c r="C81" s="1577"/>
      <c r="D81" s="1578">
        <f t="shared" si="29"/>
        <v>0</v>
      </c>
      <c r="E81" s="1715"/>
      <c r="F81" s="1716"/>
      <c r="G81" s="1581"/>
      <c r="H81" s="1582" t="str">
        <f t="shared" si="30"/>
        <v>——</v>
      </c>
      <c r="I81" s="1682">
        <v>0.33</v>
      </c>
      <c r="J81" s="1683">
        <f t="shared" si="31"/>
        <v>0</v>
      </c>
      <c r="K81" s="1683">
        <f t="shared" si="32"/>
        <v>0</v>
      </c>
      <c r="L81" s="1683">
        <v>0</v>
      </c>
      <c r="M81" s="1683">
        <f t="shared" si="33"/>
        <v>0</v>
      </c>
      <c r="N81" s="1683">
        <f t="shared" si="34"/>
        <v>0</v>
      </c>
      <c r="AC81" s="1389"/>
      <c r="AD81" s="1387"/>
      <c r="AJ81" s="1390"/>
      <c r="AN81" s="1387"/>
    </row>
    <row r="82" ht="24" spans="1:40">
      <c r="A82" s="1354" t="s">
        <v>697</v>
      </c>
      <c r="B82" s="1570">
        <f>估价对象房地状况!G17</f>
        <v>0</v>
      </c>
      <c r="C82" s="1577"/>
      <c r="D82" s="1578">
        <f t="shared" si="29"/>
        <v>0</v>
      </c>
      <c r="E82" s="1715"/>
      <c r="F82" s="1716"/>
      <c r="G82" s="1581"/>
      <c r="H82" s="1582" t="str">
        <f t="shared" si="30"/>
        <v>——</v>
      </c>
      <c r="I82" s="1682">
        <v>0.05</v>
      </c>
      <c r="J82" s="1683">
        <f t="shared" si="31"/>
        <v>0</v>
      </c>
      <c r="K82" s="1683">
        <f t="shared" si="32"/>
        <v>0</v>
      </c>
      <c r="L82" s="1683">
        <v>0</v>
      </c>
      <c r="M82" s="1683">
        <f t="shared" si="33"/>
        <v>0</v>
      </c>
      <c r="N82" s="1683">
        <f t="shared" si="34"/>
        <v>0</v>
      </c>
      <c r="AC82" s="1389"/>
      <c r="AD82" s="1387"/>
      <c r="AJ82" s="1390"/>
      <c r="AN82" s="1387"/>
    </row>
    <row r="83" ht="14.25" spans="1:40">
      <c r="A83" s="1354" t="s">
        <v>961</v>
      </c>
      <c r="B83" s="1570">
        <f>估价对象房地状况!G22</f>
        <v>0</v>
      </c>
      <c r="C83" s="1577"/>
      <c r="D83" s="1578">
        <f t="shared" si="29"/>
        <v>0</v>
      </c>
      <c r="E83" s="1715"/>
      <c r="F83" s="1716"/>
      <c r="G83" s="1581"/>
      <c r="H83" s="1582" t="str">
        <f t="shared" si="30"/>
        <v>——</v>
      </c>
      <c r="I83" s="1682">
        <v>0.04</v>
      </c>
      <c r="J83" s="1683">
        <f t="shared" si="31"/>
        <v>0</v>
      </c>
      <c r="K83" s="1683">
        <f t="shared" si="32"/>
        <v>0</v>
      </c>
      <c r="L83" s="1683">
        <v>0</v>
      </c>
      <c r="M83" s="1683">
        <f t="shared" si="33"/>
        <v>0</v>
      </c>
      <c r="N83" s="1683">
        <f t="shared" si="34"/>
        <v>0</v>
      </c>
      <c r="AC83" s="1389"/>
      <c r="AD83" s="1387"/>
      <c r="AJ83" s="1390"/>
      <c r="AN83" s="1387"/>
    </row>
    <row r="84" ht="24" spans="1:40">
      <c r="A84" s="1354" t="s">
        <v>955</v>
      </c>
      <c r="B84" s="1587" t="str">
        <f>估价对象房地状况!G19</f>
        <v>估价对象所在区域公共配套设施齐备情况</v>
      </c>
      <c r="C84" s="1577"/>
      <c r="D84" s="1578">
        <f t="shared" si="29"/>
        <v>0</v>
      </c>
      <c r="E84" s="1715"/>
      <c r="F84" s="1716"/>
      <c r="G84" s="1581"/>
      <c r="H84" s="1582" t="str">
        <f t="shared" si="30"/>
        <v>——</v>
      </c>
      <c r="I84" s="1682">
        <v>0.06</v>
      </c>
      <c r="J84" s="1683">
        <f t="shared" si="31"/>
        <v>0</v>
      </c>
      <c r="K84" s="1683">
        <f t="shared" si="32"/>
        <v>0</v>
      </c>
      <c r="L84" s="1683">
        <v>0</v>
      </c>
      <c r="M84" s="1683">
        <f t="shared" si="33"/>
        <v>0</v>
      </c>
      <c r="N84" s="1683">
        <f t="shared" si="34"/>
        <v>0</v>
      </c>
      <c r="AC84" s="1389"/>
      <c r="AD84" s="1387"/>
      <c r="AJ84" s="1390"/>
      <c r="AN84" s="1387"/>
    </row>
    <row r="85" ht="24" spans="1:40">
      <c r="A85" s="1354" t="s">
        <v>956</v>
      </c>
      <c r="B85" s="1587" t="str">
        <f>估价对象房地状况!G20</f>
        <v>估价对象所在区域基础设施水平</v>
      </c>
      <c r="C85" s="1577"/>
      <c r="D85" s="1578">
        <f t="shared" si="29"/>
        <v>0</v>
      </c>
      <c r="E85" s="1715"/>
      <c r="F85" s="1716"/>
      <c r="G85" s="1581"/>
      <c r="H85" s="1582" t="str">
        <f t="shared" si="30"/>
        <v>——</v>
      </c>
      <c r="I85" s="1682">
        <v>0.15</v>
      </c>
      <c r="J85" s="1683">
        <f t="shared" si="31"/>
        <v>0</v>
      </c>
      <c r="K85" s="1683">
        <f t="shared" si="32"/>
        <v>0</v>
      </c>
      <c r="L85" s="1683">
        <v>0</v>
      </c>
      <c r="M85" s="1683">
        <f t="shared" si="33"/>
        <v>0</v>
      </c>
      <c r="N85" s="1683">
        <f t="shared" si="34"/>
        <v>0</v>
      </c>
      <c r="AC85" s="1389"/>
      <c r="AD85" s="1387"/>
      <c r="AJ85" s="1390"/>
      <c r="AN85" s="1387"/>
    </row>
    <row r="86" ht="24" spans="1:40">
      <c r="A86" s="1354" t="s">
        <v>953</v>
      </c>
      <c r="B86" s="1585" t="s">
        <v>954</v>
      </c>
      <c r="C86" s="1577"/>
      <c r="D86" s="1578">
        <f t="shared" si="29"/>
        <v>0</v>
      </c>
      <c r="E86" s="1715"/>
      <c r="F86" s="1716"/>
      <c r="G86" s="1581"/>
      <c r="H86" s="1582" t="str">
        <f t="shared" si="30"/>
        <v>——</v>
      </c>
      <c r="I86" s="1682">
        <v>0.05</v>
      </c>
      <c r="J86" s="1683">
        <f t="shared" si="31"/>
        <v>0</v>
      </c>
      <c r="K86" s="1683">
        <f t="shared" si="32"/>
        <v>0</v>
      </c>
      <c r="L86" s="1683">
        <v>0</v>
      </c>
      <c r="M86" s="1683">
        <f t="shared" si="33"/>
        <v>0</v>
      </c>
      <c r="N86" s="1683">
        <f t="shared" si="34"/>
        <v>0</v>
      </c>
      <c r="AC86" s="1389"/>
      <c r="AD86" s="1387"/>
      <c r="AJ86" s="1390"/>
      <c r="AN86" s="1387"/>
    </row>
    <row r="87" ht="36.75" spans="1:40">
      <c r="A87" s="1588" t="s">
        <v>691</v>
      </c>
      <c r="B87" s="1718" t="str">
        <f>估价对象房地状况!G18</f>
        <v>该园区内是否有污染型企业，绿化情况，卫生条件，整体环境状况判断</v>
      </c>
      <c r="C87" s="1577"/>
      <c r="D87" s="1578">
        <f t="shared" si="29"/>
        <v>0</v>
      </c>
      <c r="E87" s="1657"/>
      <c r="F87" s="1716"/>
      <c r="G87" s="1581"/>
      <c r="H87" s="1582" t="str">
        <f t="shared" si="30"/>
        <v>——</v>
      </c>
      <c r="I87" s="1684">
        <v>0.06</v>
      </c>
      <c r="J87" s="1683">
        <f t="shared" si="31"/>
        <v>0</v>
      </c>
      <c r="K87" s="1683">
        <f t="shared" si="32"/>
        <v>0</v>
      </c>
      <c r="L87" s="1683">
        <v>0</v>
      </c>
      <c r="M87" s="1683">
        <f t="shared" si="33"/>
        <v>0</v>
      </c>
      <c r="N87" s="1683">
        <f t="shared" si="34"/>
        <v>0</v>
      </c>
      <c r="AC87" s="1389"/>
      <c r="AD87" s="1387"/>
      <c r="AJ87" s="1390"/>
      <c r="AN87" s="1387"/>
    </row>
    <row r="90" spans="1:14">
      <c r="A90" s="1384" t="s">
        <v>963</v>
      </c>
      <c r="B90" s="1384"/>
      <c r="C90" s="1384"/>
      <c r="D90" s="1384"/>
      <c r="E90" s="1384"/>
      <c r="F90" s="1384"/>
      <c r="G90" s="1384"/>
      <c r="H90" s="1384"/>
      <c r="I90" s="1384"/>
      <c r="J90" s="1384"/>
      <c r="K90" s="1384"/>
      <c r="L90" s="1384"/>
      <c r="M90" s="1384"/>
      <c r="N90" s="1384"/>
    </row>
    <row r="91" spans="1:14">
      <c r="A91" s="1366" t="s">
        <v>348</v>
      </c>
      <c r="B91" s="1366" t="s">
        <v>964</v>
      </c>
      <c r="C91" s="1719" t="s">
        <v>806</v>
      </c>
      <c r="D91" s="1720"/>
      <c r="E91" s="1720"/>
      <c r="F91" s="1720"/>
      <c r="G91" s="1720"/>
      <c r="H91" s="1720"/>
      <c r="I91" s="1720"/>
      <c r="J91" s="1747"/>
      <c r="K91" s="1370"/>
      <c r="L91" s="1370"/>
      <c r="M91" s="1370"/>
      <c r="N91" s="1370"/>
    </row>
    <row r="92" spans="1:14">
      <c r="A92" s="1366"/>
      <c r="B92" s="1366"/>
      <c r="C92" s="1366" t="s">
        <v>240</v>
      </c>
      <c r="D92" s="1366" t="s">
        <v>253</v>
      </c>
      <c r="E92" s="1366" t="s">
        <v>265</v>
      </c>
      <c r="F92" s="1366" t="s">
        <v>275</v>
      </c>
      <c r="G92" s="1366" t="s">
        <v>284</v>
      </c>
      <c r="H92" s="1366" t="s">
        <v>292</v>
      </c>
      <c r="I92" s="1366" t="s">
        <v>297</v>
      </c>
      <c r="J92" s="1366" t="s">
        <v>302</v>
      </c>
      <c r="K92" s="1366" t="s">
        <v>305</v>
      </c>
      <c r="L92" s="1366" t="s">
        <v>308</v>
      </c>
      <c r="M92" s="1366" t="s">
        <v>311</v>
      </c>
      <c r="N92" s="1366" t="s">
        <v>314</v>
      </c>
    </row>
    <row r="93" spans="1:14">
      <c r="A93" s="1721" t="s">
        <v>965</v>
      </c>
      <c r="B93" s="1722">
        <v>1</v>
      </c>
      <c r="C93" s="1723">
        <v>1.9362</v>
      </c>
      <c r="D93" s="1723">
        <v>1.9362</v>
      </c>
      <c r="E93" s="1723">
        <v>1.8629</v>
      </c>
      <c r="F93" s="1723">
        <v>1.8629</v>
      </c>
      <c r="G93" s="1723">
        <v>1.8629</v>
      </c>
      <c r="H93" s="1723">
        <v>1.8629</v>
      </c>
      <c r="I93" s="1723">
        <v>1.8629</v>
      </c>
      <c r="J93" s="1723">
        <v>1.942</v>
      </c>
      <c r="K93" s="1723">
        <v>1.942</v>
      </c>
      <c r="L93" s="1723">
        <v>1.942</v>
      </c>
      <c r="M93" s="1723">
        <v>1.942</v>
      </c>
      <c r="N93" s="1723">
        <v>1.942</v>
      </c>
    </row>
    <row r="94" spans="1:14">
      <c r="A94" s="1724"/>
      <c r="B94" s="1722">
        <v>2</v>
      </c>
      <c r="C94" s="1723">
        <v>1.4198</v>
      </c>
      <c r="D94" s="1723">
        <v>1.4198</v>
      </c>
      <c r="E94" s="1723">
        <v>1.3372</v>
      </c>
      <c r="F94" s="1723">
        <v>1.3372</v>
      </c>
      <c r="G94" s="1723">
        <v>1.3372</v>
      </c>
      <c r="H94" s="1723">
        <v>1.3372</v>
      </c>
      <c r="I94" s="1723">
        <v>1.3372</v>
      </c>
      <c r="J94" s="1723">
        <v>1.2799</v>
      </c>
      <c r="K94" s="1723">
        <v>1.2799</v>
      </c>
      <c r="L94" s="1723">
        <v>1.2799</v>
      </c>
      <c r="M94" s="1723">
        <v>1.2799</v>
      </c>
      <c r="N94" s="1723">
        <v>1.2799</v>
      </c>
    </row>
    <row r="95" spans="1:14">
      <c r="A95" s="1724"/>
      <c r="B95" s="1722">
        <v>3</v>
      </c>
      <c r="C95" s="1723">
        <v>1.1594</v>
      </c>
      <c r="D95" s="1723">
        <v>1.1594</v>
      </c>
      <c r="E95" s="1723">
        <v>1.0788</v>
      </c>
      <c r="F95" s="1723">
        <v>1.0788</v>
      </c>
      <c r="G95" s="1723">
        <v>1.0788</v>
      </c>
      <c r="H95" s="1723">
        <v>1.0788</v>
      </c>
      <c r="I95" s="1723">
        <v>1.0788</v>
      </c>
      <c r="J95" s="1723">
        <v>1.0072</v>
      </c>
      <c r="K95" s="1723">
        <v>1.0072</v>
      </c>
      <c r="L95" s="1723">
        <v>1.0072</v>
      </c>
      <c r="M95" s="1723">
        <v>1.0072</v>
      </c>
      <c r="N95" s="1723">
        <v>1.0072</v>
      </c>
    </row>
    <row r="96" spans="1:14">
      <c r="A96" s="1724"/>
      <c r="B96" s="1722">
        <v>4</v>
      </c>
      <c r="C96" s="1723">
        <v>0.9622</v>
      </c>
      <c r="D96" s="1723">
        <v>0.9622</v>
      </c>
      <c r="E96" s="1723">
        <v>0.8656</v>
      </c>
      <c r="F96" s="1723">
        <v>0.8656</v>
      </c>
      <c r="G96" s="1723">
        <v>0.8656</v>
      </c>
      <c r="H96" s="1723">
        <v>0.8656</v>
      </c>
      <c r="I96" s="1723">
        <v>0.8656</v>
      </c>
      <c r="J96" s="1723">
        <v>0.7525</v>
      </c>
      <c r="K96" s="1723">
        <v>0.7525</v>
      </c>
      <c r="L96" s="1723">
        <v>0.7525</v>
      </c>
      <c r="M96" s="1723">
        <v>0.7525</v>
      </c>
      <c r="N96" s="1723">
        <v>0.7525</v>
      </c>
    </row>
    <row r="97" spans="1:14">
      <c r="A97" s="1724"/>
      <c r="B97" s="1722">
        <v>5</v>
      </c>
      <c r="C97" s="1723">
        <v>0.8417</v>
      </c>
      <c r="D97" s="1723">
        <v>0.8417</v>
      </c>
      <c r="E97" s="1723">
        <v>0.7371</v>
      </c>
      <c r="F97" s="1723">
        <v>0.7371</v>
      </c>
      <c r="G97" s="1723">
        <v>0.7371</v>
      </c>
      <c r="H97" s="1723">
        <v>0.7371</v>
      </c>
      <c r="I97" s="1723">
        <v>0.7371</v>
      </c>
      <c r="J97" s="1723">
        <v>0.5659</v>
      </c>
      <c r="K97" s="1723">
        <v>0.5659</v>
      </c>
      <c r="L97" s="1723">
        <v>0.5659</v>
      </c>
      <c r="M97" s="1723">
        <v>0.5659</v>
      </c>
      <c r="N97" s="1723">
        <v>0.5659</v>
      </c>
    </row>
    <row r="98" spans="1:14">
      <c r="A98" s="1724"/>
      <c r="B98" s="1722">
        <v>6</v>
      </c>
      <c r="C98" s="1723">
        <v>0.7608</v>
      </c>
      <c r="D98" s="1723">
        <v>0.7608</v>
      </c>
      <c r="E98" s="1723">
        <v>0.6482</v>
      </c>
      <c r="F98" s="1723">
        <v>0.6482</v>
      </c>
      <c r="G98" s="1723">
        <v>0.6482</v>
      </c>
      <c r="H98" s="1723">
        <v>0.6482</v>
      </c>
      <c r="I98" s="1723">
        <v>0.6482</v>
      </c>
      <c r="J98" s="1723">
        <v>0.4525</v>
      </c>
      <c r="K98" s="1723">
        <v>0.4525</v>
      </c>
      <c r="L98" s="1723">
        <v>0.4525</v>
      </c>
      <c r="M98" s="1723">
        <v>0.4525</v>
      </c>
      <c r="N98" s="1723">
        <v>0.4525</v>
      </c>
    </row>
    <row r="99" spans="1:14">
      <c r="A99" s="1724"/>
      <c r="B99" s="1722" t="s">
        <v>966</v>
      </c>
      <c r="C99" s="1725">
        <f t="shared" ref="C99:N99" si="35">$I$3</f>
        <v>0</v>
      </c>
      <c r="D99" s="1725">
        <f t="shared" si="35"/>
        <v>0</v>
      </c>
      <c r="E99" s="1725">
        <f t="shared" si="35"/>
        <v>0</v>
      </c>
      <c r="F99" s="1725">
        <f t="shared" si="35"/>
        <v>0</v>
      </c>
      <c r="G99" s="1725">
        <f t="shared" si="35"/>
        <v>0</v>
      </c>
      <c r="H99" s="1725">
        <f t="shared" si="35"/>
        <v>0</v>
      </c>
      <c r="I99" s="1725">
        <f t="shared" si="35"/>
        <v>0</v>
      </c>
      <c r="J99" s="1725">
        <f t="shared" si="35"/>
        <v>0</v>
      </c>
      <c r="K99" s="1725">
        <f t="shared" si="35"/>
        <v>0</v>
      </c>
      <c r="L99" s="1725">
        <f t="shared" si="35"/>
        <v>0</v>
      </c>
      <c r="M99" s="1725">
        <f t="shared" si="35"/>
        <v>0</v>
      </c>
      <c r="N99" s="1725">
        <f t="shared" si="35"/>
        <v>0</v>
      </c>
    </row>
    <row r="100" spans="1:14">
      <c r="A100" s="1375"/>
      <c r="B100" s="1722">
        <v>7</v>
      </c>
      <c r="C100" s="1726">
        <f>(-0.163*(C99^2)-0.59*C99+7617)*(10^(-4))</f>
        <v>0.7617</v>
      </c>
      <c r="D100" s="1726">
        <f>(-0.163*(D99^2)-0.59*D99+7617)*(10^(-4))</f>
        <v>0.7617</v>
      </c>
      <c r="E100" s="1726">
        <f t="shared" ref="E100:I100" si="36">(-0.161*(E99^2)-7.509*E99+6533)*(10^(-4))</f>
        <v>0.6533</v>
      </c>
      <c r="F100" s="1726">
        <f t="shared" si="36"/>
        <v>0.6533</v>
      </c>
      <c r="G100" s="1726">
        <f t="shared" si="36"/>
        <v>0.6533</v>
      </c>
      <c r="H100" s="1726">
        <f t="shared" si="36"/>
        <v>0.6533</v>
      </c>
      <c r="I100" s="1726">
        <f t="shared" si="36"/>
        <v>0.6533</v>
      </c>
      <c r="J100" s="1726">
        <f t="shared" ref="J100:N100" si="37">(-0.214*(J99^2)-21.991*J99+4665)*(10^(-4))</f>
        <v>0.4665</v>
      </c>
      <c r="K100" s="1726">
        <f t="shared" si="37"/>
        <v>0.4665</v>
      </c>
      <c r="L100" s="1726">
        <f t="shared" si="37"/>
        <v>0.4665</v>
      </c>
      <c r="M100" s="1726">
        <f t="shared" si="37"/>
        <v>0.4665</v>
      </c>
      <c r="N100" s="1726">
        <f t="shared" si="37"/>
        <v>0.4665</v>
      </c>
    </row>
    <row r="101" spans="1:14">
      <c r="A101" s="1721" t="s">
        <v>967</v>
      </c>
      <c r="B101" s="1727" t="s">
        <v>105</v>
      </c>
      <c r="C101" s="1728">
        <f t="shared" ref="C101:N101" si="38">$G$3</f>
        <v>2</v>
      </c>
      <c r="D101" s="1728">
        <f t="shared" si="38"/>
        <v>2</v>
      </c>
      <c r="E101" s="1728">
        <f t="shared" si="38"/>
        <v>2</v>
      </c>
      <c r="F101" s="1728">
        <f t="shared" si="38"/>
        <v>2</v>
      </c>
      <c r="G101" s="1728">
        <f t="shared" si="38"/>
        <v>2</v>
      </c>
      <c r="H101" s="1728">
        <f t="shared" si="38"/>
        <v>2</v>
      </c>
      <c r="I101" s="1728">
        <f t="shared" si="38"/>
        <v>2</v>
      </c>
      <c r="J101" s="1728">
        <f t="shared" si="38"/>
        <v>2</v>
      </c>
      <c r="K101" s="1728">
        <f t="shared" si="38"/>
        <v>2</v>
      </c>
      <c r="L101" s="1728">
        <f t="shared" si="38"/>
        <v>2</v>
      </c>
      <c r="M101" s="1728">
        <f t="shared" si="38"/>
        <v>2</v>
      </c>
      <c r="N101" s="1728">
        <f t="shared" si="38"/>
        <v>2</v>
      </c>
    </row>
    <row r="102" spans="1:14">
      <c r="A102" s="1724"/>
      <c r="B102" s="1722">
        <v>1</v>
      </c>
      <c r="C102" s="1723">
        <f>1.9362/C101</f>
        <v>0.9681</v>
      </c>
      <c r="D102" s="1723">
        <f>1.9362/D101</f>
        <v>0.9681</v>
      </c>
      <c r="E102" s="1723">
        <f t="shared" ref="E102:I102" si="39">1.8629/E101</f>
        <v>0.93145</v>
      </c>
      <c r="F102" s="1723">
        <f t="shared" si="39"/>
        <v>0.93145</v>
      </c>
      <c r="G102" s="1723">
        <f t="shared" si="39"/>
        <v>0.93145</v>
      </c>
      <c r="H102" s="1723">
        <f t="shared" si="39"/>
        <v>0.93145</v>
      </c>
      <c r="I102" s="1723">
        <f t="shared" si="39"/>
        <v>0.93145</v>
      </c>
      <c r="J102" s="1723">
        <f t="shared" ref="J102:N102" si="40">1.942/J101</f>
        <v>0.971</v>
      </c>
      <c r="K102" s="1723">
        <f t="shared" si="40"/>
        <v>0.971</v>
      </c>
      <c r="L102" s="1723">
        <f t="shared" si="40"/>
        <v>0.971</v>
      </c>
      <c r="M102" s="1723">
        <f t="shared" si="40"/>
        <v>0.971</v>
      </c>
      <c r="N102" s="1723">
        <f t="shared" si="40"/>
        <v>0.971</v>
      </c>
    </row>
    <row r="103" spans="1:14">
      <c r="A103" s="1724"/>
      <c r="B103" s="1722">
        <v>2</v>
      </c>
      <c r="C103" s="1723">
        <f>1.4198/C101</f>
        <v>0.7099</v>
      </c>
      <c r="D103" s="1723">
        <f>1.4198/D101</f>
        <v>0.7099</v>
      </c>
      <c r="E103" s="1723">
        <f t="shared" ref="E103:I103" si="41">1.3372/E101</f>
        <v>0.6686</v>
      </c>
      <c r="F103" s="1723">
        <f t="shared" si="41"/>
        <v>0.6686</v>
      </c>
      <c r="G103" s="1723">
        <f t="shared" si="41"/>
        <v>0.6686</v>
      </c>
      <c r="H103" s="1723">
        <f t="shared" si="41"/>
        <v>0.6686</v>
      </c>
      <c r="I103" s="1723">
        <f t="shared" si="41"/>
        <v>0.6686</v>
      </c>
      <c r="J103" s="1723">
        <f t="shared" ref="J103:N103" si="42">1.2799/J101</f>
        <v>0.63995</v>
      </c>
      <c r="K103" s="1723">
        <f t="shared" si="42"/>
        <v>0.63995</v>
      </c>
      <c r="L103" s="1723">
        <f t="shared" si="42"/>
        <v>0.63995</v>
      </c>
      <c r="M103" s="1723">
        <f t="shared" si="42"/>
        <v>0.63995</v>
      </c>
      <c r="N103" s="1723">
        <f t="shared" si="42"/>
        <v>0.63995</v>
      </c>
    </row>
    <row r="104" spans="1:14">
      <c r="A104" s="1724"/>
      <c r="B104" s="1722">
        <v>3</v>
      </c>
      <c r="C104" s="1723">
        <f>1.1594/C101</f>
        <v>0.5797</v>
      </c>
      <c r="D104" s="1723">
        <f>1.1594/D101</f>
        <v>0.5797</v>
      </c>
      <c r="E104" s="1723">
        <f t="shared" ref="E104:I104" si="43">1.0788/E101</f>
        <v>0.5394</v>
      </c>
      <c r="F104" s="1723">
        <f t="shared" si="43"/>
        <v>0.5394</v>
      </c>
      <c r="G104" s="1723">
        <f t="shared" si="43"/>
        <v>0.5394</v>
      </c>
      <c r="H104" s="1723">
        <f t="shared" si="43"/>
        <v>0.5394</v>
      </c>
      <c r="I104" s="1723">
        <f t="shared" si="43"/>
        <v>0.5394</v>
      </c>
      <c r="J104" s="1723">
        <f t="shared" ref="J104:N104" si="44">1.0072/J101</f>
        <v>0.5036</v>
      </c>
      <c r="K104" s="1723">
        <f t="shared" si="44"/>
        <v>0.5036</v>
      </c>
      <c r="L104" s="1723">
        <f t="shared" si="44"/>
        <v>0.5036</v>
      </c>
      <c r="M104" s="1723">
        <f t="shared" si="44"/>
        <v>0.5036</v>
      </c>
      <c r="N104" s="1723">
        <f t="shared" si="44"/>
        <v>0.5036</v>
      </c>
    </row>
    <row r="105" spans="1:14">
      <c r="A105" s="1724"/>
      <c r="B105" s="1722">
        <v>4</v>
      </c>
      <c r="C105" s="1723">
        <f>0.9622/C101</f>
        <v>0.4811</v>
      </c>
      <c r="D105" s="1723">
        <f>0.9622/D101</f>
        <v>0.4811</v>
      </c>
      <c r="E105" s="1723">
        <f t="shared" ref="E105:I105" si="45">0.8656/E101</f>
        <v>0.4328</v>
      </c>
      <c r="F105" s="1723">
        <f t="shared" si="45"/>
        <v>0.4328</v>
      </c>
      <c r="G105" s="1723">
        <f t="shared" si="45"/>
        <v>0.4328</v>
      </c>
      <c r="H105" s="1723">
        <f t="shared" si="45"/>
        <v>0.4328</v>
      </c>
      <c r="I105" s="1723">
        <f t="shared" si="45"/>
        <v>0.4328</v>
      </c>
      <c r="J105" s="1723">
        <f t="shared" ref="J105:N105" si="46">0.7525/J101</f>
        <v>0.37625</v>
      </c>
      <c r="K105" s="1723">
        <f t="shared" si="46"/>
        <v>0.37625</v>
      </c>
      <c r="L105" s="1723">
        <f t="shared" si="46"/>
        <v>0.37625</v>
      </c>
      <c r="M105" s="1723">
        <f t="shared" si="46"/>
        <v>0.37625</v>
      </c>
      <c r="N105" s="1723">
        <f t="shared" si="46"/>
        <v>0.37625</v>
      </c>
    </row>
    <row r="106" spans="1:14">
      <c r="A106" s="1724"/>
      <c r="B106" s="1722">
        <v>5</v>
      </c>
      <c r="C106" s="1723">
        <f>0.8417/C101</f>
        <v>0.42085</v>
      </c>
      <c r="D106" s="1723">
        <f>0.8417/D101</f>
        <v>0.42085</v>
      </c>
      <c r="E106" s="1723">
        <f t="shared" ref="E106:I106" si="47">0.7371/E101</f>
        <v>0.36855</v>
      </c>
      <c r="F106" s="1723">
        <f t="shared" si="47"/>
        <v>0.36855</v>
      </c>
      <c r="G106" s="1723">
        <f t="shared" si="47"/>
        <v>0.36855</v>
      </c>
      <c r="H106" s="1723">
        <f t="shared" si="47"/>
        <v>0.36855</v>
      </c>
      <c r="I106" s="1723">
        <f t="shared" si="47"/>
        <v>0.36855</v>
      </c>
      <c r="J106" s="1723">
        <f t="shared" ref="J106:N106" si="48">0.5659/J101</f>
        <v>0.28295</v>
      </c>
      <c r="K106" s="1723">
        <f t="shared" si="48"/>
        <v>0.28295</v>
      </c>
      <c r="L106" s="1723">
        <f t="shared" si="48"/>
        <v>0.28295</v>
      </c>
      <c r="M106" s="1723">
        <f t="shared" si="48"/>
        <v>0.28295</v>
      </c>
      <c r="N106" s="1723">
        <f t="shared" si="48"/>
        <v>0.28295</v>
      </c>
    </row>
    <row r="107" spans="1:14">
      <c r="A107" s="1724"/>
      <c r="B107" s="1722">
        <v>6</v>
      </c>
      <c r="C107" s="1723">
        <f>0.7608/C101</f>
        <v>0.3804</v>
      </c>
      <c r="D107" s="1723">
        <f>0.7608/D101</f>
        <v>0.3804</v>
      </c>
      <c r="E107" s="1723">
        <f t="shared" ref="E107:I107" si="49">0.6482/E101</f>
        <v>0.3241</v>
      </c>
      <c r="F107" s="1723">
        <f t="shared" si="49"/>
        <v>0.3241</v>
      </c>
      <c r="G107" s="1723">
        <f t="shared" si="49"/>
        <v>0.3241</v>
      </c>
      <c r="H107" s="1723">
        <f t="shared" si="49"/>
        <v>0.3241</v>
      </c>
      <c r="I107" s="1723">
        <f t="shared" si="49"/>
        <v>0.3241</v>
      </c>
      <c r="J107" s="1723">
        <f t="shared" ref="J107:N107" si="50">0.4525/J101</f>
        <v>0.22625</v>
      </c>
      <c r="K107" s="1723">
        <f t="shared" si="50"/>
        <v>0.22625</v>
      </c>
      <c r="L107" s="1723">
        <f t="shared" si="50"/>
        <v>0.22625</v>
      </c>
      <c r="M107" s="1723">
        <f t="shared" si="50"/>
        <v>0.22625</v>
      </c>
      <c r="N107" s="1723">
        <f t="shared" si="50"/>
        <v>0.22625</v>
      </c>
    </row>
    <row r="108" spans="1:14">
      <c r="A108" s="1724"/>
      <c r="B108" s="1357" t="s">
        <v>968</v>
      </c>
      <c r="C108" s="1725">
        <f t="shared" ref="C108:N108" si="51">C99</f>
        <v>0</v>
      </c>
      <c r="D108" s="1725">
        <f t="shared" si="51"/>
        <v>0</v>
      </c>
      <c r="E108" s="1725">
        <f t="shared" si="51"/>
        <v>0</v>
      </c>
      <c r="F108" s="1725">
        <f t="shared" si="51"/>
        <v>0</v>
      </c>
      <c r="G108" s="1725">
        <f t="shared" si="51"/>
        <v>0</v>
      </c>
      <c r="H108" s="1725">
        <f t="shared" si="51"/>
        <v>0</v>
      </c>
      <c r="I108" s="1725">
        <f t="shared" si="51"/>
        <v>0</v>
      </c>
      <c r="J108" s="1725">
        <f t="shared" si="51"/>
        <v>0</v>
      </c>
      <c r="K108" s="1725">
        <f t="shared" si="51"/>
        <v>0</v>
      </c>
      <c r="L108" s="1725">
        <f t="shared" si="51"/>
        <v>0</v>
      </c>
      <c r="M108" s="1725">
        <f t="shared" si="51"/>
        <v>0</v>
      </c>
      <c r="N108" s="1725">
        <f t="shared" si="51"/>
        <v>0</v>
      </c>
    </row>
    <row r="109" spans="1:14">
      <c r="A109" s="1375"/>
      <c r="B109" s="1729"/>
      <c r="C109" s="1726">
        <f>(-0.163*(C108^2)-0.59*C108+7617)*(10^(-4))/C101</f>
        <v>0.38085</v>
      </c>
      <c r="D109" s="1726">
        <f>(-0.163*(D108^2)-0.59*D108+7617)*(10^(-4))/D101</f>
        <v>0.38085</v>
      </c>
      <c r="E109" s="1726">
        <f t="shared" ref="E109:I109" si="52">(-0.161*(E108^2)-7.509*E108+6533)*(10^(-4))/E101</f>
        <v>0.32665</v>
      </c>
      <c r="F109" s="1726">
        <f t="shared" si="52"/>
        <v>0.32665</v>
      </c>
      <c r="G109" s="1726">
        <f t="shared" si="52"/>
        <v>0.32665</v>
      </c>
      <c r="H109" s="1726">
        <f t="shared" si="52"/>
        <v>0.32665</v>
      </c>
      <c r="I109" s="1726">
        <f t="shared" si="52"/>
        <v>0.32665</v>
      </c>
      <c r="J109" s="1726">
        <f t="shared" ref="J109:N109" si="53">(-0.214*(J108^2)-21.991*J108+4665)*(10^(-4))/J101</f>
        <v>0.23325</v>
      </c>
      <c r="K109" s="1726">
        <f t="shared" si="53"/>
        <v>0.23325</v>
      </c>
      <c r="L109" s="1726">
        <f t="shared" si="53"/>
        <v>0.23325</v>
      </c>
      <c r="M109" s="1726">
        <f t="shared" si="53"/>
        <v>0.23325</v>
      </c>
      <c r="N109" s="1726">
        <f t="shared" si="53"/>
        <v>0.23325</v>
      </c>
    </row>
    <row r="110" spans="1:14">
      <c r="A110" s="1730" t="s">
        <v>969</v>
      </c>
      <c r="B110" s="1730"/>
      <c r="C110" s="1730"/>
      <c r="D110" s="1730"/>
      <c r="E110" s="1730"/>
      <c r="F110" s="1730"/>
      <c r="G110" s="1730"/>
      <c r="H110" s="1730"/>
      <c r="I110" s="1730"/>
      <c r="J110" s="1730"/>
      <c r="K110" s="1730"/>
      <c r="L110" s="1730"/>
      <c r="M110" s="1730"/>
      <c r="N110" s="1730"/>
    </row>
    <row r="112" ht="12.75"/>
    <row r="113" ht="25.5" spans="1:13">
      <c r="A113" s="1731" t="s">
        <v>970</v>
      </c>
      <c r="B113" s="1732">
        <f>G3</f>
        <v>2</v>
      </c>
      <c r="C113" s="1733" t="s">
        <v>971</v>
      </c>
      <c r="D113" s="1734">
        <f>SUMPRODUCT((A115:A118=F113)*(B114:M114=H113)*B115:M118)</f>
        <v>0.7414</v>
      </c>
      <c r="E113" s="1735" t="s">
        <v>348</v>
      </c>
      <c r="F113" s="1736" t="str">
        <f>E2</f>
        <v>办公</v>
      </c>
      <c r="G113" s="1735" t="s">
        <v>217</v>
      </c>
      <c r="H113" s="1736" t="str">
        <f>G2</f>
        <v>八级</v>
      </c>
      <c r="I113" s="1735"/>
      <c r="J113" s="1289"/>
      <c r="K113" s="1289"/>
      <c r="L113" s="1289"/>
      <c r="M113" s="1289"/>
    </row>
    <row r="114" ht="12.75" spans="1:13">
      <c r="A114" s="1737"/>
      <c r="B114" s="1738" t="s">
        <v>240</v>
      </c>
      <c r="C114" s="1738" t="s">
        <v>253</v>
      </c>
      <c r="D114" s="1738" t="s">
        <v>265</v>
      </c>
      <c r="E114" s="1739" t="s">
        <v>275</v>
      </c>
      <c r="F114" s="1739" t="s">
        <v>284</v>
      </c>
      <c r="G114" s="1739" t="s">
        <v>292</v>
      </c>
      <c r="H114" s="1740" t="s">
        <v>297</v>
      </c>
      <c r="I114" s="1740" t="s">
        <v>302</v>
      </c>
      <c r="J114" s="1748" t="s">
        <v>305</v>
      </c>
      <c r="K114" s="1748" t="s">
        <v>308</v>
      </c>
      <c r="L114" s="1748" t="s">
        <v>311</v>
      </c>
      <c r="M114" s="1749" t="s">
        <v>314</v>
      </c>
    </row>
    <row r="115" ht="12.75" spans="1:13">
      <c r="A115" s="1741" t="s">
        <v>972</v>
      </c>
      <c r="B115" s="1742">
        <f>ROUND(0.9335-0.0094*B113,4)</f>
        <v>0.9147</v>
      </c>
      <c r="C115" s="1742">
        <f t="shared" ref="C115:H115" si="54">B115</f>
        <v>0.9147</v>
      </c>
      <c r="D115" s="1742">
        <f>ROUND(0.8331-0.0109*B113,4)</f>
        <v>0.8113</v>
      </c>
      <c r="E115" s="1742">
        <f t="shared" si="54"/>
        <v>0.8113</v>
      </c>
      <c r="F115" s="1742">
        <f t="shared" si="54"/>
        <v>0.8113</v>
      </c>
      <c r="G115" s="1742">
        <f t="shared" si="54"/>
        <v>0.8113</v>
      </c>
      <c r="H115" s="1742">
        <f t="shared" si="54"/>
        <v>0.8113</v>
      </c>
      <c r="I115" s="1742">
        <f>ROUND(0.689-0.0155*B113,4)</f>
        <v>0.658</v>
      </c>
      <c r="J115" s="1742">
        <f t="shared" ref="J115:M115" si="55">I115</f>
        <v>0.658</v>
      </c>
      <c r="K115" s="1742">
        <f t="shared" si="55"/>
        <v>0.658</v>
      </c>
      <c r="L115" s="1742">
        <f t="shared" si="55"/>
        <v>0.658</v>
      </c>
      <c r="M115" s="1750">
        <f t="shared" si="55"/>
        <v>0.658</v>
      </c>
    </row>
    <row r="116" ht="12.75" spans="1:13">
      <c r="A116" s="1741" t="s">
        <v>973</v>
      </c>
      <c r="B116" s="1742">
        <f>ROUND(0.949-0.012*B113,4)</f>
        <v>0.925</v>
      </c>
      <c r="C116" s="1742">
        <f t="shared" ref="C116:H116" si="56">B116</f>
        <v>0.925</v>
      </c>
      <c r="D116" s="1742">
        <f>ROUND(0.8567-0.013*B113,4)</f>
        <v>0.8307</v>
      </c>
      <c r="E116" s="1742">
        <f t="shared" si="56"/>
        <v>0.8307</v>
      </c>
      <c r="F116" s="1742">
        <f t="shared" si="56"/>
        <v>0.8307</v>
      </c>
      <c r="G116" s="1742">
        <f t="shared" si="56"/>
        <v>0.8307</v>
      </c>
      <c r="H116" s="1742">
        <f t="shared" si="56"/>
        <v>0.8307</v>
      </c>
      <c r="I116" s="1742">
        <f>ROUND(0.7694-0.014*B113,4)</f>
        <v>0.7414</v>
      </c>
      <c r="J116" s="1742">
        <f t="shared" ref="J116:M116" si="57">I116</f>
        <v>0.7414</v>
      </c>
      <c r="K116" s="1742">
        <f t="shared" si="57"/>
        <v>0.7414</v>
      </c>
      <c r="L116" s="1742">
        <f t="shared" si="57"/>
        <v>0.7414</v>
      </c>
      <c r="M116" s="1750">
        <f t="shared" si="57"/>
        <v>0.7414</v>
      </c>
    </row>
    <row r="117" ht="12.75" spans="1:13">
      <c r="A117" s="1743" t="s">
        <v>375</v>
      </c>
      <c r="B117" s="1742">
        <f>ROUND(0.8808-0.006*B113,4)</f>
        <v>0.8688</v>
      </c>
      <c r="C117" s="1742">
        <f t="shared" ref="C117:H117" si="58">B117</f>
        <v>0.8688</v>
      </c>
      <c r="D117" s="1742">
        <f>ROUND(0.8748-0.008*B113,4)</f>
        <v>0.8588</v>
      </c>
      <c r="E117" s="1742">
        <f t="shared" si="58"/>
        <v>0.8588</v>
      </c>
      <c r="F117" s="1742">
        <f t="shared" si="58"/>
        <v>0.8588</v>
      </c>
      <c r="G117" s="1742">
        <f t="shared" si="58"/>
        <v>0.8588</v>
      </c>
      <c r="H117" s="1742">
        <f t="shared" si="58"/>
        <v>0.8588</v>
      </c>
      <c r="I117" s="1742">
        <f>ROUND(0.7412-0.0095*B113,4)</f>
        <v>0.7222</v>
      </c>
      <c r="J117" s="1742">
        <f t="shared" ref="J117:M117" si="59">I117</f>
        <v>0.7222</v>
      </c>
      <c r="K117" s="1742">
        <f t="shared" si="59"/>
        <v>0.7222</v>
      </c>
      <c r="L117" s="1742">
        <f t="shared" si="59"/>
        <v>0.7222</v>
      </c>
      <c r="M117" s="1750">
        <f t="shared" si="59"/>
        <v>0.7222</v>
      </c>
    </row>
    <row r="118" ht="13.5" spans="1:13">
      <c r="A118" s="1744" t="s">
        <v>974</v>
      </c>
      <c r="B118" s="1745">
        <f>ROUND(0.7275-0.01*B113,4)</f>
        <v>0.7075</v>
      </c>
      <c r="C118" s="1745">
        <f t="shared" ref="C118:H118" si="60">B118</f>
        <v>0.7075</v>
      </c>
      <c r="D118" s="1745">
        <f>ROUND(0.7043-0.012*B113,4)</f>
        <v>0.6803</v>
      </c>
      <c r="E118" s="1745">
        <f t="shared" si="60"/>
        <v>0.6803</v>
      </c>
      <c r="F118" s="1745">
        <f t="shared" si="60"/>
        <v>0.6803</v>
      </c>
      <c r="G118" s="1745">
        <f>ROUND(0.6299-0.0122*B113,4)</f>
        <v>0.6055</v>
      </c>
      <c r="H118" s="1745">
        <f t="shared" si="60"/>
        <v>0.6055</v>
      </c>
      <c r="I118" s="1745">
        <f>ROUND(0.5667-0.0136*B113,4)</f>
        <v>0.5395</v>
      </c>
      <c r="J118" s="1745">
        <f t="shared" ref="J118:M118" si="61">I118</f>
        <v>0.5395</v>
      </c>
      <c r="K118" s="1745">
        <f t="shared" si="61"/>
        <v>0.5395</v>
      </c>
      <c r="L118" s="1745">
        <f t="shared" si="61"/>
        <v>0.5395</v>
      </c>
      <c r="M118" s="1751">
        <f t="shared" si="61"/>
        <v>0.5395</v>
      </c>
    </row>
  </sheetData>
  <sheetProtection formatCells="0" formatColumns="0" formatRows="0"/>
  <mergeCells count="17">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7">
    <cfRule type="cellIs" dxfId="8" priority="5" stopIfTrue="1" operator="notEqual">
      <formula>"——"</formula>
    </cfRule>
  </conditionalFormatting>
  <conditionalFormatting sqref="F58">
    <cfRule type="cellIs" dxfId="8" priority="4" stopIfTrue="1" operator="notEqual">
      <formula>"——"</formula>
    </cfRule>
  </conditionalFormatting>
  <conditionalFormatting sqref="F69">
    <cfRule type="cellIs" dxfId="8" priority="3" stopIfTrue="1" operator="notEqual">
      <formula>"——"</formula>
    </cfRule>
  </conditionalFormatting>
  <conditionalFormatting sqref="F80">
    <cfRule type="cellIs" dxfId="8" priority="2" stopIfTrue="1" operator="notEqual">
      <formula>"——"</formula>
    </cfRule>
  </conditionalFormatting>
  <conditionalFormatting sqref="H58:H66 H47:H55 H69:H77 H80:H87">
    <cfRule type="cellIs" dxfId="2"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7:C55 C58:C66 C69:C77 C80:C87">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26"/>
  <sheetViews>
    <sheetView view="pageBreakPreview" zoomScale="80" zoomScaleNormal="80" workbookViewId="0">
      <selection activeCell="D30" sqref="D30"/>
    </sheetView>
  </sheetViews>
  <sheetFormatPr defaultColWidth="14.625" defaultRowHeight="13.5"/>
  <cols>
    <col min="1" max="1" width="24.375" style="2609" customWidth="1"/>
    <col min="2" max="16384" width="14.625" style="2609"/>
  </cols>
  <sheetData>
    <row r="1" ht="16.5" spans="1:10">
      <c r="A1" s="2610" t="s">
        <v>975</v>
      </c>
      <c r="B1" s="2610">
        <f>SUM(B14:B23)</f>
        <v>57817.58</v>
      </c>
      <c r="C1" s="2611"/>
      <c r="D1" s="2611"/>
      <c r="E1" s="2611"/>
      <c r="F1" s="2611"/>
      <c r="G1" s="2612"/>
      <c r="H1" s="2612"/>
      <c r="I1" s="2612"/>
      <c r="J1" s="2612"/>
    </row>
    <row r="2" ht="16.5" spans="1:10">
      <c r="A2" s="2610" t="s">
        <v>976</v>
      </c>
      <c r="B2" s="2610">
        <f>SUM(C14:C23)</f>
        <v>20468.06</v>
      </c>
      <c r="C2" s="2611"/>
      <c r="D2" s="2611"/>
      <c r="E2" s="2611"/>
      <c r="F2" s="2611"/>
      <c r="G2" s="2612"/>
      <c r="H2" s="2612"/>
      <c r="I2" s="2612"/>
      <c r="J2" s="2612"/>
    </row>
    <row r="3" ht="16.5" spans="1:10">
      <c r="A3" s="2610" t="s">
        <v>977</v>
      </c>
      <c r="B3" s="2613">
        <f>项目基本情况!D3</f>
        <v>44519</v>
      </c>
      <c r="C3" s="2611"/>
      <c r="D3" s="2611"/>
      <c r="E3" s="2611"/>
      <c r="F3" s="2611"/>
      <c r="G3" s="2612"/>
      <c r="H3" s="2612"/>
      <c r="I3" s="2612"/>
      <c r="J3" s="2612"/>
    </row>
    <row r="4" ht="33" spans="1:10">
      <c r="A4" s="2610" t="s">
        <v>361</v>
      </c>
      <c r="B4" s="2610" t="s">
        <v>978</v>
      </c>
      <c r="C4" s="2610" t="s">
        <v>979</v>
      </c>
      <c r="D4" s="2610" t="s">
        <v>980</v>
      </c>
      <c r="E4" s="2611"/>
      <c r="F4" s="2611"/>
      <c r="G4" s="2612"/>
      <c r="H4" s="2612"/>
      <c r="I4" s="2612"/>
      <c r="J4" s="2612"/>
    </row>
    <row r="5" ht="16.5" spans="1:10">
      <c r="A5" s="2610" t="s">
        <v>981</v>
      </c>
      <c r="B5" s="2610">
        <f ca="1">SUM(D14:D23)</f>
        <v>22418</v>
      </c>
      <c r="C5" s="2610">
        <f ca="1">ROUND(B5*10000/$B$1,0)</f>
        <v>3877</v>
      </c>
      <c r="D5" s="2610">
        <f ca="1">ROUND(B5*10000/$B$2,0)</f>
        <v>10953</v>
      </c>
      <c r="E5" s="2611"/>
      <c r="F5" s="2611"/>
      <c r="G5" s="2612"/>
      <c r="H5" s="2612"/>
      <c r="I5" s="2612"/>
      <c r="J5" s="2612"/>
    </row>
    <row r="6" ht="16.5" spans="1:10">
      <c r="A6" s="2610" t="s">
        <v>982</v>
      </c>
      <c r="B6" s="2610">
        <f ca="1">SUM(G14:G23)</f>
        <v>0</v>
      </c>
      <c r="C6" s="2610">
        <f ca="1" t="shared" ref="C6:C8" si="0">ROUND(B6*10000/$B$1,0)</f>
        <v>0</v>
      </c>
      <c r="D6" s="2610">
        <f ca="1" t="shared" ref="D6:D8" si="1">ROUND(B6*10000/$B$2,0)</f>
        <v>0</v>
      </c>
      <c r="E6" s="2611"/>
      <c r="F6" s="2611"/>
      <c r="G6" s="2612"/>
      <c r="H6" s="2612"/>
      <c r="I6" s="2612"/>
      <c r="J6" s="2612"/>
    </row>
    <row r="7" ht="16.5" spans="1:10">
      <c r="A7" s="2610" t="s">
        <v>983</v>
      </c>
      <c r="B7" s="2610">
        <f ca="1">SUM(H14:H23)</f>
        <v>0</v>
      </c>
      <c r="C7" s="2610">
        <f ca="1" t="shared" si="0"/>
        <v>0</v>
      </c>
      <c r="D7" s="2610">
        <f ca="1" t="shared" si="1"/>
        <v>0</v>
      </c>
      <c r="E7" s="2611"/>
      <c r="F7" s="2611"/>
      <c r="G7" s="2612"/>
      <c r="H7" s="2612"/>
      <c r="I7" s="2612"/>
      <c r="J7" s="2612"/>
    </row>
    <row r="8" ht="16.5" spans="1:10">
      <c r="A8" s="2610" t="s">
        <v>346</v>
      </c>
      <c r="B8" s="2610">
        <f ca="1">SUM(I14:I23)</f>
        <v>0</v>
      </c>
      <c r="C8" s="2610">
        <f ca="1" t="shared" si="0"/>
        <v>0</v>
      </c>
      <c r="D8" s="2610">
        <f ca="1" t="shared" si="1"/>
        <v>0</v>
      </c>
      <c r="E8" s="2611"/>
      <c r="F8" s="2611"/>
      <c r="G8" s="2612"/>
      <c r="H8" s="2612"/>
      <c r="I8" s="2612"/>
      <c r="J8" s="2612"/>
    </row>
    <row r="9" ht="16.5" spans="1:10">
      <c r="A9" s="2610" t="s">
        <v>984</v>
      </c>
      <c r="B9" s="2614"/>
      <c r="C9" s="2611"/>
      <c r="D9" s="2611"/>
      <c r="E9" s="2611"/>
      <c r="F9" s="2611"/>
      <c r="G9" s="2612"/>
      <c r="H9" s="2612"/>
      <c r="I9" s="2612"/>
      <c r="J9" s="2612"/>
    </row>
    <row r="10" ht="16.5" spans="1:10">
      <c r="A10" s="2610" t="s">
        <v>985</v>
      </c>
      <c r="B10" s="2614"/>
      <c r="C10" s="2611"/>
      <c r="D10" s="2611"/>
      <c r="E10" s="2611"/>
      <c r="F10" s="2611"/>
      <c r="G10" s="2612"/>
      <c r="H10" s="2612"/>
      <c r="I10" s="2612"/>
      <c r="J10" s="2612"/>
    </row>
    <row r="11" ht="16.5" spans="1:10">
      <c r="A11" s="2610" t="s">
        <v>986</v>
      </c>
      <c r="B11" s="2614"/>
      <c r="C11" s="2611"/>
      <c r="D11" s="2611"/>
      <c r="E11" s="2611"/>
      <c r="F11" s="2611"/>
      <c r="G11" s="2612"/>
      <c r="H11" s="2612"/>
      <c r="I11" s="2612"/>
      <c r="J11" s="2612"/>
    </row>
    <row r="12" ht="16.5" spans="1:10">
      <c r="A12" s="2611"/>
      <c r="B12" s="2611"/>
      <c r="C12" s="2611"/>
      <c r="D12" s="2611"/>
      <c r="E12" s="2611"/>
      <c r="F12" s="2611"/>
      <c r="G12" s="2612"/>
      <c r="H12" s="2612"/>
      <c r="I12" s="2612"/>
      <c r="J12" s="2612"/>
    </row>
    <row r="13" ht="33" spans="1:10">
      <c r="A13" s="2615" t="s">
        <v>987</v>
      </c>
      <c r="B13" s="2616" t="s">
        <v>975</v>
      </c>
      <c r="C13" s="2616" t="s">
        <v>976</v>
      </c>
      <c r="D13" s="2616" t="s">
        <v>988</v>
      </c>
      <c r="E13" s="2610" t="s">
        <v>979</v>
      </c>
      <c r="F13" s="2610" t="s">
        <v>980</v>
      </c>
      <c r="G13" s="2616" t="s">
        <v>989</v>
      </c>
      <c r="H13" s="2616" t="s">
        <v>990</v>
      </c>
      <c r="I13" s="2616" t="s">
        <v>991</v>
      </c>
      <c r="J13" s="2612"/>
    </row>
    <row r="14" ht="16.5" spans="1:10">
      <c r="A14" s="2617" t="s">
        <v>992</v>
      </c>
      <c r="B14" s="2618">
        <f>结果表!L38</f>
        <v>57817.58</v>
      </c>
      <c r="C14" s="2618">
        <f>结果表!K38</f>
        <v>20468.06</v>
      </c>
      <c r="D14" s="2618">
        <f ca="1">结果表!C42</f>
        <v>22418</v>
      </c>
      <c r="E14" s="2618">
        <f ca="1">ROUND(D14*10000/B14,0)</f>
        <v>3877</v>
      </c>
      <c r="F14" s="2618">
        <f ca="1">ROUND(D14*10000/C14,0)</f>
        <v>10953</v>
      </c>
      <c r="G14" s="2618" t="str">
        <f ca="1">结果表!C44</f>
        <v>——</v>
      </c>
      <c r="H14" s="2618" t="str">
        <f ca="1">结果表!C45</f>
        <v>——</v>
      </c>
      <c r="I14" s="2618" t="str">
        <f ca="1">结果表!C46</f>
        <v>——</v>
      </c>
      <c r="J14" s="2612"/>
    </row>
    <row r="15" ht="16.5" spans="1:10">
      <c r="A15" s="2617" t="s">
        <v>993</v>
      </c>
      <c r="B15" s="2619"/>
      <c r="C15" s="2619"/>
      <c r="D15" s="2619"/>
      <c r="E15" s="2618" t="e">
        <f t="shared" ref="E15:E23" si="2">ROUND(D15*10000/B15,0)</f>
        <v>#DIV/0!</v>
      </c>
      <c r="F15" s="2618" t="e">
        <f t="shared" ref="F15:F23" si="3">ROUND(D15*10000/C15,0)</f>
        <v>#DIV/0!</v>
      </c>
      <c r="G15" s="2620"/>
      <c r="H15" s="2620"/>
      <c r="I15" s="2619"/>
      <c r="J15" s="2612"/>
    </row>
    <row r="16" ht="16.5" spans="1:10">
      <c r="A16" s="2617" t="s">
        <v>994</v>
      </c>
      <c r="B16" s="2619"/>
      <c r="C16" s="2619"/>
      <c r="D16" s="2619"/>
      <c r="E16" s="2618" t="e">
        <f t="shared" si="2"/>
        <v>#DIV/0!</v>
      </c>
      <c r="F16" s="2618" t="e">
        <f t="shared" si="3"/>
        <v>#DIV/0!</v>
      </c>
      <c r="G16" s="2620"/>
      <c r="H16" s="2620"/>
      <c r="I16" s="2619"/>
      <c r="J16" s="2612"/>
    </row>
    <row r="17" ht="16.5" spans="1:10">
      <c r="A17" s="2617" t="s">
        <v>995</v>
      </c>
      <c r="B17" s="2619"/>
      <c r="C17" s="2619"/>
      <c r="D17" s="2619"/>
      <c r="E17" s="2618" t="e">
        <f t="shared" si="2"/>
        <v>#DIV/0!</v>
      </c>
      <c r="F17" s="2618" t="e">
        <f t="shared" si="3"/>
        <v>#DIV/0!</v>
      </c>
      <c r="G17" s="2620"/>
      <c r="H17" s="2620"/>
      <c r="I17" s="2619"/>
      <c r="J17" s="2612"/>
    </row>
    <row r="18" ht="16.5" spans="1:10">
      <c r="A18" s="2617" t="s">
        <v>996</v>
      </c>
      <c r="B18" s="2619"/>
      <c r="C18" s="2619"/>
      <c r="D18" s="2619"/>
      <c r="E18" s="2618" t="e">
        <f t="shared" si="2"/>
        <v>#DIV/0!</v>
      </c>
      <c r="F18" s="2618" t="e">
        <f t="shared" si="3"/>
        <v>#DIV/0!</v>
      </c>
      <c r="G18" s="2619"/>
      <c r="H18" s="2619"/>
      <c r="I18" s="2619"/>
      <c r="J18" s="2612"/>
    </row>
    <row r="19" ht="16.5" spans="1:10">
      <c r="A19" s="2617" t="s">
        <v>997</v>
      </c>
      <c r="B19" s="2619"/>
      <c r="C19" s="2619"/>
      <c r="D19" s="2619"/>
      <c r="E19" s="2618" t="e">
        <f t="shared" si="2"/>
        <v>#DIV/0!</v>
      </c>
      <c r="F19" s="2618" t="e">
        <f t="shared" si="3"/>
        <v>#DIV/0!</v>
      </c>
      <c r="G19" s="2619"/>
      <c r="H19" s="2619"/>
      <c r="I19" s="2619"/>
      <c r="J19" s="2612"/>
    </row>
    <row r="20" ht="16.5" spans="1:10">
      <c r="A20" s="2617" t="s">
        <v>998</v>
      </c>
      <c r="B20" s="2619"/>
      <c r="C20" s="2619"/>
      <c r="D20" s="2619"/>
      <c r="E20" s="2618" t="e">
        <f t="shared" si="2"/>
        <v>#DIV/0!</v>
      </c>
      <c r="F20" s="2618" t="e">
        <f t="shared" si="3"/>
        <v>#DIV/0!</v>
      </c>
      <c r="G20" s="2619"/>
      <c r="H20" s="2619"/>
      <c r="I20" s="2619"/>
      <c r="J20" s="2612"/>
    </row>
    <row r="21" ht="16.5" spans="1:10">
      <c r="A21" s="2617" t="s">
        <v>999</v>
      </c>
      <c r="B21" s="2619"/>
      <c r="C21" s="2619"/>
      <c r="D21" s="2619"/>
      <c r="E21" s="2618" t="e">
        <f t="shared" si="2"/>
        <v>#DIV/0!</v>
      </c>
      <c r="F21" s="2618" t="e">
        <f t="shared" si="3"/>
        <v>#DIV/0!</v>
      </c>
      <c r="G21" s="2619"/>
      <c r="H21" s="2619"/>
      <c r="I21" s="2619"/>
      <c r="J21" s="2612"/>
    </row>
    <row r="22" ht="16.5" spans="1:10">
      <c r="A22" s="2617" t="s">
        <v>1000</v>
      </c>
      <c r="B22" s="2619"/>
      <c r="C22" s="2619"/>
      <c r="D22" s="2619"/>
      <c r="E22" s="2618" t="e">
        <f t="shared" si="2"/>
        <v>#DIV/0!</v>
      </c>
      <c r="F22" s="2618" t="e">
        <f t="shared" si="3"/>
        <v>#DIV/0!</v>
      </c>
      <c r="G22" s="2619"/>
      <c r="H22" s="2619"/>
      <c r="I22" s="2619"/>
      <c r="J22" s="2612"/>
    </row>
    <row r="23" ht="16.5" spans="1:10">
      <c r="A23" s="2617" t="s">
        <v>1001</v>
      </c>
      <c r="B23" s="2619"/>
      <c r="C23" s="2619"/>
      <c r="D23" s="2619"/>
      <c r="E23" s="2614" t="e">
        <f t="shared" si="2"/>
        <v>#DIV/0!</v>
      </c>
      <c r="F23" s="2614" t="e">
        <f t="shared" si="3"/>
        <v>#DIV/0!</v>
      </c>
      <c r="G23" s="2619"/>
      <c r="H23" s="2619"/>
      <c r="I23" s="2619"/>
      <c r="J23" s="2612"/>
    </row>
    <row r="24" spans="1:10">
      <c r="A24" s="2612"/>
      <c r="B24" s="2612"/>
      <c r="C24" s="2612"/>
      <c r="D24" s="2612"/>
      <c r="E24" s="2612"/>
      <c r="F24" s="2612"/>
      <c r="G24" s="2612"/>
      <c r="H24" s="2612"/>
      <c r="I24" s="2612"/>
      <c r="J24" s="2612"/>
    </row>
    <row r="25" spans="1:10">
      <c r="A25" s="2612"/>
      <c r="B25" s="2612"/>
      <c r="C25" s="2612"/>
      <c r="D25" s="2612"/>
      <c r="E25" s="2612"/>
      <c r="F25" s="2612"/>
      <c r="G25" s="2612"/>
      <c r="H25" s="2612"/>
      <c r="I25" s="2612"/>
      <c r="J25" s="2612"/>
    </row>
    <row r="26" spans="1:10">
      <c r="A26" s="2612"/>
      <c r="B26" s="2612"/>
      <c r="C26" s="2612"/>
      <c r="D26" s="2612"/>
      <c r="E26" s="2612"/>
      <c r="F26" s="2612"/>
      <c r="G26" s="2612"/>
      <c r="H26" s="2612"/>
      <c r="I26" s="2612"/>
      <c r="J26" s="2612"/>
    </row>
  </sheetData>
  <sheetProtection password="CEE9" sheet="1" formatCells="0" formatColumns="0" formatRows="0" objects="1" scenarios="1"/>
  <pageMargins left="0.7" right="0.7" top="0.75" bottom="0.75" header="0.3" footer="0.3"/>
  <pageSetup paperSize="9" scale="85"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pageSetUpPr fitToPage="1"/>
  </sheetPr>
  <dimension ref="A1:Z206"/>
  <sheetViews>
    <sheetView view="pageBreakPreview" zoomScale="70" zoomScalePageLayoutView="80" zoomScaleNormal="100" workbookViewId="0">
      <selection activeCell="F27" sqref="F27"/>
    </sheetView>
  </sheetViews>
  <sheetFormatPr defaultColWidth="12.625" defaultRowHeight="21.75" customHeight="1"/>
  <cols>
    <col min="1" max="2" width="12.75" style="75" customWidth="1"/>
    <col min="3" max="4" width="12.625" style="75" customWidth="1"/>
    <col min="5" max="9" width="12.75" style="75" customWidth="1"/>
    <col min="10" max="10" width="2.25" style="69" customWidth="1"/>
    <col min="11" max="12" width="12.625" style="69" customWidth="1"/>
    <col min="13" max="13" width="12.625" style="69"/>
    <col min="14" max="14" width="15.625" style="69" customWidth="1"/>
    <col min="15" max="19" width="12.75" style="69" customWidth="1"/>
    <col min="20" max="26" width="12.625" style="69"/>
    <col min="27" max="16384" width="12.625" style="75"/>
  </cols>
  <sheetData>
    <row r="1" customHeight="1" spans="1:22">
      <c r="A1" s="2216" t="s">
        <v>1002</v>
      </c>
      <c r="B1" s="2217"/>
      <c r="C1" s="2218" t="s">
        <v>1003</v>
      </c>
      <c r="D1" s="2219" t="s">
        <v>1004</v>
      </c>
      <c r="E1" s="2218" t="s">
        <v>1005</v>
      </c>
      <c r="F1" s="2220"/>
      <c r="G1" s="117"/>
      <c r="H1" s="117"/>
      <c r="I1" s="117"/>
      <c r="J1" s="185"/>
      <c r="K1" s="185"/>
      <c r="L1" s="185"/>
      <c r="M1" s="185"/>
      <c r="N1" s="185"/>
      <c r="O1" s="185"/>
      <c r="P1" s="185"/>
      <c r="Q1" s="185"/>
      <c r="R1" s="185"/>
      <c r="S1" s="185"/>
      <c r="T1" s="185"/>
      <c r="U1" s="185"/>
      <c r="V1" s="185"/>
    </row>
    <row r="2" customHeight="1" spans="1:22">
      <c r="A2" s="2221" t="str">
        <f>项目基本情况!K2</f>
        <v>北京市出让国有建设用地使用权</v>
      </c>
      <c r="B2" s="2222"/>
      <c r="C2" s="2223"/>
      <c r="D2" s="2223"/>
      <c r="E2" s="2223"/>
      <c r="F2" s="2223"/>
      <c r="G2" s="2222"/>
      <c r="H2" s="2222"/>
      <c r="I2" s="2361"/>
      <c r="J2" s="2362"/>
      <c r="K2" s="185"/>
      <c r="L2" s="185"/>
      <c r="M2" s="185"/>
      <c r="N2" s="185"/>
      <c r="O2" s="185"/>
      <c r="P2" s="185"/>
      <c r="Q2" s="185"/>
      <c r="R2" s="185"/>
      <c r="S2" s="185"/>
      <c r="T2" s="185"/>
      <c r="U2" s="185"/>
      <c r="V2" s="185"/>
    </row>
    <row r="3" ht="14.25" spans="1:22">
      <c r="A3" s="2224" t="s">
        <v>1006</v>
      </c>
      <c r="B3" s="937"/>
      <c r="C3" s="937"/>
      <c r="D3" s="937"/>
      <c r="E3" s="937"/>
      <c r="F3" s="937"/>
      <c r="G3" s="937"/>
      <c r="H3" s="937"/>
      <c r="I3" s="937"/>
      <c r="J3" s="2362"/>
      <c r="K3" s="185"/>
      <c r="L3" s="185"/>
      <c r="M3" s="185"/>
      <c r="N3" s="185"/>
      <c r="O3" s="185"/>
      <c r="P3" s="185"/>
      <c r="Q3" s="185"/>
      <c r="R3" s="185"/>
      <c r="S3" s="185"/>
      <c r="T3" s="185"/>
      <c r="U3" s="185"/>
      <c r="V3" s="185"/>
    </row>
    <row r="4" ht="14.25" spans="1:22">
      <c r="A4" s="2225" t="s">
        <v>1007</v>
      </c>
      <c r="B4" s="1977" t="s">
        <v>1008</v>
      </c>
      <c r="C4" s="2226" t="s">
        <v>1009</v>
      </c>
      <c r="D4" s="2226" t="s">
        <v>332</v>
      </c>
      <c r="E4" s="2227" t="s">
        <v>1010</v>
      </c>
      <c r="F4" s="962"/>
      <c r="G4" s="962"/>
      <c r="H4" s="962"/>
      <c r="I4" s="2363"/>
      <c r="J4" s="2362"/>
      <c r="K4" s="185"/>
      <c r="L4" s="2364" t="str">
        <f>IF(ISNUMBER(FIND("比较法",C4)),"比较法",IF(ISNUMBER(FIND("成本法",C4)),"成本法",IF(ISNUMBER(FIND("剩余法",C4)),"剩余法",IF(ISNUMBER(FIND("收益法",C4)),"收益法","基准地价系数修正法"))))</f>
        <v>剩余法</v>
      </c>
      <c r="M4" s="118" t="str">
        <f>IF(ISNUMBER(FIND("比较法",D4)),"比较法",IF(ISNUMBER(FIND("成本法",D4)),"成本法",IF(ISNUMBER(FIND("剩余法",D4)),"剩余法",IF(ISNUMBER(FIND("收益法",D4)),"收益法","基准地价系数修正法"))))</f>
        <v>基准地价系数修正法</v>
      </c>
      <c r="N4" s="185"/>
      <c r="O4" s="185"/>
      <c r="P4" s="185"/>
      <c r="Q4" s="185"/>
      <c r="R4" s="185"/>
      <c r="S4" s="185"/>
      <c r="T4" s="185"/>
      <c r="U4" s="185"/>
      <c r="V4" s="185"/>
    </row>
    <row r="5" ht="14.25" spans="1:22">
      <c r="A5" s="2228" t="s">
        <v>1011</v>
      </c>
      <c r="B5" s="488">
        <v>25</v>
      </c>
      <c r="C5" s="2229"/>
      <c r="D5" s="2230"/>
      <c r="E5" s="921" t="s">
        <v>1012</v>
      </c>
      <c r="F5" s="2231"/>
      <c r="G5" s="2231"/>
      <c r="H5" s="2231"/>
      <c r="I5" s="2365"/>
      <c r="J5" s="2362"/>
      <c r="K5" s="185"/>
      <c r="L5" s="185"/>
      <c r="M5" s="185"/>
      <c r="N5" s="185"/>
      <c r="O5" s="185"/>
      <c r="P5" s="185"/>
      <c r="Q5" s="185"/>
      <c r="R5" s="185"/>
      <c r="S5" s="185"/>
      <c r="T5" s="185"/>
      <c r="U5" s="185"/>
      <c r="V5" s="185"/>
    </row>
    <row r="6" ht="14.25" spans="1:22">
      <c r="A6" s="2228"/>
      <c r="B6" s="488"/>
      <c r="C6" s="2232"/>
      <c r="D6" s="2230"/>
      <c r="E6" s="921" t="s">
        <v>1013</v>
      </c>
      <c r="F6" s="2231"/>
      <c r="G6" s="2231"/>
      <c r="H6" s="2231"/>
      <c r="I6" s="2365"/>
      <c r="J6" s="2362"/>
      <c r="K6" s="185"/>
      <c r="L6" s="185"/>
      <c r="M6" s="185"/>
      <c r="N6" s="185"/>
      <c r="O6" s="185"/>
      <c r="P6" s="185"/>
      <c r="Q6" s="185"/>
      <c r="R6" s="185"/>
      <c r="S6" s="185"/>
      <c r="T6" s="185"/>
      <c r="U6" s="185"/>
      <c r="V6" s="185"/>
    </row>
    <row r="7" ht="14.25" spans="1:22">
      <c r="A7" s="2228"/>
      <c r="B7" s="488"/>
      <c r="C7" s="2233"/>
      <c r="D7" s="2230"/>
      <c r="E7" s="921" t="s">
        <v>1014</v>
      </c>
      <c r="F7" s="2231"/>
      <c r="G7" s="2231"/>
      <c r="H7" s="2231"/>
      <c r="I7" s="2365"/>
      <c r="J7" s="2362"/>
      <c r="K7" s="185"/>
      <c r="L7" s="185"/>
      <c r="M7" s="185"/>
      <c r="N7" s="185"/>
      <c r="O7" s="185"/>
      <c r="P7" s="185"/>
      <c r="Q7" s="185"/>
      <c r="R7" s="185"/>
      <c r="S7" s="185"/>
      <c r="T7" s="185"/>
      <c r="U7" s="185"/>
      <c r="V7" s="185"/>
    </row>
    <row r="8" ht="14.25" spans="1:22">
      <c r="A8" s="2228" t="s">
        <v>1015</v>
      </c>
      <c r="B8" s="488">
        <v>15</v>
      </c>
      <c r="C8" s="2229"/>
      <c r="D8" s="2230"/>
      <c r="E8" s="921" t="s">
        <v>1016</v>
      </c>
      <c r="F8" s="2231"/>
      <c r="G8" s="2231"/>
      <c r="H8" s="2231"/>
      <c r="I8" s="2365"/>
      <c r="J8" s="2362"/>
      <c r="K8" s="185"/>
      <c r="L8" s="185"/>
      <c r="M8" s="185"/>
      <c r="N8" s="185"/>
      <c r="O8" s="185"/>
      <c r="P8" s="185"/>
      <c r="Q8" s="185"/>
      <c r="R8" s="185"/>
      <c r="S8" s="185"/>
      <c r="T8" s="185"/>
      <c r="U8" s="185"/>
      <c r="V8" s="185"/>
    </row>
    <row r="9" ht="14.25" spans="1:22">
      <c r="A9" s="2228"/>
      <c r="B9" s="488"/>
      <c r="C9" s="2233"/>
      <c r="D9" s="2230"/>
      <c r="E9" s="921" t="s">
        <v>1017</v>
      </c>
      <c r="F9" s="2231"/>
      <c r="G9" s="2231"/>
      <c r="H9" s="2231"/>
      <c r="I9" s="2365"/>
      <c r="J9" s="2362"/>
      <c r="K9" s="185"/>
      <c r="L9" s="185"/>
      <c r="M9" s="185"/>
      <c r="N9" s="185"/>
      <c r="O9" s="185"/>
      <c r="P9" s="185"/>
      <c r="Q9" s="185"/>
      <c r="R9" s="185"/>
      <c r="S9" s="185"/>
      <c r="T9" s="185"/>
      <c r="U9" s="185"/>
      <c r="V9" s="185"/>
    </row>
    <row r="10" ht="14.25" spans="1:22">
      <c r="A10" s="2228" t="s">
        <v>1018</v>
      </c>
      <c r="B10" s="488">
        <v>15</v>
      </c>
      <c r="C10" s="2229"/>
      <c r="D10" s="2230"/>
      <c r="E10" s="921" t="s">
        <v>1019</v>
      </c>
      <c r="F10" s="2231"/>
      <c r="G10" s="2231"/>
      <c r="H10" s="2231"/>
      <c r="I10" s="2365"/>
      <c r="J10" s="2362"/>
      <c r="K10" s="185"/>
      <c r="L10" s="185"/>
      <c r="M10" s="185"/>
      <c r="N10" s="185"/>
      <c r="O10" s="185"/>
      <c r="P10" s="185"/>
      <c r="Q10" s="185"/>
      <c r="R10" s="185"/>
      <c r="S10" s="185"/>
      <c r="T10" s="185"/>
      <c r="U10" s="185"/>
      <c r="V10" s="185"/>
    </row>
    <row r="11" ht="14.25" spans="1:22">
      <c r="A11" s="2228"/>
      <c r="B11" s="488"/>
      <c r="C11" s="2233"/>
      <c r="D11" s="2230"/>
      <c r="E11" s="921" t="s">
        <v>1020</v>
      </c>
      <c r="F11" s="2231"/>
      <c r="G11" s="2231"/>
      <c r="H11" s="2231"/>
      <c r="I11" s="2365"/>
      <c r="J11" s="2362"/>
      <c r="K11" s="185"/>
      <c r="L11" s="185"/>
      <c r="M11" s="185"/>
      <c r="N11" s="185"/>
      <c r="O11" s="185"/>
      <c r="P11" s="185"/>
      <c r="Q11" s="185"/>
      <c r="R11" s="185"/>
      <c r="S11" s="185"/>
      <c r="T11" s="185"/>
      <c r="U11" s="185"/>
      <c r="V11" s="185"/>
    </row>
    <row r="12" ht="14.25" spans="1:22">
      <c r="A12" s="2228" t="s">
        <v>1021</v>
      </c>
      <c r="B12" s="488">
        <v>15</v>
      </c>
      <c r="C12" s="2229"/>
      <c r="D12" s="2230"/>
      <c r="E12" s="921" t="s">
        <v>1022</v>
      </c>
      <c r="F12" s="2231"/>
      <c r="G12" s="2231"/>
      <c r="H12" s="2231"/>
      <c r="I12" s="2365"/>
      <c r="J12" s="2362"/>
      <c r="K12" s="185"/>
      <c r="L12" s="185"/>
      <c r="M12" s="185"/>
      <c r="N12" s="185"/>
      <c r="O12" s="185"/>
      <c r="P12" s="185"/>
      <c r="Q12" s="185"/>
      <c r="R12" s="185"/>
      <c r="S12" s="185"/>
      <c r="T12" s="185"/>
      <c r="U12" s="185"/>
      <c r="V12" s="185"/>
    </row>
    <row r="13" ht="14.25" spans="1:22">
      <c r="A13" s="2228"/>
      <c r="B13" s="488"/>
      <c r="C13" s="2233"/>
      <c r="D13" s="2230"/>
      <c r="E13" s="921" t="s">
        <v>1023</v>
      </c>
      <c r="F13" s="2231"/>
      <c r="G13" s="2231"/>
      <c r="H13" s="2231"/>
      <c r="I13" s="2365"/>
      <c r="J13" s="2362"/>
      <c r="K13" s="185"/>
      <c r="L13" s="185"/>
      <c r="M13" s="185"/>
      <c r="N13" s="185"/>
      <c r="O13" s="185"/>
      <c r="P13" s="185"/>
      <c r="Q13" s="185"/>
      <c r="R13" s="185"/>
      <c r="S13" s="185"/>
      <c r="T13" s="185"/>
      <c r="U13" s="185"/>
      <c r="V13" s="185"/>
    </row>
    <row r="14" ht="14.25" spans="1:22">
      <c r="A14" s="2228" t="s">
        <v>1024</v>
      </c>
      <c r="B14" s="488">
        <v>30</v>
      </c>
      <c r="C14" s="2229">
        <v>5</v>
      </c>
      <c r="D14" s="2230">
        <v>5</v>
      </c>
      <c r="E14" s="921" t="s">
        <v>1025</v>
      </c>
      <c r="F14" s="2231"/>
      <c r="G14" s="2231"/>
      <c r="H14" s="2231"/>
      <c r="I14" s="2365"/>
      <c r="J14" s="2362"/>
      <c r="K14" s="185"/>
      <c r="L14" s="185"/>
      <c r="M14" s="185"/>
      <c r="N14" s="185"/>
      <c r="O14" s="185"/>
      <c r="P14" s="185"/>
      <c r="Q14" s="185"/>
      <c r="R14" s="185"/>
      <c r="S14" s="185"/>
      <c r="T14" s="185"/>
      <c r="U14" s="185"/>
      <c r="V14" s="185"/>
    </row>
    <row r="15" ht="14.25" spans="1:22">
      <c r="A15" s="2228"/>
      <c r="B15" s="488"/>
      <c r="C15" s="2232"/>
      <c r="D15" s="2230"/>
      <c r="E15" s="921" t="s">
        <v>1026</v>
      </c>
      <c r="F15" s="2231"/>
      <c r="G15" s="2231"/>
      <c r="H15" s="2231"/>
      <c r="I15" s="2365"/>
      <c r="J15" s="2362"/>
      <c r="K15" s="185"/>
      <c r="L15" s="185"/>
      <c r="M15" s="185"/>
      <c r="N15" s="185"/>
      <c r="O15" s="185"/>
      <c r="P15" s="185"/>
      <c r="Q15" s="185"/>
      <c r="R15" s="185"/>
      <c r="S15" s="185"/>
      <c r="T15" s="185"/>
      <c r="U15" s="185"/>
      <c r="V15" s="185"/>
    </row>
    <row r="16" ht="14.25" spans="1:22">
      <c r="A16" s="2228"/>
      <c r="B16" s="488"/>
      <c r="C16" s="2233"/>
      <c r="D16" s="2230"/>
      <c r="E16" s="921" t="s">
        <v>1027</v>
      </c>
      <c r="F16" s="2231"/>
      <c r="G16" s="2231"/>
      <c r="H16" s="2231"/>
      <c r="I16" s="2365"/>
      <c r="J16" s="2362"/>
      <c r="K16" s="185"/>
      <c r="L16" s="185"/>
      <c r="M16" s="185"/>
      <c r="N16" s="185"/>
      <c r="O16" s="185"/>
      <c r="P16" s="185"/>
      <c r="Q16" s="185"/>
      <c r="R16" s="185"/>
      <c r="S16" s="185"/>
      <c r="T16" s="185"/>
      <c r="U16" s="185"/>
      <c r="V16" s="185"/>
    </row>
    <row r="17" ht="14.25" spans="1:22">
      <c r="A17" s="2234" t="s">
        <v>1028</v>
      </c>
      <c r="B17" s="2235"/>
      <c r="C17" s="2236">
        <f>SUM(C5:C16)</f>
        <v>5</v>
      </c>
      <c r="D17" s="2236">
        <f>SUM(D5:D16)</f>
        <v>5</v>
      </c>
      <c r="E17" s="117"/>
      <c r="F17" s="117"/>
      <c r="G17" s="117"/>
      <c r="H17" s="117"/>
      <c r="I17" s="117"/>
      <c r="J17" s="2362"/>
      <c r="K17" s="185"/>
      <c r="L17" s="185"/>
      <c r="M17" s="185"/>
      <c r="N17" s="185"/>
      <c r="O17" s="185"/>
      <c r="P17" s="185"/>
      <c r="Q17" s="185"/>
      <c r="R17" s="185"/>
      <c r="S17" s="185"/>
      <c r="T17" s="185"/>
      <c r="U17" s="185"/>
      <c r="V17" s="185"/>
    </row>
    <row r="18" ht="32.45" customHeight="1" spans="1:22">
      <c r="A18" s="2237" t="s">
        <v>1029</v>
      </c>
      <c r="B18" s="2238"/>
      <c r="C18" s="2239">
        <f>ROUND(C17/SUM(C17:D17),2)</f>
        <v>0.5</v>
      </c>
      <c r="D18" s="2239">
        <f>1-C18</f>
        <v>0.5</v>
      </c>
      <c r="E18" s="2240" t="s">
        <v>1030</v>
      </c>
      <c r="F18" s="2241"/>
      <c r="G18" s="2241"/>
      <c r="H18" s="2241"/>
      <c r="I18" s="2241"/>
      <c r="J18" s="185"/>
      <c r="K18" s="185"/>
      <c r="L18" s="185"/>
      <c r="M18" s="185"/>
      <c r="N18" s="185"/>
      <c r="O18" s="185"/>
      <c r="P18" s="185"/>
      <c r="Q18" s="185"/>
      <c r="R18" s="185"/>
      <c r="S18" s="185"/>
      <c r="T18" s="185"/>
      <c r="U18" s="185"/>
      <c r="V18" s="185"/>
    </row>
    <row r="19" ht="14.25" spans="1:22">
      <c r="A19" s="2242" t="s">
        <v>1031</v>
      </c>
      <c r="B19" s="2243" t="s">
        <v>1032</v>
      </c>
      <c r="C19" s="2244">
        <f ca="1">SUMIF(INDIRECT("'"&amp;C4&amp;"'"&amp;"!A:A"),结果表!B19,INDIRECT("'"&amp;C4&amp;"'"&amp;"!B:B"))</f>
        <v>22332</v>
      </c>
      <c r="D19" s="2245">
        <f ca="1">SUMIF(INDIRECT("'"&amp;D4&amp;"'"&amp;"!A:A"),结果表!B19,INDIRECT("'"&amp;D4&amp;"'"&amp;"!B:B"))</f>
        <v>22503</v>
      </c>
      <c r="E19" s="2242" t="s">
        <v>1033</v>
      </c>
      <c r="F19" s="2243" t="s">
        <v>1032</v>
      </c>
      <c r="G19" s="2246">
        <f ca="1">ROUND(C19*$C$18+D19*$D$18,0)</f>
        <v>22418</v>
      </c>
      <c r="H19" s="2247" t="s">
        <v>1034</v>
      </c>
      <c r="I19" s="117"/>
      <c r="J19" s="185"/>
      <c r="K19" s="185"/>
      <c r="L19" s="185"/>
      <c r="M19" s="185"/>
      <c r="N19" s="185"/>
      <c r="O19" s="185"/>
      <c r="P19" s="185"/>
      <c r="Q19" s="185"/>
      <c r="R19" s="185"/>
      <c r="S19" s="185"/>
      <c r="T19" s="185"/>
      <c r="U19" s="185"/>
      <c r="V19" s="185"/>
    </row>
    <row r="20" ht="15" spans="1:22">
      <c r="A20" s="2248"/>
      <c r="B20" s="2249" t="s">
        <v>261</v>
      </c>
      <c r="C20" s="2250">
        <f ca="1">SUMIF(INDIRECT("'"&amp;C4&amp;"'"&amp;"!A:A"),结果表!B20,INDIRECT("'"&amp;C4&amp;"'"&amp;"!B:B"))</f>
        <v>8925</v>
      </c>
      <c r="D20" s="2251">
        <f ca="1">SUMIF(INDIRECT("'"&amp;D4&amp;"'"&amp;"!A:A"),结果表!B20,INDIRECT("'"&amp;D4&amp;"'"&amp;"!B:B"))</f>
        <v>8993</v>
      </c>
      <c r="E20" s="2248"/>
      <c r="F20" s="2249" t="s">
        <v>261</v>
      </c>
      <c r="G20" s="2252">
        <f ca="1">ROUND(C20*$C$18+D20*$D$18,0)</f>
        <v>8959</v>
      </c>
      <c r="H20" s="2205" t="s">
        <v>1035</v>
      </c>
      <c r="I20" s="117"/>
      <c r="J20" s="185"/>
      <c r="K20" s="185"/>
      <c r="L20" s="185"/>
      <c r="M20" s="185"/>
      <c r="N20" s="185"/>
      <c r="O20" s="185"/>
      <c r="P20" s="185"/>
      <c r="Q20" s="185"/>
      <c r="R20" s="185"/>
      <c r="S20" s="185"/>
      <c r="T20" s="185"/>
      <c r="U20" s="185"/>
      <c r="V20" s="185"/>
    </row>
    <row r="21" ht="15" customHeight="1" spans="1:22">
      <c r="A21" s="2248"/>
      <c r="B21" s="2253" t="s">
        <v>249</v>
      </c>
      <c r="C21" s="2254">
        <f ca="1">SUMIF(INDIRECT("'"&amp;C4&amp;"'"&amp;"!A:A"),结果表!B21,INDIRECT("'"&amp;C4&amp;"'"&amp;"!B:B"))</f>
        <v>23393</v>
      </c>
      <c r="D21" s="2255">
        <f ca="1">SUMIF(INDIRECT("'"&amp;D4&amp;"'"&amp;"!A:A"),结果表!B21,INDIRECT("'"&amp;D4&amp;"'"&amp;"!B:B"))</f>
        <v>10994</v>
      </c>
      <c r="E21" s="2248"/>
      <c r="F21" s="2253" t="s">
        <v>249</v>
      </c>
      <c r="G21" s="2256">
        <f ca="1">ROUND(C21*$C$18+D21*$D$18,0)</f>
        <v>17194</v>
      </c>
      <c r="H21" s="2257" t="s">
        <v>1035</v>
      </c>
      <c r="I21" s="117"/>
      <c r="J21" s="185"/>
      <c r="K21" s="185"/>
      <c r="L21" s="185"/>
      <c r="M21" s="185"/>
      <c r="N21" s="185"/>
      <c r="O21" s="185"/>
      <c r="P21" s="185"/>
      <c r="Q21" s="185"/>
      <c r="R21" s="185"/>
      <c r="S21" s="185"/>
      <c r="T21" s="185"/>
      <c r="U21" s="185"/>
      <c r="V21" s="185"/>
    </row>
    <row r="22" ht="15.75" spans="1:22">
      <c r="A22" s="2258" t="s">
        <v>1036</v>
      </c>
      <c r="B22" s="2259"/>
      <c r="C22" s="2260"/>
      <c r="D22" s="2261">
        <f ca="1">IF(C19&lt;D19,D19/C19-1,C19/D19-1)</f>
        <v>0.00765717356260076</v>
      </c>
      <c r="E22" s="2197"/>
      <c r="F22" s="2262"/>
      <c r="G22" s="2263">
        <f ca="1">ROUND(G19/('数据-汇总表'!D3/666.67),0)</f>
        <v>730</v>
      </c>
      <c r="H22" s="2264" t="s">
        <v>1037</v>
      </c>
      <c r="I22" s="117"/>
      <c r="J22" s="185"/>
      <c r="K22" s="185"/>
      <c r="L22" s="185"/>
      <c r="M22" s="185"/>
      <c r="N22" s="185"/>
      <c r="O22" s="185"/>
      <c r="P22" s="185"/>
      <c r="Q22" s="185"/>
      <c r="R22" s="185"/>
      <c r="S22" s="185"/>
      <c r="T22" s="185"/>
      <c r="U22" s="185"/>
      <c r="V22" s="185"/>
    </row>
    <row r="23" ht="14.25" spans="1:22">
      <c r="A23" s="117"/>
      <c r="B23" s="117"/>
      <c r="C23" s="117"/>
      <c r="D23" s="117"/>
      <c r="E23" s="117"/>
      <c r="F23" s="117"/>
      <c r="G23" s="117"/>
      <c r="H23" s="117"/>
      <c r="I23" s="117"/>
      <c r="J23" s="185"/>
      <c r="K23" s="185"/>
      <c r="L23" s="185"/>
      <c r="M23" s="185"/>
      <c r="N23" s="185"/>
      <c r="O23" s="185"/>
      <c r="P23" s="185"/>
      <c r="Q23" s="185"/>
      <c r="R23" s="185"/>
      <c r="S23" s="185"/>
      <c r="T23" s="185"/>
      <c r="U23" s="185"/>
      <c r="V23" s="185"/>
    </row>
    <row r="24" ht="15" spans="1:22">
      <c r="A24" s="2265" t="s">
        <v>1038</v>
      </c>
      <c r="B24" s="2243" t="s">
        <v>1032</v>
      </c>
      <c r="C24" s="2266">
        <f>IF(B30=0,0,D30)</f>
        <v>0</v>
      </c>
      <c r="D24" s="2267"/>
      <c r="E24" s="117"/>
      <c r="F24" s="117"/>
      <c r="G24" s="117"/>
      <c r="H24" s="117"/>
      <c r="I24" s="117"/>
      <c r="J24" s="185"/>
      <c r="K24" s="185"/>
      <c r="L24" s="185"/>
      <c r="M24" s="185"/>
      <c r="N24" s="185"/>
      <c r="O24" s="185"/>
      <c r="P24" s="185"/>
      <c r="Q24" s="185"/>
      <c r="R24" s="185"/>
      <c r="S24" s="185"/>
      <c r="T24" s="185"/>
      <c r="U24" s="185"/>
      <c r="V24" s="185"/>
    </row>
    <row r="25" ht="18" spans="1:22">
      <c r="A25" s="2268"/>
      <c r="B25" s="2269" t="s">
        <v>261</v>
      </c>
      <c r="C25" s="2270">
        <f>IF(B30=0,0,C30)</f>
        <v>0</v>
      </c>
      <c r="D25" s="2271"/>
      <c r="E25" s="117"/>
      <c r="F25" s="117"/>
      <c r="G25" s="117"/>
      <c r="H25" s="117"/>
      <c r="I25" s="117"/>
      <c r="J25" s="185"/>
      <c r="K25" s="2366" t="str">
        <f ca="1">项目基本情况!B16&amp;"国有建设用地使用权价格："&amp;O38&amp;"万元"</f>
        <v>出让国有建设用地使用权价格：22418万元</v>
      </c>
      <c r="L25" s="2367"/>
      <c r="M25" s="2367"/>
      <c r="N25" s="2367"/>
      <c r="O25" s="2368"/>
      <c r="P25" s="185"/>
      <c r="Q25" s="185"/>
      <c r="R25" s="185"/>
      <c r="S25" s="185"/>
      <c r="T25" s="185"/>
      <c r="U25" s="185"/>
      <c r="V25" s="185"/>
    </row>
    <row r="26" s="2214" customFormat="1" ht="18" spans="1:26">
      <c r="A26" s="2272" t="s">
        <v>1039</v>
      </c>
      <c r="B26" s="2273" t="s">
        <v>1040</v>
      </c>
      <c r="C26" s="2273" t="s">
        <v>1041</v>
      </c>
      <c r="D26" s="2274" t="s">
        <v>1042</v>
      </c>
      <c r="E26" s="117"/>
      <c r="F26" s="117"/>
      <c r="G26" s="117"/>
      <c r="H26" s="117"/>
      <c r="I26" s="117"/>
      <c r="J26" s="185"/>
      <c r="K26" s="2369" t="str">
        <f ca="1">"大写金额：人民币"&amp;NUMBERSTRING(INT(O38*10000),2)&amp;"元整"</f>
        <v>大写金额：人民币贰亿贰仟肆佰壹拾捌万元整</v>
      </c>
      <c r="L26" s="2259"/>
      <c r="M26" s="2259"/>
      <c r="N26" s="2259"/>
      <c r="O26" s="2257"/>
      <c r="P26" s="185"/>
      <c r="Q26" s="185"/>
      <c r="R26" s="185"/>
      <c r="S26" s="185"/>
      <c r="T26" s="185"/>
      <c r="U26" s="185"/>
      <c r="V26" s="185"/>
      <c r="W26" s="2096"/>
      <c r="X26" s="2096"/>
      <c r="Y26" s="2096"/>
      <c r="Z26" s="2096"/>
    </row>
    <row r="27" ht="18" spans="1:22">
      <c r="A27" s="2272"/>
      <c r="B27" s="2273"/>
      <c r="C27" s="2273"/>
      <c r="D27" s="2274"/>
      <c r="E27" s="117"/>
      <c r="F27" s="117"/>
      <c r="G27" s="117"/>
      <c r="H27" s="117"/>
      <c r="I27" s="117"/>
      <c r="J27" s="185"/>
      <c r="K27" s="2369" t="str">
        <f ca="1">"单位面积地价："&amp;M38&amp;"元/平方米"</f>
        <v>单位面积地价：10953元/平方米</v>
      </c>
      <c r="L27" s="2259"/>
      <c r="M27" s="2259"/>
      <c r="N27" s="2259"/>
      <c r="O27" s="2257"/>
      <c r="P27" s="185"/>
      <c r="Q27" s="185"/>
      <c r="R27" s="185"/>
      <c r="S27" s="185"/>
      <c r="T27" s="185"/>
      <c r="U27" s="185"/>
      <c r="V27" s="185"/>
    </row>
    <row r="28" ht="18.75" customHeight="1" spans="1:22">
      <c r="A28" s="2272"/>
      <c r="B28" s="2273"/>
      <c r="C28" s="2273"/>
      <c r="D28" s="2274"/>
      <c r="E28" s="117"/>
      <c r="F28" s="117"/>
      <c r="G28" s="117"/>
      <c r="H28" s="117"/>
      <c r="I28" s="117"/>
      <c r="J28" s="185"/>
      <c r="K28" s="2369" t="str">
        <f ca="1">"楼面地价："&amp;N38&amp;"元/平方米"</f>
        <v>楼面地价：3877元/平方米</v>
      </c>
      <c r="L28" s="2259"/>
      <c r="M28" s="2259"/>
      <c r="N28" s="2259"/>
      <c r="O28" s="2257"/>
      <c r="P28" s="185"/>
      <c r="V28" s="185"/>
    </row>
    <row r="29" ht="18" spans="1:22">
      <c r="A29" s="2272"/>
      <c r="B29" s="2273"/>
      <c r="C29" s="2273"/>
      <c r="D29" s="2274"/>
      <c r="E29" s="117"/>
      <c r="F29" s="117"/>
      <c r="G29" s="117"/>
      <c r="H29" s="117"/>
      <c r="I29" s="117"/>
      <c r="J29" s="185"/>
      <c r="K29" s="2369" t="str">
        <f ca="1">IF(OR(项目基本情况!E8="抵押价格",项目基本情况!E8="已注销及未注销"),"抵押价格："&amp;O39&amp;"万元","——")</f>
        <v>——</v>
      </c>
      <c r="L29" s="2259"/>
      <c r="M29" s="2259"/>
      <c r="N29" s="2259"/>
      <c r="O29" s="2257"/>
      <c r="P29" s="185"/>
      <c r="V29" s="185"/>
    </row>
    <row r="30" ht="18.75" spans="1:22">
      <c r="A30" s="2275" t="s">
        <v>1043</v>
      </c>
      <c r="B30" s="2276"/>
      <c r="C30" s="2276"/>
      <c r="D30" s="2277"/>
      <c r="E30" s="2278" t="s">
        <v>1044</v>
      </c>
      <c r="F30" s="117"/>
      <c r="G30" s="117"/>
      <c r="H30" s="117"/>
      <c r="I30" s="117"/>
      <c r="J30" s="185"/>
      <c r="K30" s="2369" t="str">
        <f ca="1">IF(K29="——","——","大写金额：人民币"&amp;NUMBERSTRING(INT(O39*10000),2)&amp;"元整")</f>
        <v>——</v>
      </c>
      <c r="L30" s="2259"/>
      <c r="M30" s="2259"/>
      <c r="N30" s="2259"/>
      <c r="O30" s="2257"/>
      <c r="P30" s="185"/>
      <c r="V30" s="185"/>
    </row>
    <row r="31" ht="24" customHeight="1" spans="1:22">
      <c r="A31" s="2279" t="s">
        <v>1045</v>
      </c>
      <c r="B31" s="2279"/>
      <c r="C31" s="2279"/>
      <c r="D31" s="2279"/>
      <c r="E31" s="2279"/>
      <c r="F31" s="2279"/>
      <c r="G31" s="2279"/>
      <c r="H31" s="2279"/>
      <c r="I31" s="2279"/>
      <c r="J31" s="185"/>
      <c r="K31" s="2370" t="str">
        <f ca="1">IF(项目基本情况!E8="抵押价格","——","抵押担保权已注销时的抵押价格："&amp;O40&amp;"万元")</f>
        <v>抵押担保权已注销时的抵押价格：——万元</v>
      </c>
      <c r="L31" s="2371"/>
      <c r="M31" s="2371"/>
      <c r="N31" s="2371"/>
      <c r="O31" s="2372"/>
      <c r="P31" s="185"/>
      <c r="V31" s="185"/>
    </row>
    <row r="32" ht="19.5" spans="1:22">
      <c r="A32" s="2248" t="s">
        <v>1046</v>
      </c>
      <c r="B32" s="2280" t="s">
        <v>1047</v>
      </c>
      <c r="C32" s="2237">
        <f ca="1">G19-C24</f>
        <v>22418</v>
      </c>
      <c r="D32" s="2281" t="s">
        <v>1048</v>
      </c>
      <c r="E32" s="117"/>
      <c r="F32" s="117"/>
      <c r="G32" s="117"/>
      <c r="H32" s="117"/>
      <c r="I32" s="117"/>
      <c r="J32" s="185"/>
      <c r="K32" s="2373" t="e">
        <f ca="1">IF(K31="——","——","大写金额：人民币"&amp;NUMBERSTRING(INT(O40*10000),2)&amp;"元整")</f>
        <v>#VALUE!</v>
      </c>
      <c r="L32" s="2374"/>
      <c r="M32" s="2374"/>
      <c r="N32" s="2374"/>
      <c r="O32" s="2375"/>
      <c r="P32" s="185"/>
      <c r="V32" s="185"/>
    </row>
    <row r="33" ht="18.75" spans="1:22">
      <c r="A33" s="2282" t="s">
        <v>1049</v>
      </c>
      <c r="B33" s="2283" t="s">
        <v>1050</v>
      </c>
      <c r="C33" s="2234">
        <f ca="1">ROUND(C32*10000/'数据-汇总表'!E3,0)</f>
        <v>3877</v>
      </c>
      <c r="D33" s="2284" t="s">
        <v>1051</v>
      </c>
      <c r="E33" s="2265" t="s">
        <v>1052</v>
      </c>
      <c r="F33" s="2285" t="s">
        <v>1053</v>
      </c>
      <c r="G33" s="2286"/>
      <c r="H33" s="2287"/>
      <c r="I33" s="2376"/>
      <c r="J33" s="185"/>
      <c r="K33" s="2369" t="str">
        <f ca="1">IF(项目基本情况!E9="——","——","抵押净值："&amp;C46&amp;"万元")</f>
        <v>抵押净值：——万元</v>
      </c>
      <c r="L33" s="2259"/>
      <c r="M33" s="2259"/>
      <c r="N33" s="2259"/>
      <c r="O33" s="2257"/>
      <c r="P33" s="185"/>
      <c r="V33" s="185"/>
    </row>
    <row r="34" s="2214" customFormat="1" ht="18.75" spans="1:26">
      <c r="A34" s="2288"/>
      <c r="B34" s="2289" t="s">
        <v>1054</v>
      </c>
      <c r="C34" s="2234">
        <f ca="1">ROUND(C32*10000/'数据-汇总表'!D3,0)</f>
        <v>10953</v>
      </c>
      <c r="D34" s="2290" t="s">
        <v>1051</v>
      </c>
      <c r="E34" s="2291"/>
      <c r="F34" s="2292" t="s">
        <v>1055</v>
      </c>
      <c r="G34" s="2293"/>
      <c r="H34" s="2238"/>
      <c r="I34" s="117"/>
      <c r="J34" s="185"/>
      <c r="K34" s="2377" t="e">
        <f ca="1">IF(K33="——","——","大写金额：人民币"&amp;NUMBERSTRING(INT(O41*10000),2)&amp;"元整")</f>
        <v>#VALUE!</v>
      </c>
      <c r="L34" s="2378"/>
      <c r="M34" s="2378"/>
      <c r="N34" s="2378"/>
      <c r="O34" s="2379"/>
      <c r="P34" s="185"/>
      <c r="Q34" s="2096"/>
      <c r="R34" s="2096"/>
      <c r="S34" s="2096"/>
      <c r="T34" s="2096"/>
      <c r="U34" s="2096"/>
      <c r="V34" s="185"/>
      <c r="W34" s="2096"/>
      <c r="X34" s="2096"/>
      <c r="Y34" s="2096"/>
      <c r="Z34" s="2096"/>
    </row>
    <row r="35" ht="15.75" spans="1:22">
      <c r="A35" s="2197"/>
      <c r="B35" s="2294"/>
      <c r="C35" s="2295">
        <f ca="1">ROUND(C32/('数据-汇总表'!D3/666.67),0)</f>
        <v>730</v>
      </c>
      <c r="D35" s="2296" t="s">
        <v>1056</v>
      </c>
      <c r="E35" s="2297"/>
      <c r="F35" s="2298" t="s">
        <v>1057</v>
      </c>
      <c r="G35" s="2299"/>
      <c r="H35" s="2300" t="s">
        <v>1058</v>
      </c>
      <c r="I35" s="117"/>
      <c r="J35" s="185"/>
      <c r="K35" s="2380" t="s">
        <v>1059</v>
      </c>
      <c r="L35" s="2380" t="s">
        <v>1060</v>
      </c>
      <c r="M35" s="2381" t="s">
        <v>1061</v>
      </c>
      <c r="N35" s="2380" t="s">
        <v>1062</v>
      </c>
      <c r="O35" s="2380" t="s">
        <v>1063</v>
      </c>
      <c r="P35" s="185"/>
      <c r="V35" s="185"/>
    </row>
    <row r="36" ht="16.5" customHeight="1" spans="1:22">
      <c r="A36" s="2301" t="s">
        <v>1064</v>
      </c>
      <c r="B36" s="2302" t="s">
        <v>1040</v>
      </c>
      <c r="C36" s="2303" t="s">
        <v>1041</v>
      </c>
      <c r="D36" s="2303" t="s">
        <v>1065</v>
      </c>
      <c r="E36" s="2304" t="s">
        <v>1042</v>
      </c>
      <c r="F36" s="117"/>
      <c r="G36" s="117"/>
      <c r="H36" s="117"/>
      <c r="I36" s="117"/>
      <c r="J36" s="2382"/>
      <c r="K36" s="2383"/>
      <c r="L36" s="2383"/>
      <c r="M36" s="2384" t="s">
        <v>1066</v>
      </c>
      <c r="N36" s="2383"/>
      <c r="O36" s="2383"/>
      <c r="P36" s="185"/>
      <c r="V36" s="185"/>
    </row>
    <row r="37" ht="16.5" customHeight="1" spans="1:22">
      <c r="A37" s="2305" t="s">
        <v>1067</v>
      </c>
      <c r="B37" s="2306"/>
      <c r="C37" s="2273"/>
      <c r="D37" s="2273"/>
      <c r="E37" s="2274"/>
      <c r="F37" s="117"/>
      <c r="G37" s="117"/>
      <c r="H37" s="117"/>
      <c r="I37" s="117"/>
      <c r="J37" s="2382"/>
      <c r="K37" s="2385"/>
      <c r="L37" s="2385"/>
      <c r="M37" s="2386"/>
      <c r="N37" s="2385"/>
      <c r="O37" s="2385"/>
      <c r="P37" s="185"/>
      <c r="V37" s="185"/>
    </row>
    <row r="38" ht="16.5" customHeight="1" spans="1:22">
      <c r="A38" s="2305" t="s">
        <v>1068</v>
      </c>
      <c r="B38" s="2306"/>
      <c r="C38" s="2273"/>
      <c r="D38" s="2273"/>
      <c r="E38" s="2274"/>
      <c r="F38" s="117"/>
      <c r="G38" s="117"/>
      <c r="H38" s="117"/>
      <c r="I38" s="117"/>
      <c r="J38" s="2382"/>
      <c r="K38" s="2387">
        <f>'数据-汇总表'!D3</f>
        <v>20468.06</v>
      </c>
      <c r="L38" s="2388">
        <f>'数据-汇总表'!E3</f>
        <v>57817.58</v>
      </c>
      <c r="M38" s="2388">
        <f ca="1">C34</f>
        <v>10953</v>
      </c>
      <c r="N38" s="2388">
        <f ca="1">C33</f>
        <v>3877</v>
      </c>
      <c r="O38" s="2389">
        <f ca="1">C32</f>
        <v>22418</v>
      </c>
      <c r="P38" s="185"/>
      <c r="V38" s="185"/>
    </row>
    <row r="39" ht="16.5" customHeight="1" spans="1:22">
      <c r="A39" s="2307"/>
      <c r="B39" s="2308"/>
      <c r="C39" s="2276"/>
      <c r="D39" s="2276"/>
      <c r="E39" s="2277"/>
      <c r="F39" s="117"/>
      <c r="G39" s="117"/>
      <c r="H39" s="117"/>
      <c r="I39" s="117"/>
      <c r="J39" s="2382"/>
      <c r="K39" s="2390" t="str">
        <f>MID(A44,3,LEN(A44)-2)</f>
        <v/>
      </c>
      <c r="L39" s="2391"/>
      <c r="M39" s="2391"/>
      <c r="N39" s="2392"/>
      <c r="O39" s="2393" t="str">
        <f ca="1">C44</f>
        <v>——</v>
      </c>
      <c r="P39" s="185"/>
      <c r="V39" s="185"/>
    </row>
    <row r="40" ht="19.5" spans="1:22">
      <c r="A40" s="2309" t="s">
        <v>1069</v>
      </c>
      <c r="B40" s="117"/>
      <c r="C40" s="117"/>
      <c r="D40" s="117"/>
      <c r="E40" s="117"/>
      <c r="F40" s="117"/>
      <c r="G40" s="117"/>
      <c r="H40" s="117"/>
      <c r="I40" s="117"/>
      <c r="J40" s="2382"/>
      <c r="K40" s="2390" t="str">
        <f t="shared" ref="K40:K41" si="0">MID(A45,3,LEN(A45)-2)</f>
        <v/>
      </c>
      <c r="L40" s="2391"/>
      <c r="M40" s="2391"/>
      <c r="N40" s="2392"/>
      <c r="O40" s="2393" t="str">
        <f ca="1">C45</f>
        <v>——</v>
      </c>
      <c r="P40" s="185"/>
      <c r="V40" s="185"/>
    </row>
    <row r="41" ht="16.5" spans="1:22">
      <c r="A41" s="2310" t="s">
        <v>1070</v>
      </c>
      <c r="B41" s="2311"/>
      <c r="C41" s="2312" t="s">
        <v>1071</v>
      </c>
      <c r="D41" s="2313" t="s">
        <v>1072</v>
      </c>
      <c r="E41" s="2313" t="s">
        <v>1073</v>
      </c>
      <c r="F41" s="2314" t="s">
        <v>1074</v>
      </c>
      <c r="G41" s="117"/>
      <c r="H41" s="117"/>
      <c r="I41" s="117"/>
      <c r="J41" s="2382"/>
      <c r="K41" s="2390" t="str">
        <f t="shared" si="0"/>
        <v/>
      </c>
      <c r="L41" s="2391"/>
      <c r="M41" s="2391"/>
      <c r="N41" s="2392"/>
      <c r="O41" s="2393" t="str">
        <f ca="1">C46</f>
        <v>——</v>
      </c>
      <c r="P41" s="185"/>
      <c r="V41" s="185"/>
    </row>
    <row r="42" ht="29.25" spans="1:22">
      <c r="A42" s="2315" t="s">
        <v>1075</v>
      </c>
      <c r="B42" s="2316"/>
      <c r="C42" s="2234">
        <f ca="1">C32</f>
        <v>22418</v>
      </c>
      <c r="D42" s="2317">
        <f ca="1">C33</f>
        <v>3877</v>
      </c>
      <c r="E42" s="2317">
        <f ca="1">C34</f>
        <v>10953</v>
      </c>
      <c r="F42" s="2318">
        <f ca="1">C35</f>
        <v>730</v>
      </c>
      <c r="G42" s="117"/>
      <c r="H42" s="117"/>
      <c r="I42" s="2394"/>
      <c r="J42" s="2382"/>
      <c r="K42" s="2395" t="s">
        <v>1076</v>
      </c>
      <c r="L42" s="2396" t="s">
        <v>1077</v>
      </c>
      <c r="M42" s="2397" t="s">
        <v>1078</v>
      </c>
      <c r="N42" s="2398" t="s">
        <v>1079</v>
      </c>
      <c r="O42" s="2399" t="s">
        <v>1080</v>
      </c>
      <c r="P42" s="185"/>
      <c r="V42" s="185"/>
    </row>
    <row r="43" ht="29.25" spans="1:22">
      <c r="A43" s="2319" t="s">
        <v>1081</v>
      </c>
      <c r="B43" s="2320"/>
      <c r="C43" s="2234">
        <f>IF(H33="正常操作",G33+G34+G35,G34+G35)</f>
        <v>0</v>
      </c>
      <c r="D43" s="2317" t="s">
        <v>138</v>
      </c>
      <c r="E43" s="2317" t="s">
        <v>138</v>
      </c>
      <c r="F43" s="2318" t="s">
        <v>138</v>
      </c>
      <c r="G43" s="2321" t="s">
        <v>138</v>
      </c>
      <c r="H43" s="117"/>
      <c r="I43" s="2394"/>
      <c r="J43" s="2382"/>
      <c r="K43" s="2400" t="str">
        <f>C4</f>
        <v>剩余法-待开发</v>
      </c>
      <c r="L43" s="2401">
        <f ca="1">IF(L42="估价结果/万元",C19,C20)</f>
        <v>22332</v>
      </c>
      <c r="M43" s="2402">
        <f>C18</f>
        <v>0.5</v>
      </c>
      <c r="N43" s="2403">
        <f ca="1">IF(N42="测算结果/万元",G19,G20)</f>
        <v>22418</v>
      </c>
      <c r="O43" s="2404">
        <f ca="1">IF(O42="最终结果/万元",C32,C33)</f>
        <v>22418</v>
      </c>
      <c r="P43" s="185"/>
      <c r="V43" s="185"/>
    </row>
    <row r="44" ht="29.25" spans="1:22">
      <c r="A44" s="2315" t="str">
        <f>IF(OR(项目基本情况!E8="抵押价格",项目基本情况!E8="已注销及未注销"),"3.抵押价格","——")</f>
        <v>——</v>
      </c>
      <c r="B44" s="2316"/>
      <c r="C44" s="2234" t="str">
        <f ca="1">IF(A44="——","——",C42-C43)</f>
        <v>——</v>
      </c>
      <c r="D44" s="2317" t="e">
        <f ca="1">ROUND(C44*10000/'数据-汇总表'!E3,0)</f>
        <v>#VALUE!</v>
      </c>
      <c r="E44" s="2317" t="e">
        <f ca="1">ROUND(C44*10000/'数据-汇总表'!D3,0)</f>
        <v>#VALUE!</v>
      </c>
      <c r="F44" s="2318" t="e">
        <f ca="1">ROUND(C44/('数据-汇总表'!D3/666.67),0)</f>
        <v>#VALUE!</v>
      </c>
      <c r="G44" s="117"/>
      <c r="H44" s="117"/>
      <c r="I44" s="2394"/>
      <c r="J44" s="2382"/>
      <c r="K44" s="2405" t="str">
        <f>D4</f>
        <v>基准地价出结果用</v>
      </c>
      <c r="L44" s="2406">
        <f ca="1">IF(L42="估价结果/万元",D19,D20)</f>
        <v>22503</v>
      </c>
      <c r="M44" s="2407">
        <f>D18</f>
        <v>0.5</v>
      </c>
      <c r="N44" s="2408"/>
      <c r="O44" s="2409"/>
      <c r="P44" s="185"/>
      <c r="V44" s="185"/>
    </row>
    <row r="45" ht="15" spans="1:22">
      <c r="A45" s="2322" t="str">
        <f>IF(项目基本情况!E8="已注销及未注销","4.抵押担保权已注销时的抵押价格",IF(项目基本情况!E8="已注销","3.抵押担保权已注销时的抵押价格","——"))</f>
        <v>——</v>
      </c>
      <c r="B45" s="2323"/>
      <c r="C45" s="2324" t="str">
        <f ca="1">IF(A45="——","——",IF(项目基本情况!E8="抵押价格","——",C32-G34-G35))</f>
        <v>——</v>
      </c>
      <c r="D45" s="2317" t="e">
        <f ca="1">ROUND(C45*10000/'数据-汇总表'!E3,0)</f>
        <v>#VALUE!</v>
      </c>
      <c r="E45" s="2317" t="e">
        <f ca="1">ROUND(C45*10000/'数据-汇总表'!D3,0)</f>
        <v>#VALUE!</v>
      </c>
      <c r="F45" s="2318" t="e">
        <f ca="1">ROUND(C45/('数据-汇总表'!D3/666.67),0)</f>
        <v>#VALUE!</v>
      </c>
      <c r="G45" s="117"/>
      <c r="H45" s="117"/>
      <c r="I45" s="2394"/>
      <c r="J45" s="2382"/>
      <c r="K45" s="185"/>
      <c r="L45" s="185"/>
      <c r="M45" s="185"/>
      <c r="N45" s="185"/>
      <c r="O45" s="185"/>
      <c r="P45" s="185"/>
      <c r="V45" s="185"/>
    </row>
    <row r="46" ht="15.75" spans="1:22">
      <c r="A46" s="2325" t="str">
        <f>IF(项目基本情况!E9="抵押净值",IF(A45="——","4.抵押净值","5.抵押净值"),"——")</f>
        <v>——</v>
      </c>
      <c r="B46" s="2326"/>
      <c r="C46" s="2327" t="str">
        <f ca="1">IF(A46="——","——",O79)</f>
        <v>——</v>
      </c>
      <c r="D46" s="2317" t="e">
        <f ca="1">ROUND(C46*10000/'数据-汇总表'!E3,0)</f>
        <v>#VALUE!</v>
      </c>
      <c r="E46" s="2317" t="e">
        <f ca="1">ROUND(C46*10000/'数据-汇总表'!D3,0)</f>
        <v>#VALUE!</v>
      </c>
      <c r="F46" s="2318" t="e">
        <f ca="1">ROUND(C46/('数据-汇总表'!D3/666.67),0)</f>
        <v>#VALUE!</v>
      </c>
      <c r="G46" s="117"/>
      <c r="H46" s="117"/>
      <c r="I46" s="2394"/>
      <c r="J46" s="2382"/>
      <c r="K46" s="185"/>
      <c r="L46" s="185"/>
      <c r="M46" s="185"/>
      <c r="N46" s="185"/>
      <c r="O46" s="185"/>
      <c r="P46" s="185"/>
      <c r="Q46" s="185"/>
      <c r="R46" s="185"/>
      <c r="S46" s="185"/>
      <c r="T46" s="185"/>
      <c r="U46" s="185"/>
      <c r="V46" s="185"/>
    </row>
    <row r="47" ht="15" spans="1:22">
      <c r="A47" s="2328" t="s">
        <v>1082</v>
      </c>
      <c r="B47" s="2329"/>
      <c r="C47" s="2330" t="s">
        <v>1083</v>
      </c>
      <c r="D47" s="2331"/>
      <c r="E47" s="2331"/>
      <c r="F47" s="2331"/>
      <c r="G47" s="2332"/>
      <c r="H47" s="2333"/>
      <c r="I47" s="2410"/>
      <c r="J47" s="2382"/>
      <c r="K47" s="117" t="str">
        <f>IF(C43=0,"本次评估"&amp;IF(G43="设定","设定估价对象","")&amp;"不存在"&amp;MID(A43,3,LEN(A43)-2),"本次评估"&amp;IF(G43="设定","设定","")&amp;MID(A43,3,LEN(A43)-2)&amp;"为人民币"&amp;C43&amp;"万元整。")</f>
        <v>本次评估不存在估价师知悉的法定优先受偿款</v>
      </c>
      <c r="L47" s="185"/>
      <c r="M47" s="185"/>
      <c r="N47" s="185"/>
      <c r="O47" s="185"/>
      <c r="P47" s="185"/>
      <c r="Q47" s="185"/>
      <c r="R47" s="185"/>
      <c r="S47" s="185"/>
      <c r="T47" s="185"/>
      <c r="U47" s="185"/>
      <c r="V47" s="185"/>
    </row>
    <row r="48" ht="13.5" spans="1:22">
      <c r="A48" s="2334">
        <v>1</v>
      </c>
      <c r="B48" s="2335"/>
      <c r="C48" s="2335"/>
      <c r="D48" s="2331"/>
      <c r="E48" s="2331"/>
      <c r="F48" s="2331"/>
      <c r="G48" s="2331"/>
      <c r="H48" s="2336"/>
      <c r="I48" s="2411"/>
      <c r="J48" s="2382"/>
      <c r="K48" s="185"/>
      <c r="L48" s="185"/>
      <c r="M48" s="185"/>
      <c r="N48" s="185"/>
      <c r="O48" s="185"/>
      <c r="P48" s="185"/>
      <c r="Q48" s="185"/>
      <c r="R48" s="185"/>
      <c r="S48" s="185"/>
      <c r="T48" s="185"/>
      <c r="U48" s="185"/>
      <c r="V48" s="185"/>
    </row>
    <row r="49" ht="13.5" spans="1:22">
      <c r="A49" s="2334">
        <v>2</v>
      </c>
      <c r="B49" s="2335"/>
      <c r="C49" s="2335"/>
      <c r="D49" s="2331"/>
      <c r="E49" s="2331"/>
      <c r="F49" s="2331"/>
      <c r="G49" s="2331"/>
      <c r="H49" s="2336"/>
      <c r="I49" s="2411"/>
      <c r="J49" s="2412"/>
      <c r="K49" s="185"/>
      <c r="L49" s="185"/>
      <c r="M49" s="185"/>
      <c r="N49" s="185"/>
      <c r="O49" s="185"/>
      <c r="P49" s="185"/>
      <c r="Q49" s="185"/>
      <c r="R49" s="185"/>
      <c r="S49" s="185"/>
      <c r="T49" s="185"/>
      <c r="U49" s="185"/>
      <c r="V49" s="185"/>
    </row>
    <row r="50" ht="13.5" spans="1:22">
      <c r="A50" s="2334">
        <v>3</v>
      </c>
      <c r="B50" s="2335"/>
      <c r="C50" s="2335"/>
      <c r="D50" s="2331"/>
      <c r="E50" s="2331"/>
      <c r="F50" s="2331"/>
      <c r="G50" s="2331"/>
      <c r="H50" s="2336"/>
      <c r="I50" s="2411"/>
      <c r="J50" s="2412"/>
      <c r="K50" s="185"/>
      <c r="L50" s="185"/>
      <c r="M50" s="185"/>
      <c r="N50" s="185"/>
      <c r="O50" s="185"/>
      <c r="P50" s="185"/>
      <c r="Q50" s="185"/>
      <c r="R50" s="185"/>
      <c r="S50" s="185"/>
      <c r="T50" s="185"/>
      <c r="U50" s="185"/>
      <c r="V50" s="185"/>
    </row>
    <row r="51" ht="13.5" spans="1:22">
      <c r="A51" s="2337"/>
      <c r="B51" s="2338"/>
      <c r="C51" s="2338"/>
      <c r="D51" s="2339"/>
      <c r="E51" s="2339"/>
      <c r="F51" s="2339"/>
      <c r="G51" s="2339"/>
      <c r="H51" s="2340"/>
      <c r="I51" s="2413"/>
      <c r="J51" s="2412"/>
      <c r="K51" s="185"/>
      <c r="L51" s="185"/>
      <c r="M51" s="185"/>
      <c r="N51" s="185"/>
      <c r="O51" s="185"/>
      <c r="P51" s="185"/>
      <c r="Q51" s="185"/>
      <c r="R51" s="185"/>
      <c r="S51" s="185"/>
      <c r="T51" s="185"/>
      <c r="U51" s="185"/>
      <c r="V51" s="185"/>
    </row>
    <row r="52" ht="13.5" spans="1:22">
      <c r="A52" s="2335"/>
      <c r="B52" s="2335"/>
      <c r="C52" s="2335"/>
      <c r="D52" s="2331"/>
      <c r="E52" s="2331"/>
      <c r="F52" s="2331"/>
      <c r="G52" s="2331"/>
      <c r="H52" s="2336"/>
      <c r="I52" s="69"/>
      <c r="J52" s="2412"/>
      <c r="K52" s="185"/>
      <c r="L52" s="185"/>
      <c r="M52" s="185"/>
      <c r="N52" s="185"/>
      <c r="O52" s="185"/>
      <c r="P52" s="185"/>
      <c r="Q52" s="185"/>
      <c r="R52" s="185"/>
      <c r="S52" s="185"/>
      <c r="T52" s="185"/>
      <c r="U52" s="185"/>
      <c r="V52" s="185"/>
    </row>
    <row r="53" ht="13.5" spans="1:22">
      <c r="A53" s="69"/>
      <c r="B53" s="69"/>
      <c r="C53" s="69"/>
      <c r="D53" s="69"/>
      <c r="E53" s="69"/>
      <c r="F53" s="2341" t="s">
        <v>1084</v>
      </c>
      <c r="G53" s="2342"/>
      <c r="H53" s="2342"/>
      <c r="I53" s="2414" t="s">
        <v>1085</v>
      </c>
      <c r="J53" s="2412"/>
      <c r="K53" s="185"/>
      <c r="L53" s="185"/>
      <c r="M53" s="185"/>
      <c r="N53" s="185"/>
      <c r="O53" s="185"/>
      <c r="P53" s="185"/>
      <c r="Q53" s="185"/>
      <c r="R53" s="185"/>
      <c r="S53" s="185"/>
      <c r="T53" s="185"/>
      <c r="U53" s="185"/>
      <c r="V53" s="185"/>
    </row>
    <row r="54" ht="13.5" spans="1:22">
      <c r="A54" s="69"/>
      <c r="B54" s="2343" t="s">
        <v>1086</v>
      </c>
      <c r="C54" s="69"/>
      <c r="D54" s="69"/>
      <c r="E54" s="69"/>
      <c r="F54" s="69"/>
      <c r="G54" s="69"/>
      <c r="H54" s="69"/>
      <c r="I54" s="69"/>
      <c r="J54" s="2412"/>
      <c r="K54" s="185"/>
      <c r="L54" s="185"/>
      <c r="M54" s="185"/>
      <c r="N54" s="185"/>
      <c r="O54" s="185"/>
      <c r="P54" s="185"/>
      <c r="Q54" s="185"/>
      <c r="R54" s="185"/>
      <c r="S54" s="185"/>
      <c r="T54" s="185"/>
      <c r="U54" s="185"/>
      <c r="V54" s="185"/>
    </row>
    <row r="55" ht="13.5" spans="1:22">
      <c r="A55" s="69"/>
      <c r="B55" s="69"/>
      <c r="C55" s="69"/>
      <c r="D55" s="69"/>
      <c r="E55" s="69"/>
      <c r="F55" s="69"/>
      <c r="G55" s="69"/>
      <c r="H55" s="69"/>
      <c r="I55" s="69"/>
      <c r="J55" s="2412"/>
      <c r="K55" s="185"/>
      <c r="L55" s="185"/>
      <c r="M55" s="185"/>
      <c r="N55" s="185"/>
      <c r="O55" s="185"/>
      <c r="P55" s="185"/>
      <c r="Q55" s="185"/>
      <c r="R55" s="185"/>
      <c r="S55" s="185"/>
      <c r="T55" s="185"/>
      <c r="U55" s="185"/>
      <c r="V55" s="185"/>
    </row>
    <row r="56" ht="13.5" spans="1:22">
      <c r="A56" s="69"/>
      <c r="B56" s="2342"/>
      <c r="C56" s="2342"/>
      <c r="D56" s="2342"/>
      <c r="E56" s="2342"/>
      <c r="F56" s="2342"/>
      <c r="G56" s="2342"/>
      <c r="H56" s="2342"/>
      <c r="I56" s="2414" t="s">
        <v>1087</v>
      </c>
      <c r="J56" s="2412"/>
      <c r="K56" s="185"/>
      <c r="L56" s="185"/>
      <c r="M56" s="185"/>
      <c r="N56" s="185"/>
      <c r="O56" s="185"/>
      <c r="P56" s="185"/>
      <c r="Q56" s="185"/>
      <c r="R56" s="185"/>
      <c r="S56" s="185"/>
      <c r="T56" s="185"/>
      <c r="U56" s="185"/>
      <c r="V56" s="185"/>
    </row>
    <row r="57" ht="13.5" spans="1:22">
      <c r="A57" s="69"/>
      <c r="B57" s="2343" t="s">
        <v>1088</v>
      </c>
      <c r="C57" s="69"/>
      <c r="D57" s="69"/>
      <c r="E57" s="69"/>
      <c r="F57" s="69"/>
      <c r="G57" s="69"/>
      <c r="H57" s="69"/>
      <c r="I57" s="69"/>
      <c r="J57" s="2412"/>
      <c r="K57" s="185"/>
      <c r="L57" s="185"/>
      <c r="M57" s="185"/>
      <c r="N57" s="185"/>
      <c r="O57" s="185"/>
      <c r="P57" s="185"/>
      <c r="Q57" s="185"/>
      <c r="R57" s="185"/>
      <c r="S57" s="185"/>
      <c r="T57" s="185"/>
      <c r="U57" s="185"/>
      <c r="V57" s="185"/>
    </row>
    <row r="58" ht="13.5" spans="1:22">
      <c r="A58" s="69"/>
      <c r="B58" s="2343"/>
      <c r="C58" s="69"/>
      <c r="D58" s="69"/>
      <c r="E58" s="69"/>
      <c r="F58" s="69"/>
      <c r="G58" s="69"/>
      <c r="H58" s="69"/>
      <c r="I58" s="69"/>
      <c r="J58" s="2412"/>
      <c r="K58" s="185"/>
      <c r="L58" s="185"/>
      <c r="M58" s="185"/>
      <c r="N58" s="185"/>
      <c r="O58" s="185"/>
      <c r="P58" s="185"/>
      <c r="Q58" s="185"/>
      <c r="R58" s="185"/>
      <c r="S58" s="185"/>
      <c r="T58" s="185"/>
      <c r="U58" s="185"/>
      <c r="V58" s="185"/>
    </row>
    <row r="59" ht="13.5" spans="1:22">
      <c r="A59" s="69"/>
      <c r="B59" s="2342"/>
      <c r="C59" s="2342"/>
      <c r="D59" s="2342"/>
      <c r="E59" s="2342"/>
      <c r="F59" s="2342"/>
      <c r="G59" s="2342"/>
      <c r="H59" s="2342"/>
      <c r="I59" s="2414" t="s">
        <v>1087</v>
      </c>
      <c r="J59" s="2412"/>
      <c r="K59" s="185"/>
      <c r="L59" s="185"/>
      <c r="M59" s="185"/>
      <c r="N59" s="185"/>
      <c r="O59" s="185"/>
      <c r="P59" s="185"/>
      <c r="Q59" s="185"/>
      <c r="R59" s="185"/>
      <c r="S59" s="185"/>
      <c r="T59" s="185"/>
      <c r="U59" s="185"/>
      <c r="V59" s="185"/>
    </row>
    <row r="60" ht="13.5" spans="1:22">
      <c r="A60" s="69"/>
      <c r="B60" s="69"/>
      <c r="C60" s="69"/>
      <c r="D60" s="69"/>
      <c r="E60" s="69"/>
      <c r="F60" s="69"/>
      <c r="G60" s="69"/>
      <c r="H60" s="69"/>
      <c r="I60" s="69"/>
      <c r="J60" s="2412"/>
      <c r="K60" s="185"/>
      <c r="L60" s="185"/>
      <c r="M60" s="185"/>
      <c r="N60" s="185"/>
      <c r="O60" s="185"/>
      <c r="P60" s="185"/>
      <c r="Q60" s="185"/>
      <c r="R60" s="185"/>
      <c r="S60" s="185"/>
      <c r="T60" s="185"/>
      <c r="U60" s="185"/>
      <c r="V60" s="185"/>
    </row>
    <row r="61" ht="13.5" spans="1:22">
      <c r="A61" s="69"/>
      <c r="B61" s="2343"/>
      <c r="C61" s="2344"/>
      <c r="D61" s="2345"/>
      <c r="E61" s="2345"/>
      <c r="F61" s="2346"/>
      <c r="G61" s="69"/>
      <c r="H61" s="69"/>
      <c r="I61" s="69"/>
      <c r="J61" s="2412"/>
      <c r="K61" s="185"/>
      <c r="L61" s="185"/>
      <c r="M61" s="185"/>
      <c r="N61" s="185"/>
      <c r="O61" s="185"/>
      <c r="P61" s="185"/>
      <c r="Q61" s="185"/>
      <c r="R61" s="185"/>
      <c r="S61" s="185"/>
      <c r="T61" s="185"/>
      <c r="U61" s="185"/>
      <c r="V61" s="185"/>
    </row>
    <row r="62" ht="18.75" spans="1:22">
      <c r="A62" s="2347" t="s">
        <v>1089</v>
      </c>
      <c r="B62" s="2348"/>
      <c r="C62" s="2348"/>
      <c r="D62" s="2349"/>
      <c r="E62" s="2349"/>
      <c r="F62" s="2350"/>
      <c r="G62" s="2350"/>
      <c r="H62" s="2350"/>
      <c r="I62" s="2350"/>
      <c r="J62" s="2415"/>
      <c r="K62" s="185"/>
      <c r="L62" s="185"/>
      <c r="M62" s="185"/>
      <c r="N62" s="185"/>
      <c r="O62" s="185"/>
      <c r="P62" s="185"/>
      <c r="Q62" s="185"/>
      <c r="R62" s="185"/>
      <c r="S62" s="185"/>
      <c r="T62" s="185"/>
      <c r="U62" s="185"/>
      <c r="V62" s="185"/>
    </row>
    <row r="63" ht="14.25" customHeight="1" spans="1:22">
      <c r="A63" s="2351" t="s">
        <v>1090</v>
      </c>
      <c r="B63" s="2352"/>
      <c r="C63" s="2353"/>
      <c r="D63" s="948">
        <f ca="1">ROUND(C42*F63,0)</f>
        <v>22418</v>
      </c>
      <c r="E63" s="2354" t="s">
        <v>1091</v>
      </c>
      <c r="F63" s="2355">
        <v>1</v>
      </c>
      <c r="G63" s="2356" t="s">
        <v>1092</v>
      </c>
      <c r="H63" s="117"/>
      <c r="I63" s="117"/>
      <c r="J63" s="185"/>
      <c r="K63" s="185"/>
      <c r="L63" s="185"/>
      <c r="M63" s="185"/>
      <c r="N63" s="185"/>
      <c r="O63" s="185"/>
      <c r="P63" s="185"/>
      <c r="Q63" s="185"/>
      <c r="R63" s="185"/>
      <c r="S63" s="185"/>
      <c r="T63" s="185"/>
      <c r="U63" s="185"/>
      <c r="V63" s="185"/>
    </row>
    <row r="64" ht="14.25" customHeight="1" spans="1:22">
      <c r="A64" s="2357" t="s">
        <v>1093</v>
      </c>
      <c r="B64" s="2358"/>
      <c r="C64" s="2358"/>
      <c r="D64" s="2358"/>
      <c r="E64" s="2358"/>
      <c r="F64" s="2358"/>
      <c r="G64" s="2359"/>
      <c r="H64" s="2360"/>
      <c r="I64" s="118"/>
      <c r="J64" s="119"/>
      <c r="K64" s="2416" t="s">
        <v>1094</v>
      </c>
      <c r="L64" s="2417"/>
      <c r="M64" s="2417"/>
      <c r="N64" s="2417"/>
      <c r="O64" s="2417"/>
      <c r="P64" s="117"/>
      <c r="Q64" s="185"/>
      <c r="R64" s="185"/>
      <c r="S64" s="185"/>
      <c r="T64" s="185"/>
      <c r="U64" s="185"/>
      <c r="V64" s="185"/>
    </row>
    <row r="65" ht="12" customHeight="1" spans="1:22">
      <c r="A65" s="2418" t="s">
        <v>1095</v>
      </c>
      <c r="B65" s="2419"/>
      <c r="C65" s="2420"/>
      <c r="D65" s="2421" t="s">
        <v>1096</v>
      </c>
      <c r="E65" s="123" t="s">
        <v>1097</v>
      </c>
      <c r="F65" s="2422" t="s">
        <v>1098</v>
      </c>
      <c r="G65" s="2423" t="s">
        <v>1099</v>
      </c>
      <c r="H65" s="2360"/>
      <c r="I65" s="118"/>
      <c r="J65" s="119"/>
      <c r="K65" s="2538"/>
      <c r="L65" s="2539"/>
      <c r="M65" s="2539"/>
      <c r="N65" s="2540" t="s">
        <v>1100</v>
      </c>
      <c r="O65" s="2541"/>
      <c r="P65" s="2542"/>
      <c r="Q65" s="185"/>
      <c r="R65" s="185"/>
      <c r="S65" s="185"/>
      <c r="T65" s="185"/>
      <c r="U65" s="185"/>
      <c r="V65" s="185"/>
    </row>
    <row r="66" ht="24.75" spans="1:22">
      <c r="A66" s="2424" t="s">
        <v>1101</v>
      </c>
      <c r="B66" s="941"/>
      <c r="C66" s="941"/>
      <c r="D66" s="921" t="b">
        <f ca="1">IF(H66="情况1",0,IF(H66="情况2",D70,IF(H66="情况3",D71,IF(H66="情况4",D72))))</f>
        <v>0</v>
      </c>
      <c r="E66" s="941" t="str">
        <f>IF(H66="情况4","(销售额-原购置价)×税（费）率","销售额×税（费）率")</f>
        <v>销售额×税（费）率</v>
      </c>
      <c r="F66" s="2425">
        <f>IF(H66="情况1","免征",'数据-取费表'!B41)</f>
        <v>0.056</v>
      </c>
      <c r="G66" s="2426" t="s">
        <v>1102</v>
      </c>
      <c r="H66" s="2427"/>
      <c r="I66" s="2360"/>
      <c r="J66" s="2543"/>
      <c r="K66" s="2544">
        <v>1</v>
      </c>
      <c r="L66" s="2545" t="s">
        <v>1103</v>
      </c>
      <c r="M66" s="2546"/>
      <c r="N66" s="2547"/>
      <c r="O66" s="2548"/>
      <c r="P66" s="2549"/>
      <c r="Q66" s="185"/>
      <c r="R66" s="185"/>
      <c r="S66" s="185"/>
      <c r="T66" s="185"/>
      <c r="U66" s="185"/>
      <c r="V66" s="185"/>
    </row>
    <row r="67" ht="25.5" customHeight="1" spans="1:22">
      <c r="A67" s="2428" t="s">
        <v>1104</v>
      </c>
      <c r="B67" s="913" t="s">
        <v>1105</v>
      </c>
      <c r="C67" s="913"/>
      <c r="D67" s="2429">
        <v>0</v>
      </c>
      <c r="E67" s="2430" t="s">
        <v>1106</v>
      </c>
      <c r="F67" s="2431" t="s">
        <v>138</v>
      </c>
      <c r="G67" s="2432"/>
      <c r="H67" s="2433" t="s">
        <v>1107</v>
      </c>
      <c r="I67" s="2550"/>
      <c r="J67" s="2551"/>
      <c r="K67" s="2552">
        <v>2</v>
      </c>
      <c r="L67" s="2553" t="s">
        <v>1108</v>
      </c>
      <c r="M67" s="2553"/>
      <c r="N67" s="2554">
        <f>'数据-取费表'!B2</f>
        <v>44519</v>
      </c>
      <c r="O67" s="2554"/>
      <c r="P67" s="2554"/>
      <c r="Q67" s="185"/>
      <c r="R67" s="185"/>
      <c r="S67" s="185"/>
      <c r="T67" s="185"/>
      <c r="U67" s="185"/>
      <c r="V67" s="185"/>
    </row>
    <row r="68" ht="25.5" customHeight="1" spans="1:22">
      <c r="A68" s="2434"/>
      <c r="B68" s="913" t="s">
        <v>1109</v>
      </c>
      <c r="C68" s="913"/>
      <c r="D68" s="2435"/>
      <c r="E68" s="2436"/>
      <c r="F68" s="2437"/>
      <c r="G68" s="2438"/>
      <c r="H68" s="2439" t="s">
        <v>1110</v>
      </c>
      <c r="I68" s="2550"/>
      <c r="J68" s="2551"/>
      <c r="K68" s="2552">
        <v>3</v>
      </c>
      <c r="L68" s="2553" t="s">
        <v>1111</v>
      </c>
      <c r="M68" s="2553"/>
      <c r="N68" s="2555">
        <f ca="1">C42</f>
        <v>22418</v>
      </c>
      <c r="O68" s="2555"/>
      <c r="P68" s="2555"/>
      <c r="Q68" s="185"/>
      <c r="R68" s="185"/>
      <c r="S68" s="185"/>
      <c r="T68" s="185"/>
      <c r="U68" s="185"/>
      <c r="V68" s="185"/>
    </row>
    <row r="69" ht="23.45" customHeight="1" spans="1:22">
      <c r="A69" s="2440"/>
      <c r="B69" s="913" t="s">
        <v>1112</v>
      </c>
      <c r="C69" s="913"/>
      <c r="D69" s="2441"/>
      <c r="E69" s="2442"/>
      <c r="F69" s="2437"/>
      <c r="G69" s="2443"/>
      <c r="H69" s="2439" t="s">
        <v>1113</v>
      </c>
      <c r="I69" s="2550"/>
      <c r="J69" s="2551"/>
      <c r="K69" s="2556">
        <v>4</v>
      </c>
      <c r="L69" s="2557" t="s">
        <v>1114</v>
      </c>
      <c r="M69" s="2558"/>
      <c r="N69" s="2559" t="str">
        <f ca="1">C44</f>
        <v>——</v>
      </c>
      <c r="O69" s="2559"/>
      <c r="P69" s="2559"/>
      <c r="Q69" s="185"/>
      <c r="R69" s="185"/>
      <c r="S69" s="185"/>
      <c r="T69" s="185"/>
      <c r="U69" s="185"/>
      <c r="V69" s="185"/>
    </row>
    <row r="70" ht="24" customHeight="1" spans="1:22">
      <c r="A70" s="2444" t="s">
        <v>1115</v>
      </c>
      <c r="B70" s="913" t="s">
        <v>1116</v>
      </c>
      <c r="C70" s="913"/>
      <c r="D70" s="2441">
        <f ca="1">ROUND(D63*'数据-取费表'!B41/(1+'数据-取费表'!C42),0)</f>
        <v>1196</v>
      </c>
      <c r="E70" s="126" t="s">
        <v>1117</v>
      </c>
      <c r="F70" s="2445">
        <f>'数据-取费表'!B41</f>
        <v>0.056</v>
      </c>
      <c r="G70" s="2446"/>
      <c r="H70" s="117"/>
      <c r="I70" s="2560"/>
      <c r="J70" s="2551"/>
      <c r="K70" s="2561"/>
      <c r="L70" s="2562"/>
      <c r="M70" s="2562"/>
      <c r="N70" s="2563" t="s">
        <v>1093</v>
      </c>
      <c r="O70" s="2562"/>
      <c r="P70" s="2564"/>
      <c r="Q70" s="185"/>
      <c r="R70" s="185"/>
      <c r="S70" s="185"/>
      <c r="T70" s="185"/>
      <c r="U70" s="185"/>
      <c r="V70" s="185"/>
    </row>
    <row r="71" ht="12" customHeight="1" spans="1:22">
      <c r="A71" s="2444" t="s">
        <v>1118</v>
      </c>
      <c r="B71" s="912" t="s">
        <v>1119</v>
      </c>
      <c r="C71" s="2447"/>
      <c r="D71" s="2441">
        <f ca="1">ROUND(D63*'数据-取费表'!B41/(1+'数据-取费表'!C42),0)</f>
        <v>1196</v>
      </c>
      <c r="E71" s="126" t="s">
        <v>1117</v>
      </c>
      <c r="F71" s="2445">
        <f>'数据-取费表'!B41</f>
        <v>0.056</v>
      </c>
      <c r="G71" s="2446"/>
      <c r="H71" s="117"/>
      <c r="I71" s="2560"/>
      <c r="J71" s="2551"/>
      <c r="K71" s="2565" t="s">
        <v>1120</v>
      </c>
      <c r="L71" s="2565" t="s">
        <v>1095</v>
      </c>
      <c r="M71" s="2565"/>
      <c r="N71" s="2565" t="s">
        <v>1121</v>
      </c>
      <c r="O71" s="2565" t="s">
        <v>1122</v>
      </c>
      <c r="P71" s="2565" t="s">
        <v>1098</v>
      </c>
      <c r="Q71" s="185"/>
      <c r="R71" s="185"/>
      <c r="S71" s="185"/>
      <c r="T71" s="185"/>
      <c r="U71" s="185"/>
      <c r="V71" s="185"/>
    </row>
    <row r="72" ht="12" customHeight="1" spans="1:22">
      <c r="A72" s="2444" t="s">
        <v>1123</v>
      </c>
      <c r="B72" s="912" t="s">
        <v>1124</v>
      </c>
      <c r="C72" s="2447"/>
      <c r="D72" s="2441">
        <f ca="1">C86</f>
        <v>1196</v>
      </c>
      <c r="E72" s="2442" t="s">
        <v>1125</v>
      </c>
      <c r="F72" s="2445">
        <f>'数据-取费表'!B41</f>
        <v>0.056</v>
      </c>
      <c r="G72" s="2446"/>
      <c r="H72" s="2448"/>
      <c r="I72" s="2560"/>
      <c r="J72" s="2551"/>
      <c r="K72" s="2552">
        <v>1</v>
      </c>
      <c r="L72" s="1267" t="s">
        <v>1126</v>
      </c>
      <c r="M72" s="1267"/>
      <c r="N72" s="2566" t="b">
        <f ca="1">D66</f>
        <v>0</v>
      </c>
      <c r="O72" s="1267" t="str">
        <f>E66</f>
        <v>销售额×税（费）率</v>
      </c>
      <c r="P72" s="2567">
        <f>F66</f>
        <v>0.056</v>
      </c>
      <c r="Q72" s="185"/>
      <c r="R72" s="185"/>
      <c r="S72" s="185"/>
      <c r="T72" s="185"/>
      <c r="U72" s="185"/>
      <c r="V72" s="185"/>
    </row>
    <row r="73" ht="24" customHeight="1" spans="1:22">
      <c r="A73" s="2449" t="s">
        <v>1127</v>
      </c>
      <c r="B73" s="941"/>
      <c r="C73" s="941"/>
      <c r="D73" s="2450">
        <f ca="1">IF(H73="个人住宅",0,ROUND(D63*I73,0))</f>
        <v>11</v>
      </c>
      <c r="E73" s="126" t="s">
        <v>1128</v>
      </c>
      <c r="F73" s="2445" t="str">
        <f>IF(H73="正常",I73,"免征")</f>
        <v>免征</v>
      </c>
      <c r="G73" s="2446"/>
      <c r="H73" s="2427"/>
      <c r="I73" s="2445">
        <f>'数据-取费表'!B49</f>
        <v>0.0005</v>
      </c>
      <c r="J73" s="2551"/>
      <c r="K73" s="2552">
        <v>2</v>
      </c>
      <c r="L73" s="1267" t="s">
        <v>1129</v>
      </c>
      <c r="M73" s="1267"/>
      <c r="N73" s="2566">
        <f ca="1" t="shared" ref="N73:P74" si="1">D73</f>
        <v>11</v>
      </c>
      <c r="O73" s="1267" t="str">
        <f t="shared" si="1"/>
        <v>销售额×税（费）率</v>
      </c>
      <c r="P73" s="2567" t="str">
        <f t="shared" si="1"/>
        <v>免征</v>
      </c>
      <c r="Q73" s="185"/>
      <c r="R73" s="185"/>
      <c r="S73" s="185"/>
      <c r="T73" s="185"/>
      <c r="U73" s="185"/>
      <c r="V73" s="185"/>
    </row>
    <row r="74" ht="24.75" spans="1:22">
      <c r="A74" s="2449" t="s">
        <v>1130</v>
      </c>
      <c r="B74" s="941"/>
      <c r="C74" s="941"/>
      <c r="D74" s="2450">
        <f ca="1">IF(H74="个人住宅",D75,D76)</f>
        <v>12688</v>
      </c>
      <c r="E74" s="126" t="s">
        <v>1131</v>
      </c>
      <c r="F74" s="2445" t="str">
        <f>IF(H74="正常",F76,"免征")</f>
        <v>免征</v>
      </c>
      <c r="G74" s="2451" t="s">
        <v>1102</v>
      </c>
      <c r="H74" s="2452"/>
      <c r="I74" s="2454"/>
      <c r="J74" s="2551"/>
      <c r="K74" s="2552">
        <v>3</v>
      </c>
      <c r="L74" s="1267" t="s">
        <v>1132</v>
      </c>
      <c r="M74" s="1267"/>
      <c r="N74" s="2566">
        <f ca="1" t="shared" si="1"/>
        <v>12688</v>
      </c>
      <c r="O74" s="1267" t="str">
        <f t="shared" si="1"/>
        <v>增值额×税（费）率</v>
      </c>
      <c r="P74" s="2568" t="str">
        <f t="shared" si="1"/>
        <v>免征</v>
      </c>
      <c r="Q74" s="185"/>
      <c r="R74" s="185"/>
      <c r="S74" s="185"/>
      <c r="T74" s="185"/>
      <c r="U74" s="185"/>
      <c r="V74" s="185"/>
    </row>
    <row r="75" ht="13.5" spans="1:22">
      <c r="A75" s="2444" t="s">
        <v>1104</v>
      </c>
      <c r="B75" s="2227" t="s">
        <v>1133</v>
      </c>
      <c r="C75" s="2363"/>
      <c r="D75" s="2453">
        <v>0</v>
      </c>
      <c r="E75" s="2430" t="s">
        <v>1106</v>
      </c>
      <c r="F75" s="78"/>
      <c r="G75" s="2446"/>
      <c r="H75" s="2454"/>
      <c r="I75" s="2454"/>
      <c r="J75" s="2551"/>
      <c r="K75" s="2552">
        <f>IF(H77="非个人房产","",4)</f>
        <v>4</v>
      </c>
      <c r="L75" s="1267" t="str">
        <f>IF(H77="非个人房产","——","个人所得税")</f>
        <v>个人所得税</v>
      </c>
      <c r="M75" s="1267"/>
      <c r="N75" s="2569">
        <f ca="1">D77</f>
        <v>0</v>
      </c>
      <c r="O75" s="1280" t="str">
        <f>E77</f>
        <v>差额计税</v>
      </c>
      <c r="P75" s="2570">
        <f>F77</f>
        <v>0.01</v>
      </c>
      <c r="Q75" s="185"/>
      <c r="R75" s="185"/>
      <c r="S75" s="185"/>
      <c r="T75" s="185"/>
      <c r="U75" s="185"/>
      <c r="V75" s="185"/>
    </row>
    <row r="76" ht="24.75" spans="1:22">
      <c r="A76" s="2444" t="s">
        <v>1115</v>
      </c>
      <c r="B76" s="2227" t="s">
        <v>1134</v>
      </c>
      <c r="C76" s="962"/>
      <c r="D76" s="2450">
        <f ca="1">IF(H76="转让取得",C99,C115)</f>
        <v>12688</v>
      </c>
      <c r="E76" s="126" t="s">
        <v>1131</v>
      </c>
      <c r="F76" s="123" t="s">
        <v>138</v>
      </c>
      <c r="G76" s="2446"/>
      <c r="H76" s="2452"/>
      <c r="I76" s="2454"/>
      <c r="J76" s="2551"/>
      <c r="K76" s="2552" t="str">
        <f>IF(项目基本情况!K6="上海银行",IF(K75="",4,K75+1),"")</f>
        <v/>
      </c>
      <c r="L76" s="2571" t="str">
        <f>IF(项目基本情况!K6="上海银行","其他处置费用","")</f>
        <v/>
      </c>
      <c r="M76" s="2572"/>
      <c r="N76" s="2566" t="str">
        <f ca="1">IF(项目基本情况!K6="上海银行",N89,"")</f>
        <v/>
      </c>
      <c r="O76" s="2573" t="str">
        <f>IF(项目基本情况!K6="上海银行","包含处置中涉及的律师、诉讼、拍卖、评估等费用","")</f>
        <v/>
      </c>
      <c r="P76" s="2574"/>
      <c r="Q76" s="185"/>
      <c r="R76" s="185"/>
      <c r="S76" s="185"/>
      <c r="T76" s="185"/>
      <c r="U76" s="185"/>
      <c r="V76" s="185"/>
    </row>
    <row r="77" ht="24.75" spans="1:22">
      <c r="A77" s="2455" t="s">
        <v>1135</v>
      </c>
      <c r="B77" s="2456"/>
      <c r="C77" s="2456"/>
      <c r="D77" s="2457">
        <f ca="1">IF(H77="非个人房产","——",IF(H77="个人住宅（满五唯一有凭证）",0,IF(H77="个人其他（无凭证）",ROUND(D63*F77,0),ROUND(C84*F77,0))))</f>
        <v>0</v>
      </c>
      <c r="E77" s="2458" t="str">
        <f>IF(H77="非个人房产","——",IF(H77="个人其他（无凭证）","销售额×税（费）率",IF(H77="个人住宅（满五唯一有凭证）","免征","差额计税")))</f>
        <v>差额计税</v>
      </c>
      <c r="F77" s="2459">
        <f>IF(OR(H77="非个人房产",H77="个人住宅（满五唯一有凭证）"),"——",IF(H77="个人其他（有凭证）",20%,1%))</f>
        <v>0.01</v>
      </c>
      <c r="G77" s="2460" t="s">
        <v>1102</v>
      </c>
      <c r="H77" s="2461"/>
      <c r="I77" s="2575" t="s">
        <v>1136</v>
      </c>
      <c r="J77" s="2551"/>
      <c r="K77" s="2552">
        <f>IF(AND(K75="",K76=""),4,IF(项目基本情况!K6="上海银行",K76+1,K75+1))</f>
        <v>5</v>
      </c>
      <c r="L77" s="1267" t="s">
        <v>484</v>
      </c>
      <c r="M77" s="2576" t="s">
        <v>1137</v>
      </c>
      <c r="N77" s="2577"/>
      <c r="O77" s="2578">
        <f ca="1">SUMIF(N72:N76,"&lt;9e307")</f>
        <v>12699</v>
      </c>
      <c r="P77" s="2579"/>
      <c r="Q77" s="2603" t="e">
        <f ca="1">O77/N69</f>
        <v>#VALUE!</v>
      </c>
      <c r="R77" s="185"/>
      <c r="S77" s="185"/>
      <c r="T77" s="185"/>
      <c r="U77" s="185"/>
      <c r="V77" s="185"/>
    </row>
    <row r="78" ht="12" customHeight="1" spans="1:22">
      <c r="A78" s="2462"/>
      <c r="B78" s="117"/>
      <c r="C78" s="117"/>
      <c r="D78" s="117"/>
      <c r="E78" s="2454"/>
      <c r="F78" s="2454"/>
      <c r="G78" s="2454"/>
      <c r="H78" s="2463"/>
      <c r="I78" s="117"/>
      <c r="J78" s="2551"/>
      <c r="K78" s="2552"/>
      <c r="L78" s="1267"/>
      <c r="M78" s="2576" t="s">
        <v>1138</v>
      </c>
      <c r="N78" s="2577"/>
      <c r="O78" s="2578" t="str">
        <f ca="1">NUMBERSTRING(INT(O77*10000),2)&amp;"元整"</f>
        <v>壹亿贰仟陆佰玖拾玖万元整</v>
      </c>
      <c r="P78" s="2579"/>
      <c r="Q78" s="185"/>
      <c r="R78" s="185"/>
      <c r="S78" s="185"/>
      <c r="T78" s="185"/>
      <c r="U78" s="185"/>
      <c r="V78" s="185"/>
    </row>
    <row r="79" ht="14.25" spans="1:22">
      <c r="A79" s="2464" t="s">
        <v>1139</v>
      </c>
      <c r="B79" s="2464"/>
      <c r="C79" s="2464"/>
      <c r="D79" s="2464"/>
      <c r="E79" s="2464"/>
      <c r="F79" s="2454"/>
      <c r="G79" s="2454"/>
      <c r="H79" s="2463"/>
      <c r="I79" s="117"/>
      <c r="J79" s="2551"/>
      <c r="K79" s="2556">
        <f>K77+1</f>
        <v>6</v>
      </c>
      <c r="L79" s="1267" t="s">
        <v>1140</v>
      </c>
      <c r="M79" s="2576" t="s">
        <v>1137</v>
      </c>
      <c r="N79" s="2577"/>
      <c r="O79" s="2578" t="e">
        <f ca="1">N69-O77</f>
        <v>#VALUE!</v>
      </c>
      <c r="P79" s="2579"/>
      <c r="Q79" s="185"/>
      <c r="R79" s="185"/>
      <c r="S79" s="185"/>
      <c r="T79" s="185"/>
      <c r="U79" s="185"/>
      <c r="V79" s="185"/>
    </row>
    <row r="80" ht="13.5" spans="1:22">
      <c r="A80" s="2465" t="s">
        <v>1141</v>
      </c>
      <c r="B80" s="2466"/>
      <c r="C80" s="2466"/>
      <c r="D80" s="2466" t="s">
        <v>1142</v>
      </c>
      <c r="E80" s="2467" t="s">
        <v>1099</v>
      </c>
      <c r="F80" s="2454"/>
      <c r="G80" s="2454"/>
      <c r="H80" s="2463"/>
      <c r="I80" s="117"/>
      <c r="J80" s="185"/>
      <c r="K80" s="2544"/>
      <c r="L80" s="1267"/>
      <c r="M80" s="2576" t="s">
        <v>1138</v>
      </c>
      <c r="N80" s="2577"/>
      <c r="O80" s="2578" t="e">
        <f ca="1">NUMBERSTRING(INT(O79*10000),2)&amp;"元整"</f>
        <v>#VALUE!</v>
      </c>
      <c r="P80" s="2579"/>
      <c r="Q80" s="185"/>
      <c r="R80" s="185"/>
      <c r="S80" s="185"/>
      <c r="T80" s="185"/>
      <c r="U80" s="185"/>
      <c r="V80" s="185"/>
    </row>
    <row r="81" ht="14.25" spans="1:22">
      <c r="A81" s="2468" t="s">
        <v>820</v>
      </c>
      <c r="B81" s="2469" t="s">
        <v>1143</v>
      </c>
      <c r="C81" s="2470">
        <f ca="1">ROUND((C82+C83)/(1+'数据-取费表'!C42),0)</f>
        <v>21350</v>
      </c>
      <c r="D81" s="2471"/>
      <c r="E81" s="2472"/>
      <c r="F81" s="2454"/>
      <c r="G81" s="2454"/>
      <c r="H81" s="2463"/>
      <c r="I81" s="117"/>
      <c r="J81" s="185"/>
      <c r="K81" s="2552">
        <f>K79+1</f>
        <v>7</v>
      </c>
      <c r="L81" s="2580" t="s">
        <v>1144</v>
      </c>
      <c r="M81" s="2581"/>
      <c r="N81" s="2582"/>
      <c r="O81" s="2583" t="e">
        <f ca="1">ROUND(O79*10000/'数据-汇总表'!E3,0)</f>
        <v>#VALUE!</v>
      </c>
      <c r="P81" s="2584"/>
      <c r="Q81" s="185"/>
      <c r="R81" s="185"/>
      <c r="S81" s="185"/>
      <c r="T81" s="185"/>
      <c r="U81" s="185"/>
      <c r="V81" s="185"/>
    </row>
    <row r="82" ht="14.25" spans="1:22">
      <c r="A82" s="2187" t="s">
        <v>1145</v>
      </c>
      <c r="B82" s="2473" t="s">
        <v>1146</v>
      </c>
      <c r="C82" s="2474">
        <f ca="1">D63</f>
        <v>22418</v>
      </c>
      <c r="D82" s="1555" t="s">
        <v>138</v>
      </c>
      <c r="E82" s="2475"/>
      <c r="F82" s="2454"/>
      <c r="G82" s="2454"/>
      <c r="H82" s="2463"/>
      <c r="I82" s="117"/>
      <c r="J82" s="185"/>
      <c r="K82" s="185"/>
      <c r="L82" s="185"/>
      <c r="M82" s="185"/>
      <c r="N82" s="185"/>
      <c r="O82" s="185"/>
      <c r="P82" s="185"/>
      <c r="Q82" s="185"/>
      <c r="R82" s="185"/>
      <c r="S82" s="185"/>
      <c r="T82" s="185"/>
      <c r="U82" s="185"/>
      <c r="V82" s="185"/>
    </row>
    <row r="83" ht="13.5" spans="1:22">
      <c r="A83" s="2187" t="s">
        <v>1147</v>
      </c>
      <c r="B83" s="2473" t="s">
        <v>1148</v>
      </c>
      <c r="C83" s="2476"/>
      <c r="D83" s="1555"/>
      <c r="E83" s="2475"/>
      <c r="F83" s="2454"/>
      <c r="G83" s="2454"/>
      <c r="H83" s="2463"/>
      <c r="I83" s="117"/>
      <c r="J83" s="185"/>
      <c r="K83" s="2585" t="s">
        <v>1149</v>
      </c>
      <c r="L83" s="2585" t="s">
        <v>1150</v>
      </c>
      <c r="M83" s="2586" t="e">
        <f ca="1">IF(N69&gt;10000,N69*0.5%,IF(AND(N69&gt;1000,N69&lt;=10000),N69*1%,IF(AND(N69&gt;100,N69&lt;=1000),N69*3%,IF(AND(N69&gt;10,N69&lt;=100),N69*5%,N69*8%))))</f>
        <v>#VALUE!</v>
      </c>
      <c r="N83" s="123" t="e">
        <f ca="1">ROUND(M83,1)</f>
        <v>#VALUE!</v>
      </c>
      <c r="O83" s="2587"/>
      <c r="P83" s="185"/>
      <c r="Q83" s="185"/>
      <c r="R83" s="185"/>
      <c r="S83" s="185"/>
      <c r="T83" s="185"/>
      <c r="U83" s="185"/>
      <c r="V83" s="185"/>
    </row>
    <row r="84" ht="13.5" spans="1:22">
      <c r="A84" s="2468" t="s">
        <v>890</v>
      </c>
      <c r="B84" s="2477" t="s">
        <v>1151</v>
      </c>
      <c r="C84" s="2478"/>
      <c r="D84" s="2479" t="s">
        <v>138</v>
      </c>
      <c r="E84" s="2480" t="s">
        <v>1152</v>
      </c>
      <c r="F84" s="2454"/>
      <c r="G84" s="2454"/>
      <c r="H84" s="2463"/>
      <c r="I84" s="117"/>
      <c r="J84" s="185"/>
      <c r="K84" s="2585"/>
      <c r="L84" s="2585" t="s">
        <v>1153</v>
      </c>
      <c r="M84" s="2586" t="e">
        <f ca="1">IF(N69&gt;2000,N69*0.5%,IF(AND(N69&gt;1000,N69&lt;=2000),N69*0.6%,IF(AND(N69&gt;500,N69&lt;=1000),N69*0.7%,IF(AND(N69&gt;200,N69&lt;=500),N69*0.8%,IF(AND(N69&gt;100,N69&lt;=200),N69*0.9%,IF(AND(N69&gt;50,N69&lt;=100),N69*1%,IF(AND(N69&gt;20,N69&lt;=50),N69*1.5%,IF(AND(N69&gt;10,N69&lt;=20),N69*2%,IF(AND(N69&gt;1,N69&lt;=10),N69*2.5%)))))))))</f>
        <v>#VALUE!</v>
      </c>
      <c r="N84" s="123" t="e">
        <f ca="1" t="shared" ref="N84:N85" si="2">ROUND(M84,1)</f>
        <v>#VALUE!</v>
      </c>
      <c r="O84" s="185" t="s">
        <v>1154</v>
      </c>
      <c r="P84" s="185"/>
      <c r="Q84" s="185"/>
      <c r="R84" s="185"/>
      <c r="S84" s="185"/>
      <c r="T84" s="185"/>
      <c r="U84" s="185"/>
      <c r="V84" s="185"/>
    </row>
    <row r="85" ht="13.5" spans="1:22">
      <c r="A85" s="2468" t="s">
        <v>892</v>
      </c>
      <c r="B85" s="2477" t="s">
        <v>1155</v>
      </c>
      <c r="C85" s="2481">
        <f ca="1">C81-C84</f>
        <v>21350</v>
      </c>
      <c r="D85" s="1555" t="s">
        <v>138</v>
      </c>
      <c r="E85" s="2475"/>
      <c r="F85" s="2454"/>
      <c r="G85" s="2454"/>
      <c r="H85" s="2463"/>
      <c r="I85" s="117"/>
      <c r="J85" s="185"/>
      <c r="K85" s="2585"/>
      <c r="L85" s="2585" t="s">
        <v>1156</v>
      </c>
      <c r="M85" s="2586" t="e">
        <f ca="1">IF(N69&gt;1000,N69*0.1%,IF(AND(N69&gt;500,N69&lt;=1000),N69*0.5%,IF(AND(N69&gt;50,N69&lt;=500),N69*1%,IF(AND(N69&gt;1,N69&lt;=50),N69*1.5%))))</f>
        <v>#VALUE!</v>
      </c>
      <c r="N85" s="123" t="e">
        <f ca="1" t="shared" si="2"/>
        <v>#VALUE!</v>
      </c>
      <c r="O85" s="185" t="s">
        <v>1154</v>
      </c>
      <c r="P85" s="185"/>
      <c r="Q85" s="185"/>
      <c r="R85" s="185"/>
      <c r="S85" s="185"/>
      <c r="T85" s="185"/>
      <c r="U85" s="185"/>
      <c r="V85" s="185"/>
    </row>
    <row r="86" ht="14.25" spans="1:22">
      <c r="A86" s="2482" t="s">
        <v>898</v>
      </c>
      <c r="B86" s="2483" t="s">
        <v>1157</v>
      </c>
      <c r="C86" s="2484">
        <f ca="1">IF(C85&lt;=0,0,ROUND(C85*D86,0))</f>
        <v>1196</v>
      </c>
      <c r="D86" s="2485">
        <f>'数据-取费表'!B41</f>
        <v>0.056</v>
      </c>
      <c r="E86" s="2486"/>
      <c r="F86" s="2454"/>
      <c r="G86" s="2454"/>
      <c r="H86" s="2463"/>
      <c r="I86" s="117"/>
      <c r="J86" s="185"/>
      <c r="K86" s="2585"/>
      <c r="L86" s="2585" t="s">
        <v>1158</v>
      </c>
      <c r="M86" s="2586" t="e">
        <f ca="1">N69*0.5%</f>
        <v>#VALUE!</v>
      </c>
      <c r="N86" s="123" t="e">
        <f ca="1">IF(M86&gt;0.5,0.5,ROUND(M86,0))</f>
        <v>#VALUE!</v>
      </c>
      <c r="O86" s="185" t="s">
        <v>1159</v>
      </c>
      <c r="P86" s="185"/>
      <c r="Q86" s="185"/>
      <c r="R86" s="185"/>
      <c r="S86" s="185"/>
      <c r="T86" s="185"/>
      <c r="U86" s="185"/>
      <c r="V86" s="185"/>
    </row>
    <row r="87" s="2214" customFormat="1" ht="14.25" customHeight="1" spans="1:26">
      <c r="A87" s="2487"/>
      <c r="B87" s="2488"/>
      <c r="C87" s="2489"/>
      <c r="D87" s="2490"/>
      <c r="E87" s="2491"/>
      <c r="F87" s="2454"/>
      <c r="G87" s="2454"/>
      <c r="H87" s="2463"/>
      <c r="I87" s="117"/>
      <c r="J87" s="185"/>
      <c r="K87" s="2585"/>
      <c r="L87" s="2585" t="s">
        <v>1160</v>
      </c>
      <c r="M87" s="2586" t="e">
        <f ca="1">IF(N69&gt;=10000,(8.25+(N69-10000)*0.01%),IF(AND(N69&gt;=8000,N69&lt;10000),(7.85+(N69-8000)*0.02%),IF(AND(N69&gt;=5000,N69&lt;8000),(6.65+(N69-5000)*0.04%),IF(AND(N69&gt;=2000,N69&lt;5000),(4.25+(PN69-2000)*0.08%),IF(AND(N69&gt;=1000,N69&lt;2000),(2.75+(N69-1000)*0.15%),IF(AND(N69&gt;=100,N69&lt;1000),(0.5+(N69-100)*0.25%),IF(AND(N69&gt;0,N69&lt;100),N69*0.5%)))))))</f>
        <v>#VALUE!</v>
      </c>
      <c r="N87" s="123" t="e">
        <f ca="1">ROUND(M87*0.9,1)</f>
        <v>#VALUE!</v>
      </c>
      <c r="O87" s="2587"/>
      <c r="P87" s="185"/>
      <c r="Q87" s="185"/>
      <c r="R87" s="185"/>
      <c r="S87" s="185"/>
      <c r="T87" s="185"/>
      <c r="U87" s="185"/>
      <c r="V87" s="185"/>
      <c r="W87" s="2096"/>
      <c r="X87" s="2096"/>
      <c r="Y87" s="2096"/>
      <c r="Z87" s="2096"/>
    </row>
    <row r="88" s="2215" customFormat="1" ht="15" spans="1:26">
      <c r="A88" s="2492" t="s">
        <v>1161</v>
      </c>
      <c r="B88" s="2493"/>
      <c r="C88" s="2493"/>
      <c r="D88" s="2493"/>
      <c r="E88" s="2493"/>
      <c r="F88" s="2493"/>
      <c r="G88" s="2493"/>
      <c r="H88" s="2493"/>
      <c r="I88" s="2588"/>
      <c r="J88" s="2589"/>
      <c r="K88" s="2585"/>
      <c r="L88" s="2585" t="s">
        <v>1162</v>
      </c>
      <c r="M88" s="2586" t="e">
        <f ca="1">IF(N69&gt;10000,N69*0.5%,IF(AND(N69&gt;5000,N69&lt;=10000),N69*1%,IF(AND(N69&gt;1000,N69&lt;=5000),N69*2%,IF(AND(N69&gt;200,N69&lt;=1000),N69*3%,N69*5%))))</f>
        <v>#VALUE!</v>
      </c>
      <c r="N88" s="123" t="e">
        <f ca="1">ROUND(M88,1)</f>
        <v>#VALUE!</v>
      </c>
      <c r="O88" s="2587"/>
      <c r="P88" s="2590"/>
      <c r="Q88" s="2590"/>
      <c r="R88" s="2590"/>
      <c r="S88" s="2590"/>
      <c r="T88" s="2590"/>
      <c r="U88" s="2590"/>
      <c r="V88" s="2590"/>
      <c r="W88" s="2604"/>
      <c r="X88" s="2604"/>
      <c r="Y88" s="2604"/>
      <c r="Z88" s="2604"/>
    </row>
    <row r="89" s="2215" customFormat="1" ht="14.25" spans="1:26">
      <c r="A89" s="2465" t="s">
        <v>1141</v>
      </c>
      <c r="B89" s="2466"/>
      <c r="C89" s="2466"/>
      <c r="D89" s="2466" t="s">
        <v>1142</v>
      </c>
      <c r="E89" s="2494" t="s">
        <v>1099</v>
      </c>
      <c r="F89" s="2495"/>
      <c r="G89" s="2495"/>
      <c r="H89" s="2496"/>
      <c r="I89" s="2591"/>
      <c r="J89" s="2592"/>
      <c r="K89" s="2585"/>
      <c r="L89" s="2585" t="s">
        <v>514</v>
      </c>
      <c r="M89" s="2593"/>
      <c r="N89" s="123" t="e">
        <f ca="1">ROUND(SUM(N83:N88),0)</f>
        <v>#VALUE!</v>
      </c>
      <c r="O89" s="2594" t="e">
        <f ca="1">N89/N69</f>
        <v>#VALUE!</v>
      </c>
      <c r="P89" s="2590"/>
      <c r="Q89" s="2590"/>
      <c r="R89" s="2590"/>
      <c r="S89" s="2590"/>
      <c r="T89" s="2590"/>
      <c r="U89" s="2590"/>
      <c r="V89" s="2590"/>
      <c r="W89" s="2604"/>
      <c r="X89" s="2604"/>
      <c r="Y89" s="2604"/>
      <c r="Z89" s="2604"/>
    </row>
    <row r="90" s="2215" customFormat="1" ht="14.25" spans="1:26">
      <c r="A90" s="2468" t="s">
        <v>820</v>
      </c>
      <c r="B90" s="2477" t="s">
        <v>1163</v>
      </c>
      <c r="C90" s="2481">
        <f ca="1">ROUND(D63/(1+'数据-取费表'!C42),0)</f>
        <v>21350</v>
      </c>
      <c r="D90" s="1555" t="s">
        <v>138</v>
      </c>
      <c r="E90" s="912"/>
      <c r="F90" s="913"/>
      <c r="G90" s="913"/>
      <c r="H90" s="2497"/>
      <c r="I90" s="2591"/>
      <c r="J90" s="2592"/>
      <c r="K90" s="2590"/>
      <c r="L90" s="2590"/>
      <c r="M90" s="2590"/>
      <c r="N90" s="2590"/>
      <c r="O90" s="2590"/>
      <c r="P90" s="2590"/>
      <c r="Q90" s="2590"/>
      <c r="R90" s="2590"/>
      <c r="S90" s="2590"/>
      <c r="T90" s="2590"/>
      <c r="U90" s="2590"/>
      <c r="V90" s="2590"/>
      <c r="W90" s="2604"/>
      <c r="X90" s="2604"/>
      <c r="Y90" s="2604"/>
      <c r="Z90" s="2604"/>
    </row>
    <row r="91" s="2215" customFormat="1" ht="14.25" spans="1:26">
      <c r="A91" s="2468" t="s">
        <v>890</v>
      </c>
      <c r="B91" s="2422" t="s">
        <v>1164</v>
      </c>
      <c r="C91" s="2481">
        <f ca="1">C92+C96</f>
        <v>128</v>
      </c>
      <c r="D91" s="1555" t="s">
        <v>138</v>
      </c>
      <c r="E91" s="912"/>
      <c r="F91" s="913"/>
      <c r="G91" s="913"/>
      <c r="H91" s="2497"/>
      <c r="I91" s="2591"/>
      <c r="J91" s="2592"/>
      <c r="K91" s="2590"/>
      <c r="L91" s="2590"/>
      <c r="M91" s="2590"/>
      <c r="N91" s="2590"/>
      <c r="O91" s="2590"/>
      <c r="P91" s="2590"/>
      <c r="Q91" s="2590"/>
      <c r="R91" s="2590"/>
      <c r="S91" s="2590"/>
      <c r="T91" s="2590"/>
      <c r="U91" s="2590"/>
      <c r="V91" s="2590"/>
      <c r="W91" s="2604"/>
      <c r="X91" s="2604"/>
      <c r="Y91" s="2604"/>
      <c r="Z91" s="2604"/>
    </row>
    <row r="92" s="2215" customFormat="1" ht="24" spans="1:26">
      <c r="A92" s="2498" t="s">
        <v>1145</v>
      </c>
      <c r="B92" s="2473" t="s">
        <v>1165</v>
      </c>
      <c r="C92" s="1555">
        <f>ROUND(IF(G95="2016年5月1日后购买",C93/(1+'数据-取费表'!C30)+C94+C95,C93+C94+C95),0)</f>
        <v>0</v>
      </c>
      <c r="D92" s="1555" t="s">
        <v>138</v>
      </c>
      <c r="E92" s="912"/>
      <c r="F92" s="913"/>
      <c r="G92" s="913"/>
      <c r="H92" s="2497"/>
      <c r="I92" s="2591"/>
      <c r="J92" s="2592"/>
      <c r="K92" s="2590"/>
      <c r="L92" s="2590"/>
      <c r="M92" s="2590"/>
      <c r="N92" s="2590"/>
      <c r="O92" s="2590"/>
      <c r="P92" s="2590"/>
      <c r="Q92" s="2590"/>
      <c r="R92" s="2590"/>
      <c r="S92" s="2590"/>
      <c r="T92" s="2590"/>
      <c r="U92" s="2590"/>
      <c r="V92" s="2590"/>
      <c r="W92" s="2604"/>
      <c r="X92" s="2604"/>
      <c r="Y92" s="2604"/>
      <c r="Z92" s="2604"/>
    </row>
    <row r="93" s="2215" customFormat="1" ht="14.25" spans="1:26">
      <c r="A93" s="2498" t="s">
        <v>1166</v>
      </c>
      <c r="B93" s="2473" t="s">
        <v>1167</v>
      </c>
      <c r="C93" s="1557"/>
      <c r="D93" s="1555" t="s">
        <v>138</v>
      </c>
      <c r="E93" s="2499" t="s">
        <v>1168</v>
      </c>
      <c r="F93" s="2500"/>
      <c r="G93" s="2499" t="s">
        <v>1169</v>
      </c>
      <c r="H93" s="2501">
        <v>5</v>
      </c>
      <c r="I93" s="2417"/>
      <c r="J93" s="2590"/>
      <c r="K93" s="2590"/>
      <c r="L93" s="2590"/>
      <c r="M93" s="2590"/>
      <c r="N93" s="2590"/>
      <c r="O93" s="2590"/>
      <c r="P93" s="2590"/>
      <c r="Q93" s="2590"/>
      <c r="R93" s="2590"/>
      <c r="S93" s="2590"/>
      <c r="T93" s="2590"/>
      <c r="U93" s="2590"/>
      <c r="V93" s="2590"/>
      <c r="W93" s="2604"/>
      <c r="X93" s="2604"/>
      <c r="Y93" s="2604"/>
      <c r="Z93" s="2604"/>
    </row>
    <row r="94" s="2215" customFormat="1" ht="24.75" customHeight="1" spans="1:26">
      <c r="A94" s="2498" t="s">
        <v>1170</v>
      </c>
      <c r="B94" s="2502" t="s">
        <v>1171</v>
      </c>
      <c r="C94" s="1555">
        <f>IF(F93="购房发票",ROUND(C93*H93*5%,0),0)</f>
        <v>0</v>
      </c>
      <c r="D94" s="2503">
        <v>0.05</v>
      </c>
      <c r="E94" s="912" t="s">
        <v>1172</v>
      </c>
      <c r="F94" s="913"/>
      <c r="G94" s="913"/>
      <c r="H94" s="2504"/>
      <c r="I94" s="2591"/>
      <c r="J94" s="2592"/>
      <c r="K94" s="2590"/>
      <c r="L94" s="2590"/>
      <c r="M94" s="2590"/>
      <c r="N94" s="2590"/>
      <c r="O94" s="2590"/>
      <c r="P94" s="2590"/>
      <c r="Q94" s="2590"/>
      <c r="R94" s="2590"/>
      <c r="S94" s="2590"/>
      <c r="T94" s="2590"/>
      <c r="U94" s="2590"/>
      <c r="V94" s="2590"/>
      <c r="W94" s="2604"/>
      <c r="X94" s="2604"/>
      <c r="Y94" s="2604"/>
      <c r="Z94" s="2604"/>
    </row>
    <row r="95" s="2215" customFormat="1" ht="24.75" customHeight="1" spans="1:26">
      <c r="A95" s="2498" t="s">
        <v>1173</v>
      </c>
      <c r="B95" s="2473" t="s">
        <v>1174</v>
      </c>
      <c r="C95" s="1555">
        <f>ROUND(IF(G95="个人买卖住房",0,IF(G95="2016年5月1日前购买",C93*D95,C93*D95/(1+'数据-取费表'!C42))),0)</f>
        <v>0</v>
      </c>
      <c r="D95" s="2505">
        <f>'数据-取费表'!B48+'数据-取费表'!B49</f>
        <v>0.0305</v>
      </c>
      <c r="E95" s="1011" t="s">
        <v>1175</v>
      </c>
      <c r="F95" s="2506"/>
      <c r="G95" s="2507"/>
      <c r="H95" s="2504" t="str">
        <f>IF(G95="个人买卖住房","免征印花税"," ")</f>
        <v> </v>
      </c>
      <c r="I95" s="2591"/>
      <c r="J95" s="2592"/>
      <c r="K95" s="2590"/>
      <c r="L95" s="2590"/>
      <c r="M95" s="2590"/>
      <c r="N95" s="2590"/>
      <c r="O95" s="2590"/>
      <c r="P95" s="2590"/>
      <c r="Q95" s="2590"/>
      <c r="R95" s="2590"/>
      <c r="S95" s="2590"/>
      <c r="T95" s="2590"/>
      <c r="U95" s="2590"/>
      <c r="V95" s="2590"/>
      <c r="W95" s="2604"/>
      <c r="X95" s="2604"/>
      <c r="Y95" s="2604"/>
      <c r="Z95" s="2604"/>
    </row>
    <row r="96" s="2215" customFormat="1" ht="24.75" customHeight="1" spans="1:26">
      <c r="A96" s="2498" t="s">
        <v>1147</v>
      </c>
      <c r="B96" s="2473" t="s">
        <v>1176</v>
      </c>
      <c r="C96" s="2508">
        <f ca="1">ROUND(D63*D96/(1+'数据-取费表'!C42),0)</f>
        <v>128</v>
      </c>
      <c r="D96" s="2509">
        <f>'数据-取费表'!B43</f>
        <v>0.006</v>
      </c>
      <c r="E96" s="2510" t="s">
        <v>1177</v>
      </c>
      <c r="F96" s="2511"/>
      <c r="G96" s="2511"/>
      <c r="H96" s="2512"/>
      <c r="I96" s="2595"/>
      <c r="J96" s="2596"/>
      <c r="K96" s="2590"/>
      <c r="L96" s="2590"/>
      <c r="M96" s="2590"/>
      <c r="N96" s="2590"/>
      <c r="O96" s="2590"/>
      <c r="P96" s="2590"/>
      <c r="Q96" s="2590"/>
      <c r="R96" s="2590"/>
      <c r="S96" s="2590"/>
      <c r="T96" s="2590"/>
      <c r="U96" s="2590"/>
      <c r="V96" s="2590"/>
      <c r="W96" s="2604"/>
      <c r="X96" s="2604"/>
      <c r="Y96" s="2604"/>
      <c r="Z96" s="2604"/>
    </row>
    <row r="97" s="2215" customFormat="1" ht="14.25" spans="1:26">
      <c r="A97" s="2513" t="s">
        <v>892</v>
      </c>
      <c r="B97" s="2477" t="s">
        <v>1178</v>
      </c>
      <c r="C97" s="2481">
        <f ca="1">C90-C91</f>
        <v>21222</v>
      </c>
      <c r="D97" s="1555" t="s">
        <v>138</v>
      </c>
      <c r="E97" s="912"/>
      <c r="F97" s="913"/>
      <c r="G97" s="913"/>
      <c r="H97" s="2497"/>
      <c r="I97" s="2591"/>
      <c r="J97" s="2592"/>
      <c r="K97" s="2590"/>
      <c r="L97" s="2590"/>
      <c r="M97" s="2590"/>
      <c r="N97" s="2590"/>
      <c r="O97" s="2590"/>
      <c r="P97" s="2590"/>
      <c r="Q97" s="2590"/>
      <c r="R97" s="2590"/>
      <c r="S97" s="2590"/>
      <c r="T97" s="2590"/>
      <c r="U97" s="2590"/>
      <c r="V97" s="2590"/>
      <c r="W97" s="2604"/>
      <c r="X97" s="2604"/>
      <c r="Y97" s="2604"/>
      <c r="Z97" s="2604"/>
    </row>
    <row r="98" s="2215" customFormat="1" ht="24" spans="1:26">
      <c r="A98" s="2513" t="s">
        <v>898</v>
      </c>
      <c r="B98" s="2477" t="s">
        <v>1179</v>
      </c>
      <c r="C98" s="2514">
        <f ca="1">IF(C97&lt;=0,0,C97/C91)</f>
        <v>165.796875</v>
      </c>
      <c r="D98" s="1555" t="s">
        <v>138</v>
      </c>
      <c r="E98" s="1011" t="str">
        <f ca="1">IF(C98&gt;=200%,"增值额超过扣除项目金额200%",IF(C98&gt;=100%,"增值额超过扣除项目金额100%，未超过200%",IF(C98&gt;=50%,"增值额超过扣除项目金额50%，未超过100%",IF(C98&lt;50%,"增值额未超过扣除项目金额50%"))))</f>
        <v>增值额超过扣除项目金额200%</v>
      </c>
      <c r="F98" s="913"/>
      <c r="G98" s="913"/>
      <c r="H98" s="2497"/>
      <c r="I98" s="2591"/>
      <c r="J98" s="2592"/>
      <c r="K98" s="2590"/>
      <c r="L98" s="2590"/>
      <c r="M98" s="2590"/>
      <c r="N98" s="2590"/>
      <c r="O98" s="2590"/>
      <c r="P98" s="2590"/>
      <c r="Q98" s="2590"/>
      <c r="R98" s="2590"/>
      <c r="S98" s="2590"/>
      <c r="T98" s="2590"/>
      <c r="U98" s="2590"/>
      <c r="V98" s="2590"/>
      <c r="W98" s="2604"/>
      <c r="X98" s="2604"/>
      <c r="Y98" s="2604"/>
      <c r="Z98" s="2604"/>
    </row>
    <row r="99" s="2215" customFormat="1" ht="24.75" spans="1:26">
      <c r="A99" s="2515" t="s">
        <v>907</v>
      </c>
      <c r="B99" s="2483" t="s">
        <v>1180</v>
      </c>
      <c r="C99" s="2516">
        <f ca="1">ROUND(IF(C97&lt;=0,0,IF(C98&gt;=200%,C97*60%-C91*35%,IF(C98&gt;=100%,C97*50%-C91*15%,IF(C98&gt;=50%,C97*40%-C91*5%,IF(C98&lt;50%,C97*30%,0))))),0)</f>
        <v>12688</v>
      </c>
      <c r="D99" s="2517" t="s">
        <v>138</v>
      </c>
      <c r="E99" s="251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519"/>
      <c r="G99" s="2519"/>
      <c r="H99" s="2520"/>
      <c r="I99" s="2591"/>
      <c r="J99" s="2592"/>
      <c r="K99" s="2590"/>
      <c r="L99" s="2590"/>
      <c r="M99" s="2590"/>
      <c r="N99" s="2590"/>
      <c r="O99" s="2590"/>
      <c r="P99" s="2590"/>
      <c r="Q99" s="2590"/>
      <c r="R99" s="2590"/>
      <c r="S99" s="2590"/>
      <c r="T99" s="2590"/>
      <c r="U99" s="2590"/>
      <c r="V99" s="2590"/>
      <c r="W99" s="2604"/>
      <c r="X99" s="2604"/>
      <c r="Y99" s="2604"/>
      <c r="Z99" s="2604"/>
    </row>
    <row r="100" s="2215" customFormat="1" ht="7.5" customHeight="1" spans="1:26">
      <c r="A100" s="2521"/>
      <c r="B100" s="2522"/>
      <c r="C100" s="2417"/>
      <c r="D100" s="2417"/>
      <c r="E100" s="2522"/>
      <c r="F100" s="2522"/>
      <c r="G100" s="2522"/>
      <c r="H100" s="2523"/>
      <c r="I100" s="2595"/>
      <c r="J100" s="2596"/>
      <c r="K100" s="2590"/>
      <c r="L100" s="2590"/>
      <c r="M100" s="2590"/>
      <c r="N100" s="2590"/>
      <c r="O100" s="2590"/>
      <c r="P100" s="2590"/>
      <c r="Q100" s="2590"/>
      <c r="R100" s="2590"/>
      <c r="S100" s="2590"/>
      <c r="T100" s="2590"/>
      <c r="U100" s="2590"/>
      <c r="V100" s="2590"/>
      <c r="W100" s="2604"/>
      <c r="X100" s="2604"/>
      <c r="Y100" s="2604"/>
      <c r="Z100" s="2604"/>
    </row>
    <row r="101" s="2215" customFormat="1" ht="15" spans="1:26">
      <c r="A101" s="2492" t="s">
        <v>1181</v>
      </c>
      <c r="B101" s="2493"/>
      <c r="C101" s="2493"/>
      <c r="D101" s="2493"/>
      <c r="E101" s="2493"/>
      <c r="F101" s="2493"/>
      <c r="G101" s="2493"/>
      <c r="H101" s="2493"/>
      <c r="I101" s="2417"/>
      <c r="J101" s="2590"/>
      <c r="K101" s="2590"/>
      <c r="L101" s="2590"/>
      <c r="M101" s="2590"/>
      <c r="N101" s="2590"/>
      <c r="O101" s="2590"/>
      <c r="P101" s="2590"/>
      <c r="Q101" s="2590"/>
      <c r="R101" s="2590"/>
      <c r="S101" s="2590"/>
      <c r="T101" s="2590"/>
      <c r="U101" s="2590"/>
      <c r="V101" s="2590"/>
      <c r="W101" s="2604"/>
      <c r="X101" s="2604"/>
      <c r="Y101" s="2604"/>
      <c r="Z101" s="2604"/>
    </row>
    <row r="102" s="2215" customFormat="1" ht="14.25" spans="1:26">
      <c r="A102" s="2465" t="s">
        <v>1141</v>
      </c>
      <c r="B102" s="2466"/>
      <c r="C102" s="2466"/>
      <c r="D102" s="2466" t="s">
        <v>1142</v>
      </c>
      <c r="E102" s="2494" t="s">
        <v>1099</v>
      </c>
      <c r="F102" s="2495"/>
      <c r="G102" s="2495"/>
      <c r="H102" s="2524"/>
      <c r="I102" s="2417"/>
      <c r="J102" s="2590"/>
      <c r="K102" s="2590"/>
      <c r="L102" s="2590"/>
      <c r="M102" s="2590"/>
      <c r="N102" s="2590"/>
      <c r="O102" s="2590"/>
      <c r="P102" s="2590"/>
      <c r="Q102" s="2590"/>
      <c r="R102" s="2590"/>
      <c r="S102" s="2590"/>
      <c r="T102" s="2590"/>
      <c r="U102" s="2590"/>
      <c r="V102" s="2590"/>
      <c r="W102" s="2604"/>
      <c r="X102" s="2604"/>
      <c r="Y102" s="2604"/>
      <c r="Z102" s="2604"/>
    </row>
    <row r="103" s="2215" customFormat="1" ht="14.25" spans="1:26">
      <c r="A103" s="2468" t="s">
        <v>820</v>
      </c>
      <c r="B103" s="2477" t="s">
        <v>1163</v>
      </c>
      <c r="C103" s="2481">
        <f ca="1">ROUND(D63/(1+'数据-取费表'!C42),0)</f>
        <v>21350</v>
      </c>
      <c r="D103" s="1555" t="s">
        <v>138</v>
      </c>
      <c r="E103" s="912"/>
      <c r="F103" s="913"/>
      <c r="G103" s="913"/>
      <c r="H103" s="2525"/>
      <c r="I103" s="2417"/>
      <c r="J103" s="2590"/>
      <c r="K103" s="2590"/>
      <c r="L103" s="2590"/>
      <c r="M103" s="2590"/>
      <c r="N103" s="2590"/>
      <c r="O103" s="2590"/>
      <c r="P103" s="2590"/>
      <c r="Q103" s="2590"/>
      <c r="R103" s="2590"/>
      <c r="S103" s="2590"/>
      <c r="T103" s="2590"/>
      <c r="U103" s="2590"/>
      <c r="V103" s="2590"/>
      <c r="W103" s="2604"/>
      <c r="X103" s="2604"/>
      <c r="Y103" s="2604"/>
      <c r="Z103" s="2604"/>
    </row>
    <row r="104" s="2215" customFormat="1" ht="14.25" spans="1:26">
      <c r="A104" s="2468" t="s">
        <v>890</v>
      </c>
      <c r="B104" s="2422" t="s">
        <v>1164</v>
      </c>
      <c r="C104" s="2481">
        <f ca="1">IF(H106="仅含出让金",C105+C108+C109+C110+C111+C112,C105+C109+C110+C111+C112)</f>
        <v>128</v>
      </c>
      <c r="D104" s="2526"/>
      <c r="E104" s="912"/>
      <c r="F104" s="913"/>
      <c r="G104" s="913"/>
      <c r="H104" s="2525"/>
      <c r="I104" s="2417"/>
      <c r="J104" s="2590"/>
      <c r="K104" s="2590"/>
      <c r="L104" s="2590"/>
      <c r="M104" s="2590"/>
      <c r="N104" s="2590"/>
      <c r="O104" s="2590"/>
      <c r="P104" s="2590"/>
      <c r="Q104" s="2590"/>
      <c r="R104" s="2590"/>
      <c r="S104" s="2590"/>
      <c r="T104" s="2590"/>
      <c r="U104" s="2590"/>
      <c r="V104" s="2590"/>
      <c r="W104" s="2604"/>
      <c r="X104" s="2604"/>
      <c r="Y104" s="2604"/>
      <c r="Z104" s="2604"/>
    </row>
    <row r="105" s="2215" customFormat="1" ht="14.25" spans="1:26">
      <c r="A105" s="2498" t="s">
        <v>1145</v>
      </c>
      <c r="B105" s="2473" t="s">
        <v>1182</v>
      </c>
      <c r="C105" s="2508">
        <f>C106+C107</f>
        <v>0</v>
      </c>
      <c r="D105" s="2509"/>
      <c r="E105" s="2527"/>
      <c r="F105" s="2511"/>
      <c r="G105" s="2511"/>
      <c r="H105" s="2512"/>
      <c r="I105" s="2417"/>
      <c r="J105" s="2590"/>
      <c r="K105" s="2590"/>
      <c r="L105" s="2590"/>
      <c r="M105" s="2590"/>
      <c r="N105" s="2590"/>
      <c r="O105" s="2590"/>
      <c r="P105" s="2590"/>
      <c r="Q105" s="2590"/>
      <c r="R105" s="2590"/>
      <c r="S105" s="2590"/>
      <c r="T105" s="2590"/>
      <c r="U105" s="2590"/>
      <c r="V105" s="2590"/>
      <c r="W105" s="2604"/>
      <c r="X105" s="2604"/>
      <c r="Y105" s="2604"/>
      <c r="Z105" s="2604"/>
    </row>
    <row r="106" s="2215" customFormat="1" ht="14.25" spans="1:26">
      <c r="A106" s="2498" t="s">
        <v>1166</v>
      </c>
      <c r="B106" s="2473" t="s">
        <v>1183</v>
      </c>
      <c r="C106" s="2528"/>
      <c r="D106" s="2509"/>
      <c r="E106" s="2529" t="s">
        <v>1184</v>
      </c>
      <c r="F106" s="2511"/>
      <c r="G106" s="2530" t="s">
        <v>1185</v>
      </c>
      <c r="H106" s="2531"/>
      <c r="I106" s="2417"/>
      <c r="J106" s="2590"/>
      <c r="K106" s="2597" t="s">
        <v>1186</v>
      </c>
      <c r="L106" s="2590"/>
      <c r="M106" s="2590"/>
      <c r="N106" s="2590"/>
      <c r="O106" s="2590"/>
      <c r="P106" s="2590"/>
      <c r="Q106" s="2590"/>
      <c r="R106" s="2590"/>
      <c r="S106" s="2590"/>
      <c r="T106" s="2590"/>
      <c r="U106" s="2590"/>
      <c r="V106" s="2590"/>
      <c r="W106" s="2604"/>
      <c r="X106" s="2604"/>
      <c r="Y106" s="2604"/>
      <c r="Z106" s="2604"/>
    </row>
    <row r="107" s="2215" customFormat="1" ht="14.25" spans="1:26">
      <c r="A107" s="2498" t="s">
        <v>1170</v>
      </c>
      <c r="B107" s="2473" t="s">
        <v>1174</v>
      </c>
      <c r="C107" s="2508">
        <f>ROUND(C106*D107,0)</f>
        <v>0</v>
      </c>
      <c r="D107" s="2509">
        <f>'数据-取费表'!B48+'数据-取费表'!B49</f>
        <v>0.0305</v>
      </c>
      <c r="E107" s="2529" t="s">
        <v>1187</v>
      </c>
      <c r="F107" s="2511"/>
      <c r="G107" s="2511"/>
      <c r="H107" s="2512"/>
      <c r="I107" s="2417"/>
      <c r="J107" s="2590"/>
      <c r="K107" s="2590"/>
      <c r="L107" s="2590"/>
      <c r="M107" s="2590"/>
      <c r="N107" s="2590"/>
      <c r="O107" s="2590"/>
      <c r="P107" s="2590"/>
      <c r="Q107" s="2590"/>
      <c r="R107" s="2590"/>
      <c r="S107" s="2590"/>
      <c r="T107" s="2590"/>
      <c r="U107" s="2590"/>
      <c r="V107" s="2590"/>
      <c r="W107" s="2604"/>
      <c r="X107" s="2604"/>
      <c r="Y107" s="2604"/>
      <c r="Z107" s="2604"/>
    </row>
    <row r="108" s="2215" customFormat="1" ht="14.25" spans="1:26">
      <c r="A108" s="2498" t="s">
        <v>1147</v>
      </c>
      <c r="B108" s="2473" t="s">
        <v>1188</v>
      </c>
      <c r="C108" s="2528"/>
      <c r="D108" s="2509"/>
      <c r="E108" s="2529" t="str">
        <f>IF(H106="-","土地取得成本中已包含该笔费用"," ")</f>
        <v> </v>
      </c>
      <c r="F108" s="2511"/>
      <c r="G108" s="2532" t="s">
        <v>1189</v>
      </c>
      <c r="H108" s="2533"/>
      <c r="I108" s="2598"/>
      <c r="J108" s="2590"/>
      <c r="K108" s="2597" t="s">
        <v>1190</v>
      </c>
      <c r="L108" s="2590"/>
      <c r="M108" s="2590"/>
      <c r="N108" s="2590"/>
      <c r="O108" s="2590"/>
      <c r="P108" s="2590"/>
      <c r="Q108" s="2590"/>
      <c r="R108" s="2590"/>
      <c r="S108" s="2590"/>
      <c r="T108" s="2590"/>
      <c r="U108" s="2590"/>
      <c r="V108" s="2590"/>
      <c r="W108" s="2604"/>
      <c r="X108" s="2604"/>
      <c r="Y108" s="2604"/>
      <c r="Z108" s="2604"/>
    </row>
    <row r="109" s="2215" customFormat="1" ht="24" customHeight="1" spans="1:26">
      <c r="A109" s="2534" t="s">
        <v>877</v>
      </c>
      <c r="B109" s="2473" t="s">
        <v>1191</v>
      </c>
      <c r="C109" s="2508">
        <f ca="1">IF(H109="——",IF(F1="现房",'剩余法-现房'!C18,0),I109)</f>
        <v>0</v>
      </c>
      <c r="D109" s="2509"/>
      <c r="E109" s="2527" t="s">
        <v>1192</v>
      </c>
      <c r="F109" s="2511"/>
      <c r="G109" s="2511"/>
      <c r="H109" s="2535" t="s">
        <v>138</v>
      </c>
      <c r="I109" s="2599"/>
      <c r="J109" s="2590"/>
      <c r="K109" s="2590"/>
      <c r="L109" s="2590"/>
      <c r="M109" s="2590"/>
      <c r="N109" s="2590"/>
      <c r="O109" s="2590"/>
      <c r="P109" s="2590"/>
      <c r="Q109" s="2590"/>
      <c r="R109" s="2590"/>
      <c r="S109" s="2590"/>
      <c r="T109" s="2590"/>
      <c r="U109" s="2590"/>
      <c r="V109" s="2590"/>
      <c r="W109" s="2604"/>
      <c r="X109" s="2604"/>
      <c r="Y109" s="2604"/>
      <c r="Z109" s="2604"/>
    </row>
    <row r="110" s="2215" customFormat="1" ht="25.5" customHeight="1" spans="1:26">
      <c r="A110" s="2534" t="s">
        <v>1193</v>
      </c>
      <c r="B110" s="2473" t="s">
        <v>1194</v>
      </c>
      <c r="C110" s="2508">
        <f ca="1">ROUND((C105+C108+C109)*D110,0)</f>
        <v>0</v>
      </c>
      <c r="D110" s="2536">
        <v>0</v>
      </c>
      <c r="E110" s="2527" t="s">
        <v>1195</v>
      </c>
      <c r="F110" s="2511"/>
      <c r="G110" s="2511"/>
      <c r="H110" s="2512"/>
      <c r="I110" s="2417"/>
      <c r="J110" s="2590"/>
      <c r="K110" s="2600" t="s">
        <v>1196</v>
      </c>
      <c r="L110" s="2590"/>
      <c r="M110" s="2590"/>
      <c r="N110" s="2590"/>
      <c r="O110" s="2590"/>
      <c r="P110" s="2590"/>
      <c r="Q110" s="2590"/>
      <c r="R110" s="2590"/>
      <c r="S110" s="2590"/>
      <c r="T110" s="2590"/>
      <c r="U110" s="2590"/>
      <c r="V110" s="2590"/>
      <c r="W110" s="2604"/>
      <c r="X110" s="2604"/>
      <c r="Y110" s="2604"/>
      <c r="Z110" s="2604"/>
    </row>
    <row r="111" s="2215" customFormat="1" ht="25.5" customHeight="1" spans="1:26">
      <c r="A111" s="2534" t="s">
        <v>1197</v>
      </c>
      <c r="B111" s="2473" t="s">
        <v>1176</v>
      </c>
      <c r="C111" s="2508">
        <f ca="1">ROUND(D63*D111/(1+'数据-取费表'!C42),0)</f>
        <v>128</v>
      </c>
      <c r="D111" s="2509">
        <f>'数据-取费表'!B43</f>
        <v>0.006</v>
      </c>
      <c r="E111" s="2510" t="s">
        <v>1177</v>
      </c>
      <c r="F111" s="2511"/>
      <c r="G111" s="2511"/>
      <c r="H111" s="2512"/>
      <c r="I111" s="2417"/>
      <c r="J111" s="2590"/>
      <c r="K111" s="2590"/>
      <c r="L111" s="2590"/>
      <c r="M111" s="2590"/>
      <c r="N111" s="2590"/>
      <c r="O111" s="2590"/>
      <c r="P111" s="2590"/>
      <c r="Q111" s="2590"/>
      <c r="R111" s="2590"/>
      <c r="S111" s="2590"/>
      <c r="T111" s="2590"/>
      <c r="U111" s="2590"/>
      <c r="V111" s="2590"/>
      <c r="W111" s="2604"/>
      <c r="X111" s="2604"/>
      <c r="Y111" s="2604"/>
      <c r="Z111" s="2604"/>
    </row>
    <row r="112" s="2215" customFormat="1" ht="25.5" customHeight="1" spans="1:26">
      <c r="A112" s="2534" t="s">
        <v>1198</v>
      </c>
      <c r="B112" s="2473" t="s">
        <v>1199</v>
      </c>
      <c r="C112" s="2508">
        <f>ROUND(C108*D112,0)</f>
        <v>0</v>
      </c>
      <c r="D112" s="2509">
        <v>0.2</v>
      </c>
      <c r="E112" s="2527" t="s">
        <v>1200</v>
      </c>
      <c r="F112" s="2511"/>
      <c r="G112" s="2511"/>
      <c r="H112" s="2512"/>
      <c r="I112" s="2417"/>
      <c r="J112" s="2590"/>
      <c r="K112" s="2590"/>
      <c r="L112" s="2590"/>
      <c r="M112" s="2590"/>
      <c r="N112" s="2590"/>
      <c r="O112" s="2590"/>
      <c r="P112" s="2590"/>
      <c r="Q112" s="2590"/>
      <c r="R112" s="2590"/>
      <c r="S112" s="2590"/>
      <c r="T112" s="2590"/>
      <c r="U112" s="2590"/>
      <c r="V112" s="2590"/>
      <c r="W112" s="2604"/>
      <c r="X112" s="2604"/>
      <c r="Y112" s="2604"/>
      <c r="Z112" s="2604"/>
    </row>
    <row r="113" s="2215" customFormat="1" ht="14.25" spans="1:26">
      <c r="A113" s="2513" t="s">
        <v>892</v>
      </c>
      <c r="B113" s="2477" t="s">
        <v>1178</v>
      </c>
      <c r="C113" s="2481">
        <f ca="1">ROUND(C103-C104,0)</f>
        <v>21222</v>
      </c>
      <c r="D113" s="1555" t="s">
        <v>138</v>
      </c>
      <c r="E113" s="912"/>
      <c r="F113" s="913"/>
      <c r="G113" s="913"/>
      <c r="H113" s="2525"/>
      <c r="I113" s="2417"/>
      <c r="J113" s="2590"/>
      <c r="K113" s="2590"/>
      <c r="L113" s="2590"/>
      <c r="M113" s="2590"/>
      <c r="N113" s="2590"/>
      <c r="O113" s="2590"/>
      <c r="P113" s="2590"/>
      <c r="Q113" s="2590"/>
      <c r="R113" s="2590"/>
      <c r="S113" s="2590"/>
      <c r="T113" s="2590"/>
      <c r="U113" s="2590"/>
      <c r="V113" s="2590"/>
      <c r="W113" s="2604"/>
      <c r="X113" s="2604"/>
      <c r="Y113" s="2604"/>
      <c r="Z113" s="2604"/>
    </row>
    <row r="114" s="2215" customFormat="1" ht="24" spans="1:26">
      <c r="A114" s="2513" t="s">
        <v>898</v>
      </c>
      <c r="B114" s="2477" t="s">
        <v>1179</v>
      </c>
      <c r="C114" s="2514">
        <f ca="1">IF(C113&lt;=0,0,C113/C104)</f>
        <v>165.796875</v>
      </c>
      <c r="D114" s="1555" t="s">
        <v>138</v>
      </c>
      <c r="E114" s="1011" t="str">
        <f ca="1">IF(C114&gt;=200%,"增值额超过扣除项目金额200%",IF(C114&gt;=100%,"增值额超过扣除项目金额100%，未超过200%",IF(C114&gt;=50%,"增值额超过扣除项目金额50%，未超过100%",IF(C114&lt;50%,"增值额未超过扣除项目金额50%"))))</f>
        <v>增值额超过扣除项目金额200%</v>
      </c>
      <c r="F114" s="913"/>
      <c r="G114" s="913"/>
      <c r="H114" s="2525"/>
      <c r="I114" s="2417"/>
      <c r="J114" s="2590"/>
      <c r="K114" s="2590"/>
      <c r="L114" s="2590"/>
      <c r="M114" s="2590"/>
      <c r="N114" s="2590"/>
      <c r="O114" s="2590"/>
      <c r="P114" s="2590"/>
      <c r="Q114" s="2590"/>
      <c r="R114" s="2590"/>
      <c r="S114" s="2590"/>
      <c r="T114" s="2590"/>
      <c r="U114" s="2590"/>
      <c r="V114" s="2590"/>
      <c r="W114" s="2604"/>
      <c r="X114" s="2604"/>
      <c r="Y114" s="2604"/>
      <c r="Z114" s="2604"/>
    </row>
    <row r="115" s="2215" customFormat="1" ht="24.75" spans="1:26">
      <c r="A115" s="2515" t="s">
        <v>907</v>
      </c>
      <c r="B115" s="2483" t="s">
        <v>1180</v>
      </c>
      <c r="C115" s="2516">
        <f ca="1">ROUND(IF(C113&lt;=0,0,IF(C114&gt;=200%,C113*60%-C104*35%,IF(C114&gt;=100%,C113*50%-C104*15%,IF(C114&gt;=50%,C113*40%-C104*5%,IF(C114&lt;50%,C113*30%,0))))),0)</f>
        <v>12688</v>
      </c>
      <c r="D115" s="2517" t="s">
        <v>138</v>
      </c>
      <c r="E115" s="2518"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2519"/>
      <c r="G115" s="2519"/>
      <c r="H115" s="2537"/>
      <c r="I115" s="2417"/>
      <c r="J115" s="2590"/>
      <c r="K115" s="2590"/>
      <c r="L115" s="2590"/>
      <c r="M115" s="2590"/>
      <c r="N115" s="2590"/>
      <c r="O115" s="2590"/>
      <c r="P115" s="2590"/>
      <c r="Q115" s="2590"/>
      <c r="R115" s="2590"/>
      <c r="S115" s="2590"/>
      <c r="T115" s="2590"/>
      <c r="U115" s="2590"/>
      <c r="V115" s="2590"/>
      <c r="W115" s="2604"/>
      <c r="X115" s="2604"/>
      <c r="Y115" s="2604"/>
      <c r="Z115" s="2604"/>
    </row>
    <row r="116" s="158" customFormat="1" customHeight="1" spans="10:15">
      <c r="J116" s="2601"/>
      <c r="K116" s="185"/>
      <c r="L116" s="185"/>
      <c r="M116" s="185"/>
      <c r="N116" s="185"/>
      <c r="O116" s="185"/>
    </row>
    <row r="117" s="158" customFormat="1" customHeight="1" spans="10:10">
      <c r="J117" s="2601"/>
    </row>
    <row r="118" s="158" customFormat="1" customHeight="1" spans="10:10">
      <c r="J118" s="2601"/>
    </row>
    <row r="119" s="158" customFormat="1" customHeight="1" spans="10:10">
      <c r="J119" s="2601"/>
    </row>
    <row r="120" s="158" customFormat="1" customHeight="1" spans="10:10">
      <c r="J120" s="2601"/>
    </row>
    <row r="121" s="158" customFormat="1" customHeight="1"/>
    <row r="122" s="158" customFormat="1" customHeight="1" spans="10:10">
      <c r="J122" s="2602"/>
    </row>
    <row r="123" s="158" customFormat="1" customHeight="1"/>
    <row r="124" s="158" customFormat="1" customHeight="1"/>
    <row r="125" s="158" customFormat="1" customHeight="1" spans="10:10">
      <c r="J125" s="2602"/>
    </row>
    <row r="126" s="158" customFormat="1" customHeight="1"/>
    <row r="127" s="158" customFormat="1" customHeight="1"/>
    <row r="128" s="158" customFormat="1" customHeight="1" spans="10:10">
      <c r="J128" s="2602"/>
    </row>
    <row r="129" s="158" customFormat="1" customHeight="1"/>
    <row r="130" s="158" customFormat="1" customHeight="1" spans="2:6">
      <c r="B130" s="2605"/>
      <c r="C130" s="2606"/>
      <c r="D130" s="2607"/>
      <c r="E130" s="2607"/>
      <c r="F130" s="2608"/>
    </row>
    <row r="131" s="158" customFormat="1" customHeight="1"/>
    <row r="132" s="158" customFormat="1" customHeight="1"/>
    <row r="133" s="158" customFormat="1" customHeight="1"/>
    <row r="134" s="158" customFormat="1" customHeight="1"/>
    <row r="135" s="158" customFormat="1" customHeight="1"/>
    <row r="136" s="158" customFormat="1" customHeight="1"/>
    <row r="137" s="158" customFormat="1" customHeight="1"/>
    <row r="138" s="158" customFormat="1" customHeight="1"/>
    <row r="139" s="158" customFormat="1" customHeight="1"/>
    <row r="140" s="158" customFormat="1" customHeight="1"/>
    <row r="141" s="158" customFormat="1" customHeight="1"/>
    <row r="142" s="158" customFormat="1" customHeight="1"/>
    <row r="143" s="158" customFormat="1" customHeight="1"/>
    <row r="144" s="158" customFormat="1" customHeight="1"/>
    <row r="145" s="158" customFormat="1" customHeight="1"/>
    <row r="146" s="158" customFormat="1" customHeight="1"/>
    <row r="147" s="158" customFormat="1" customHeight="1"/>
    <row r="148" s="158" customFormat="1" customHeight="1"/>
    <row r="149" s="158" customFormat="1" customHeight="1"/>
    <row r="150" s="158" customFormat="1" customHeight="1"/>
    <row r="151" s="158" customFormat="1" customHeight="1"/>
    <row r="152" s="158" customFormat="1" customHeight="1"/>
    <row r="153" s="158" customFormat="1" customHeight="1"/>
    <row r="154" s="158" customFormat="1" customHeight="1"/>
    <row r="155" s="158" customFormat="1" customHeight="1"/>
    <row r="156" s="158" customFormat="1" customHeight="1"/>
    <row r="157" s="158" customFormat="1" customHeight="1"/>
    <row r="158" s="158" customFormat="1" customHeight="1"/>
    <row r="159" s="158" customFormat="1" customHeight="1"/>
    <row r="160" s="158" customFormat="1" customHeight="1"/>
    <row r="161" s="158" customFormat="1" customHeight="1"/>
    <row r="162" s="158" customFormat="1" customHeight="1"/>
    <row r="163" s="158" customFormat="1" customHeight="1"/>
    <row r="164" s="158" customFormat="1" customHeight="1"/>
    <row r="165" s="158" customFormat="1" customHeight="1"/>
    <row r="166" s="158" customFormat="1" customHeight="1"/>
    <row r="167" s="158" customFormat="1" customHeight="1"/>
    <row r="168" s="158" customFormat="1" customHeight="1"/>
    <row r="169" s="158" customFormat="1" customHeight="1"/>
    <row r="170" s="158" customFormat="1" customHeight="1"/>
    <row r="171" s="158" customFormat="1" customHeight="1"/>
    <row r="172" s="158" customFormat="1" customHeight="1"/>
    <row r="173" s="158" customFormat="1" customHeight="1"/>
    <row r="174" s="158" customFormat="1" customHeight="1"/>
    <row r="175" s="158" customFormat="1" customHeight="1"/>
    <row r="176" s="158" customFormat="1" customHeight="1"/>
    <row r="177" s="158" customFormat="1" customHeight="1"/>
    <row r="178" s="158" customFormat="1" customHeight="1"/>
    <row r="179" s="158" customFormat="1" customHeight="1"/>
    <row r="180" s="158" customFormat="1" customHeight="1"/>
    <row r="181" s="158" customFormat="1" customHeight="1"/>
    <row r="182" s="158" customFormat="1" customHeight="1"/>
    <row r="183" s="158" customFormat="1" customHeight="1"/>
    <row r="184" s="158" customFormat="1" customHeight="1"/>
    <row r="185" s="69" customFormat="1" customHeight="1" spans="11:15">
      <c r="K185" s="158"/>
      <c r="L185" s="158"/>
      <c r="M185" s="158"/>
      <c r="N185" s="158"/>
      <c r="O185" s="158"/>
    </row>
    <row r="186" s="69" customFormat="1" customHeight="1"/>
    <row r="187" s="69" customFormat="1" customHeight="1"/>
    <row r="188" s="69" customFormat="1" customHeight="1"/>
    <row r="189" s="69" customFormat="1" customHeight="1"/>
    <row r="190" s="69" customFormat="1" customHeight="1"/>
    <row r="191" s="69" customFormat="1" customHeight="1"/>
    <row r="192" s="69" customFormat="1" customHeight="1"/>
    <row r="193" s="69" customFormat="1" customHeight="1"/>
    <row r="194" s="69" customFormat="1" customHeight="1"/>
    <row r="195" s="69" customFormat="1" customHeight="1"/>
    <row r="196" s="69" customFormat="1" customHeight="1"/>
    <row r="197" s="69" customFormat="1" customHeight="1"/>
    <row r="198" s="69" customFormat="1" customHeight="1"/>
    <row r="199" s="69" customFormat="1" customHeight="1"/>
    <row r="200" s="69" customFormat="1" customHeight="1"/>
    <row r="201" s="69" customFormat="1" customHeight="1"/>
    <row r="202" s="69" customFormat="1" customHeight="1"/>
    <row r="203" s="69" customFormat="1" customHeight="1"/>
    <row r="204" s="69" customFormat="1" customHeight="1"/>
    <row r="205" s="69" customFormat="1" customHeight="1"/>
    <row r="206" s="69" customFormat="1" customHeight="1"/>
  </sheetData>
  <sheetProtection password="CEE9" sheet="1" formatCells="0" formatColumns="0" formatRows="0" objects="1" scenarios="1"/>
  <mergeCells count="84">
    <mergeCell ref="A2:I2"/>
    <mergeCell ref="A3:I3"/>
    <mergeCell ref="E4:I4"/>
    <mergeCell ref="E18:I18"/>
    <mergeCell ref="A31:I31"/>
    <mergeCell ref="K39:N39"/>
    <mergeCell ref="K40:N40"/>
    <mergeCell ref="K41:N41"/>
    <mergeCell ref="A42:B42"/>
    <mergeCell ref="A43:B43"/>
    <mergeCell ref="A44:B44"/>
    <mergeCell ref="A45:B45"/>
    <mergeCell ref="A46:B46"/>
    <mergeCell ref="A63:C63"/>
    <mergeCell ref="A64:G64"/>
    <mergeCell ref="A66:C66"/>
    <mergeCell ref="L66:M66"/>
    <mergeCell ref="B67:C67"/>
    <mergeCell ref="L67:M67"/>
    <mergeCell ref="B68:C68"/>
    <mergeCell ref="L68:M68"/>
    <mergeCell ref="B69:C69"/>
    <mergeCell ref="L69:M69"/>
    <mergeCell ref="B70:C70"/>
    <mergeCell ref="B71:C71"/>
    <mergeCell ref="L71:M71"/>
    <mergeCell ref="B72:C72"/>
    <mergeCell ref="L72:M72"/>
    <mergeCell ref="A73:C73"/>
    <mergeCell ref="L73:M73"/>
    <mergeCell ref="A74:C74"/>
    <mergeCell ref="L74:M74"/>
    <mergeCell ref="B75:C75"/>
    <mergeCell ref="L75:M75"/>
    <mergeCell ref="B76:C76"/>
    <mergeCell ref="L76:M76"/>
    <mergeCell ref="O76:P76"/>
    <mergeCell ref="A77:C77"/>
    <mergeCell ref="A79:E79"/>
    <mergeCell ref="A80:B80"/>
    <mergeCell ref="L81:M81"/>
    <mergeCell ref="A88:H88"/>
    <mergeCell ref="A89:B89"/>
    <mergeCell ref="E94:H94"/>
    <mergeCell ref="E96:H96"/>
    <mergeCell ref="A101:H101"/>
    <mergeCell ref="A102:B102"/>
    <mergeCell ref="G108:H108"/>
    <mergeCell ref="E109:G109"/>
    <mergeCell ref="E110:H110"/>
    <mergeCell ref="E111:H111"/>
    <mergeCell ref="E112:H112"/>
    <mergeCell ref="A5:A7"/>
    <mergeCell ref="A8:A9"/>
    <mergeCell ref="A10:A11"/>
    <mergeCell ref="A12:A13"/>
    <mergeCell ref="A14:A16"/>
    <mergeCell ref="A24:A25"/>
    <mergeCell ref="B5:B7"/>
    <mergeCell ref="B8:B9"/>
    <mergeCell ref="B10:B11"/>
    <mergeCell ref="B12:B13"/>
    <mergeCell ref="B14:B16"/>
    <mergeCell ref="C5:C7"/>
    <mergeCell ref="C8:C9"/>
    <mergeCell ref="C10:C11"/>
    <mergeCell ref="C12:C13"/>
    <mergeCell ref="C14:C16"/>
    <mergeCell ref="D5:D7"/>
    <mergeCell ref="D8:D9"/>
    <mergeCell ref="D10:D11"/>
    <mergeCell ref="D12:D13"/>
    <mergeCell ref="D14:D16"/>
    <mergeCell ref="E33:E35"/>
    <mergeCell ref="G67:G69"/>
    <mergeCell ref="K35:K37"/>
    <mergeCell ref="K77:K78"/>
    <mergeCell ref="K79:K80"/>
    <mergeCell ref="K83:K89"/>
    <mergeCell ref="L35:L37"/>
    <mergeCell ref="L77:L78"/>
    <mergeCell ref="L79:L80"/>
    <mergeCell ref="N35:N37"/>
    <mergeCell ref="O35:O37"/>
  </mergeCells>
  <conditionalFormatting sqref="I33">
    <cfRule type="expression" dxfId="9" priority="1" stopIfTrue="1">
      <formula>$H$33="同一抵押权人同一抵押物续贷"</formula>
    </cfRule>
  </conditionalFormatting>
  <conditionalFormatting sqref="C108">
    <cfRule type="expression" dxfId="7" priority="3" stopIfTrue="1">
      <formula>$H$106&lt;&gt;"仅含出让金"</formula>
    </cfRule>
  </conditionalFormatting>
  <conditionalFormatting sqref="C109">
    <cfRule type="expression" dxfId="10" priority="2" stopIfTrue="1">
      <formula>$H$109="由企业提供"</formula>
    </cfRule>
  </conditionalFormatting>
  <conditionalFormatting sqref="C5:C7">
    <cfRule type="cellIs" dxfId="4" priority="21" stopIfTrue="1" operator="equal">
      <formula>25</formula>
    </cfRule>
  </conditionalFormatting>
  <conditionalFormatting sqref="C8:C9">
    <cfRule type="cellIs" dxfId="4" priority="19" stopIfTrue="1" operator="equal">
      <formula>15</formula>
    </cfRule>
  </conditionalFormatting>
  <conditionalFormatting sqref="C14:C16">
    <cfRule type="cellIs" dxfId="4" priority="13" stopIfTrue="1" operator="equal">
      <formula>30</formula>
    </cfRule>
  </conditionalFormatting>
  <conditionalFormatting sqref="D5:D7">
    <cfRule type="cellIs" dxfId="4" priority="10" stopIfTrue="1" operator="equal">
      <formula>25</formula>
    </cfRule>
  </conditionalFormatting>
  <conditionalFormatting sqref="D8:D9">
    <cfRule type="cellIs" dxfId="4" priority="9" stopIfTrue="1" operator="equal">
      <formula>15</formula>
    </cfRule>
  </conditionalFormatting>
  <conditionalFormatting sqref="D14:D16">
    <cfRule type="cellIs" dxfId="4" priority="6" stopIfTrue="1" operator="equal">
      <formula>30</formula>
    </cfRule>
  </conditionalFormatting>
  <conditionalFormatting sqref="C10:D13">
    <cfRule type="cellIs" dxfId="4" priority="8" stopIfTrue="1" operator="equal">
      <formula>15</formula>
    </cfRule>
  </conditionalFormatting>
  <dataValidations count="21">
    <dataValidation type="list" allowBlank="1" showInputMessage="1" showErrorMessage="1" sqref="D1">
      <formula1>"项目局部,项目全部"</formula1>
    </dataValidation>
    <dataValidation type="list" showInputMessage="1" showErrorMessage="1" sqref="F1">
      <formula1>"土地,现房"</formula1>
    </dataValidation>
    <dataValidation type="list" allowBlank="1" showInputMessage="1" showErrorMessage="1" sqref="C4:D4">
      <formula1>估价方法</formula1>
    </dataValidation>
    <dataValidation type="list" allowBlank="1" showInputMessage="1" showErrorMessage="1" sqref="B25">
      <formula1>"楼面地价,单位面积地价"</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O42">
      <formula1>"最终结果/万元,最终结果/（元/平方米）"</formula1>
    </dataValidation>
    <dataValidation type="list" allowBlank="1" showInputMessage="1" showErrorMessage="1" sqref="H77">
      <formula1>"非个人房产,个人住宅（满五唯一有凭证）,个人其他（有凭证）,个人其他（无凭证）"</formula1>
    </dataValidation>
    <dataValidation type="list" allowBlank="1" showInputMessage="1" showErrorMessage="1" sqref="L42">
      <formula1>"估价结果/万元,估价结果/（元/平方米）"</formula1>
    </dataValidation>
    <dataValidation type="list" allowBlank="1" showInputMessage="1" showErrorMessage="1" sqref="N42">
      <formula1>"测算结果/万元,测算结果/（元/平方米）"</formula1>
    </dataValidation>
    <dataValidation type="list" allowBlank="1" showInputMessage="1" showErrorMessage="1" sqref="A43">
      <formula1>"2.估价师知悉的法定优先受偿款,2.估价师知悉的除抵押担保权以外的法定优先受偿款,——"</formula1>
    </dataValidation>
    <dataValidation type="list" allowBlank="1" showInputMessage="1" showErrorMessage="1" sqref="G43">
      <formula1>"设定,——"</formula1>
    </dataValidation>
    <dataValidation type="list" allowBlank="1" showInputMessage="1" showErrorMessage="1" sqref="H106">
      <formula1>"仅含出让金,出让金+开发费"</formula1>
    </dataValidation>
    <dataValidation type="list" allowBlank="1" showInputMessage="1" showErrorMessage="1" sqref="C47">
      <formula1>"无,有"</formula1>
    </dataValidation>
    <dataValidation type="list" allowBlank="1" showInputMessage="1" showErrorMessage="1" sqref="F63">
      <formula1>"100%,80%,60%,64%"</formula1>
    </dataValidation>
    <dataValidation type="list" allowBlank="1" showInputMessage="1" showErrorMessage="1" sqref="H66">
      <formula1>"情况1,情况2,情况3,情况4"</formula1>
    </dataValidation>
    <dataValidation type="list" allowBlank="1" showInputMessage="1" showErrorMessage="1" sqref="H76">
      <formula1>"转让取得,自行开发建设"</formula1>
    </dataValidation>
    <dataValidation type="list" allowBlank="1" showInputMessage="1" showErrorMessage="1" sqref="F93">
      <formula1>"买卖合同,购房发票"</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H109">
      <formula1>"企业提供(在右侧录入),——"</formula1>
    </dataValidation>
    <dataValidation type="list" allowBlank="1" showInputMessage="1" showErrorMessage="1" sqref="D110">
      <formula1>"0,5%,10%"</formula1>
    </dataValidation>
    <dataValidation type="list" allowBlank="1" showInputMessage="1" showErrorMessage="1" sqref="H73:H74">
      <formula1>"个人住宅,正常"</formula1>
    </dataValidation>
  </dataValidations>
  <pageMargins left="0.433070866141732" right="0.433070866141732" top="0.354330708661417" bottom="0.15748031496063" header="0.31496062992126" footer="0.31496062992126"/>
  <pageSetup paperSize="9" scale="84" fitToHeight="0" orientation="portrait"/>
  <headerFooter/>
  <rowBreaks count="2" manualBreakCount="2">
    <brk id="60" max="8" man="1"/>
    <brk id="129" max="8"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E490"/>
  <sheetViews>
    <sheetView view="pageBreakPreview" zoomScale="80" zoomScaleNormal="80" workbookViewId="0">
      <selection activeCell="D23" sqref="D23"/>
    </sheetView>
  </sheetViews>
  <sheetFormatPr defaultColWidth="6.625" defaultRowHeight="12.75"/>
  <cols>
    <col min="1" max="1" width="9.75" style="2018" customWidth="1"/>
    <col min="2" max="2" width="25.75" style="2019" customWidth="1"/>
    <col min="3" max="3" width="10.375" style="2020" customWidth="1"/>
    <col min="4" max="4" width="12" style="2019" customWidth="1"/>
    <col min="5" max="5" width="9.5" style="2018" customWidth="1"/>
    <col min="6" max="6" width="10.125" style="2019" customWidth="1"/>
    <col min="7" max="7" width="11.625" style="2019" customWidth="1"/>
    <col min="8" max="8" width="10" style="2019" customWidth="1"/>
    <col min="9" max="11" width="9.5" style="2019" customWidth="1"/>
    <col min="12" max="12" width="9" style="2012" customWidth="1"/>
    <col min="13" max="13" width="10.5" style="2012" customWidth="1"/>
    <col min="14" max="26" width="9" style="2012" customWidth="1"/>
    <col min="27" max="254" width="9" style="2019" customWidth="1"/>
    <col min="255" max="16384" width="6.625" style="2019"/>
  </cols>
  <sheetData>
    <row r="1" s="158" customFormat="1" ht="20.25" spans="1:26">
      <c r="A1" s="2121" t="s">
        <v>1201</v>
      </c>
      <c r="B1" s="2021" t="s">
        <v>567</v>
      </c>
      <c r="C1" s="2022"/>
      <c r="D1" s="2022"/>
      <c r="E1" s="2022"/>
      <c r="F1" s="2022"/>
      <c r="G1" s="2022"/>
      <c r="H1" s="2022"/>
      <c r="I1" s="2022"/>
      <c r="J1" s="2022"/>
      <c r="K1" s="2095">
        <f>MATCH(B1,'数据-取费表'!A6:A16,0)+5</f>
        <v>6</v>
      </c>
      <c r="L1" s="2096"/>
      <c r="M1" s="2096"/>
      <c r="N1" s="2096"/>
      <c r="O1" s="2096"/>
      <c r="P1" s="2096"/>
      <c r="Q1" s="2096"/>
      <c r="R1" s="2096"/>
      <c r="S1" s="2096"/>
      <c r="T1" s="2096"/>
      <c r="U1" s="2096"/>
      <c r="V1" s="2096"/>
      <c r="W1" s="2096"/>
      <c r="X1" s="2096"/>
      <c r="Y1" s="2096"/>
      <c r="Z1" s="2096"/>
    </row>
    <row r="2" s="158" customFormat="1" ht="18" customHeight="1" spans="1:26">
      <c r="A2" s="2122" t="s">
        <v>1202</v>
      </c>
      <c r="B2" s="2123">
        <f ca="1">C36</f>
        <v>22332</v>
      </c>
      <c r="C2" s="2022"/>
      <c r="D2" s="2022"/>
      <c r="E2" s="2022"/>
      <c r="F2" s="2022"/>
      <c r="G2" s="2022"/>
      <c r="H2" s="2022"/>
      <c r="I2" s="2022"/>
      <c r="J2" s="2022"/>
      <c r="K2" s="2022"/>
      <c r="L2" s="2096"/>
      <c r="M2" s="2096"/>
      <c r="N2" s="2096"/>
      <c r="O2" s="2096"/>
      <c r="P2" s="2096"/>
      <c r="Q2" s="2096"/>
      <c r="R2" s="2096"/>
      <c r="S2" s="2096"/>
      <c r="T2" s="2096"/>
      <c r="U2" s="2096"/>
      <c r="V2" s="2096"/>
      <c r="W2" s="2096"/>
      <c r="X2" s="2096"/>
      <c r="Y2" s="2096"/>
      <c r="Z2" s="2096"/>
    </row>
    <row r="3" s="158" customFormat="1" ht="18" customHeight="1" spans="1:26">
      <c r="A3" s="2124" t="s">
        <v>714</v>
      </c>
      <c r="B3" s="2125">
        <f ca="1">ROUND(B2*10000/IF(B1="",'数据-汇总表'!E3,INDIRECT("'数据-取费表'!K"&amp;$K$1)),0)</f>
        <v>8925</v>
      </c>
      <c r="C3" s="2022"/>
      <c r="D3" s="2022"/>
      <c r="E3" s="2022"/>
      <c r="F3" s="2022"/>
      <c r="G3" s="2022"/>
      <c r="H3" s="2022"/>
      <c r="I3" s="2022"/>
      <c r="J3" s="2022"/>
      <c r="K3" s="2022"/>
      <c r="L3" s="2096"/>
      <c r="M3" s="2096"/>
      <c r="N3" s="2096"/>
      <c r="O3" s="2096"/>
      <c r="P3" s="2096"/>
      <c r="Q3" s="2096"/>
      <c r="R3" s="2096"/>
      <c r="S3" s="2096"/>
      <c r="T3" s="2096"/>
      <c r="U3" s="2096"/>
      <c r="V3" s="2096"/>
      <c r="W3" s="2096"/>
      <c r="X3" s="2096"/>
      <c r="Y3" s="2096"/>
      <c r="Z3" s="2096"/>
    </row>
    <row r="4" s="158" customFormat="1" ht="18" customHeight="1" spans="1:26">
      <c r="A4" s="731" t="s">
        <v>1203</v>
      </c>
      <c r="B4" s="732">
        <f ca="1">ROUND(B2*10000/IF(B1="",'数据-汇总表'!D3,INDIRECT("'数据-取费表'!R"&amp;$K$1)),0)</f>
        <v>23393</v>
      </c>
      <c r="C4" s="855"/>
      <c r="D4" s="2095"/>
      <c r="E4" s="2095"/>
      <c r="F4" s="2095"/>
      <c r="G4" s="2095"/>
      <c r="H4" s="2095"/>
      <c r="I4" s="2095"/>
      <c r="J4" s="2095"/>
      <c r="K4" s="2095"/>
      <c r="L4" s="2096"/>
      <c r="M4" s="2096"/>
      <c r="N4" s="2096"/>
      <c r="O4" s="2096"/>
      <c r="P4" s="2096"/>
      <c r="Q4" s="2096"/>
      <c r="R4" s="2096"/>
      <c r="S4" s="2096"/>
      <c r="T4" s="2096"/>
      <c r="U4" s="2096"/>
      <c r="V4" s="2096"/>
      <c r="W4" s="2096"/>
      <c r="X4" s="2096"/>
      <c r="Y4" s="2096"/>
      <c r="Z4" s="2096"/>
    </row>
    <row r="5" s="158" customFormat="1" ht="18" customHeight="1" spans="1:26">
      <c r="A5" s="734"/>
      <c r="B5" s="735">
        <f ca="1">ROUND(B2/(IF(B1="",'数据-汇总表'!D3,INDIRECT("'数据-取费表'!R"&amp;$K$1))/666.67),0)</f>
        <v>1560</v>
      </c>
      <c r="C5" s="736" t="s">
        <v>1204</v>
      </c>
      <c r="D5" s="2095"/>
      <c r="E5" s="2095"/>
      <c r="F5" s="2095"/>
      <c r="G5" s="2095"/>
      <c r="H5" s="2095"/>
      <c r="I5" s="2095"/>
      <c r="J5" s="2095"/>
      <c r="K5" s="2095"/>
      <c r="L5" s="2096"/>
      <c r="M5" s="2096"/>
      <c r="N5" s="2096"/>
      <c r="O5" s="2096"/>
      <c r="P5" s="2096"/>
      <c r="Q5" s="2096"/>
      <c r="R5" s="2096"/>
      <c r="S5" s="2096"/>
      <c r="T5" s="2096"/>
      <c r="U5" s="2096"/>
      <c r="V5" s="2096"/>
      <c r="W5" s="2096"/>
      <c r="X5" s="2096"/>
      <c r="Y5" s="2096"/>
      <c r="Z5" s="2096"/>
    </row>
    <row r="6" s="2010" customFormat="1" ht="16.5" customHeight="1" spans="1:26">
      <c r="A6" s="2126" t="s">
        <v>1205</v>
      </c>
      <c r="B6" s="2127"/>
      <c r="C6" s="2128">
        <f ca="1">SUM(C10:K10)</f>
        <v>46005</v>
      </c>
      <c r="D6" s="2127"/>
      <c r="E6" s="2127"/>
      <c r="F6" s="2127"/>
      <c r="G6" s="2127"/>
      <c r="H6" s="2127"/>
      <c r="I6" s="2127"/>
      <c r="J6" s="2127"/>
      <c r="K6" s="2201"/>
      <c r="L6" s="2098"/>
      <c r="M6" s="2098"/>
      <c r="N6" s="2098"/>
      <c r="O6" s="2098"/>
      <c r="P6" s="2098"/>
      <c r="Q6" s="2098"/>
      <c r="R6" s="2098"/>
      <c r="S6" s="2098"/>
      <c r="T6" s="2098"/>
      <c r="U6" s="2098"/>
      <c r="V6" s="2098"/>
      <c r="W6" s="2098"/>
      <c r="X6" s="2098"/>
      <c r="Y6" s="2098"/>
      <c r="Z6" s="2098"/>
    </row>
    <row r="7" s="2011" customFormat="1" ht="15" spans="1:31">
      <c r="A7" s="2129" t="s">
        <v>1206</v>
      </c>
      <c r="B7" s="2130" t="s">
        <v>1207</v>
      </c>
      <c r="C7" s="2030" t="s">
        <v>567</v>
      </c>
      <c r="D7" s="2030" t="s">
        <v>378</v>
      </c>
      <c r="E7" s="2030"/>
      <c r="F7" s="2030"/>
      <c r="G7" s="2030"/>
      <c r="H7" s="2030"/>
      <c r="I7" s="2030"/>
      <c r="J7" s="2030"/>
      <c r="K7" s="2099"/>
      <c r="AA7" s="2117"/>
      <c r="AB7" s="2117"/>
      <c r="AC7" s="2117"/>
      <c r="AD7" s="2117"/>
      <c r="AE7" s="2117"/>
    </row>
    <row r="8" s="2012" customFormat="1" ht="13.5" customHeight="1" spans="1:31">
      <c r="A8" s="909" t="s">
        <v>1145</v>
      </c>
      <c r="B8" s="921" t="s">
        <v>1208</v>
      </c>
      <c r="C8" s="2131"/>
      <c r="D8" s="2131"/>
      <c r="E8" s="2131"/>
      <c r="F8" s="2131"/>
      <c r="G8" s="2131"/>
      <c r="H8" s="2131"/>
      <c r="I8" s="2131"/>
      <c r="J8" s="2131"/>
      <c r="K8" s="2202"/>
      <c r="AA8" s="2019"/>
      <c r="AB8" s="2019"/>
      <c r="AC8" s="2019"/>
      <c r="AD8" s="2019"/>
      <c r="AE8" s="2019"/>
    </row>
    <row r="9" s="2012" customFormat="1" ht="13.5" customHeight="1" spans="1:31">
      <c r="A9" s="909" t="s">
        <v>1147</v>
      </c>
      <c r="B9" s="921" t="s">
        <v>469</v>
      </c>
      <c r="C9" s="2034">
        <f>SUMIF('数据-汇总表'!$C19:$C33,'剩余法-待开发'!C7,'数据-汇总表'!$E19:$E33)</f>
        <v>25022.71</v>
      </c>
      <c r="D9" s="2034">
        <f>SUMIF('数据-汇总表'!$C19:$C33,'剩余法-待开发'!D7,'数据-汇总表'!$E19:$E33)</f>
        <v>0</v>
      </c>
      <c r="E9" s="2034">
        <f>SUMIF('数据-汇总表'!$C19:$C33,'剩余法-待开发'!E7,'数据-汇总表'!$E19:$E33)</f>
        <v>0</v>
      </c>
      <c r="F9" s="2034">
        <f>SUMIF('数据-汇总表'!$C19:$C33,'剩余法-待开发'!F7,'数据-汇总表'!$E19:$E33)</f>
        <v>0</v>
      </c>
      <c r="G9" s="2034">
        <f>SUMIF('数据-汇总表'!$C19:$C33,'剩余法-待开发'!G7,'数据-汇总表'!$E19:$E33)</f>
        <v>0</v>
      </c>
      <c r="H9" s="2034">
        <f>SUMIF('数据-汇总表'!$C19:$C33,'剩余法-待开发'!H7,'数据-汇总表'!$E19:$E33)</f>
        <v>0</v>
      </c>
      <c r="I9" s="2034">
        <f>SUMIF('数据-汇总表'!$C19:$C33,'剩余法-待开发'!I7,'数据-汇总表'!$E19:$E33)</f>
        <v>0</v>
      </c>
      <c r="J9" s="2034">
        <f>SUMIF('数据-汇总表'!$C19:$C33,'剩余法-待开发'!J7,'数据-汇总表'!$E19:$E33)</f>
        <v>0</v>
      </c>
      <c r="K9" s="2101">
        <f>SUMIF('数据-汇总表'!$C19:$C33,'剩余法-待开发'!K7,'数据-汇总表'!$E19:$E33)</f>
        <v>0</v>
      </c>
      <c r="AA9" s="2019"/>
      <c r="AB9" s="2019"/>
      <c r="AC9" s="2019"/>
      <c r="AD9" s="2019"/>
      <c r="AE9" s="2019"/>
    </row>
    <row r="10" s="2012" customFormat="1" ht="13.5" customHeight="1" spans="1:31">
      <c r="A10" s="2132" t="s">
        <v>1209</v>
      </c>
      <c r="B10" s="2133" t="s">
        <v>1210</v>
      </c>
      <c r="C10" s="2134">
        <f ca="1">'不动产收益法--办公'!B2</f>
        <v>46005</v>
      </c>
      <c r="D10" s="2134"/>
      <c r="E10" s="2134"/>
      <c r="F10" s="2135"/>
      <c r="G10" s="2135"/>
      <c r="H10" s="2135"/>
      <c r="I10" s="2135"/>
      <c r="J10" s="2135"/>
      <c r="K10" s="2203"/>
      <c r="AA10" s="2019"/>
      <c r="AB10" s="2019"/>
      <c r="AC10" s="2019"/>
      <c r="AD10" s="2019"/>
      <c r="AE10" s="2019"/>
    </row>
    <row r="11" s="2010" customFormat="1" ht="16.5" customHeight="1" spans="1:26">
      <c r="A11" s="2136" t="s">
        <v>1211</v>
      </c>
      <c r="B11" s="2127"/>
      <c r="C11" s="2127"/>
      <c r="D11" s="2127"/>
      <c r="E11" s="2127"/>
      <c r="F11" s="2127"/>
      <c r="G11" s="2127"/>
      <c r="H11" s="2127"/>
      <c r="I11" s="2127"/>
      <c r="J11" s="2127"/>
      <c r="K11" s="2201"/>
      <c r="L11" s="2098"/>
      <c r="M11" s="2098"/>
      <c r="N11" s="2098"/>
      <c r="O11" s="2098"/>
      <c r="P11" s="2098"/>
      <c r="Q11" s="2098"/>
      <c r="R11" s="2098"/>
      <c r="S11" s="2098"/>
      <c r="T11" s="2098"/>
      <c r="U11" s="2098"/>
      <c r="V11" s="2098"/>
      <c r="W11" s="2098"/>
      <c r="X11" s="2098"/>
      <c r="Y11" s="2098"/>
      <c r="Z11" s="2098"/>
    </row>
    <row r="12" s="982" customFormat="1" ht="13.5" customHeight="1" spans="1:26">
      <c r="A12" s="2137" t="s">
        <v>1206</v>
      </c>
      <c r="B12" s="2138" t="s">
        <v>1207</v>
      </c>
      <c r="C12" s="2139" t="s">
        <v>1212</v>
      </c>
      <c r="D12" s="2140" t="s">
        <v>1213</v>
      </c>
      <c r="E12" s="2140" t="s">
        <v>1214</v>
      </c>
      <c r="F12" s="2140" t="s">
        <v>1215</v>
      </c>
      <c r="G12" s="2138"/>
      <c r="H12" s="2141"/>
      <c r="I12" s="2141"/>
      <c r="J12" s="2141"/>
      <c r="K12" s="2204"/>
      <c r="L12" s="2105"/>
      <c r="M12" s="2105"/>
      <c r="N12" s="2105"/>
      <c r="O12" s="2105"/>
      <c r="P12" s="2105"/>
      <c r="Q12" s="2105"/>
      <c r="R12" s="2105"/>
      <c r="S12" s="2105"/>
      <c r="T12" s="2105"/>
      <c r="U12" s="2105"/>
      <c r="V12" s="2105"/>
      <c r="W12" s="2105"/>
      <c r="X12" s="2105"/>
      <c r="Y12" s="2105"/>
      <c r="Z12" s="2105"/>
    </row>
    <row r="13" s="2013" customFormat="1" ht="13.5" customHeight="1" spans="1:26">
      <c r="A13" s="2142" t="s">
        <v>1166</v>
      </c>
      <c r="B13" s="2143" t="s">
        <v>1216</v>
      </c>
      <c r="C13" s="2047">
        <f ca="1">IF(B1="",'数据-取费表'!P16,INDIRECT("'数据-取费表'!p"&amp;$K$1)+INDIRECT("'数据-取费表'!t"&amp;$K$1))</f>
        <v>12511</v>
      </c>
      <c r="D13" s="2144"/>
      <c r="E13" s="2145"/>
      <c r="F13" s="2146"/>
      <c r="G13" s="2138"/>
      <c r="H13" s="2141"/>
      <c r="I13" s="2141"/>
      <c r="J13" s="2141"/>
      <c r="K13" s="2204"/>
      <c r="L13" s="2014"/>
      <c r="M13" s="2014"/>
      <c r="N13" s="2014"/>
      <c r="O13" s="2014"/>
      <c r="P13" s="2014"/>
      <c r="Q13" s="2014"/>
      <c r="R13" s="2014"/>
      <c r="S13" s="2014"/>
      <c r="T13" s="2014"/>
      <c r="U13" s="2014"/>
      <c r="V13" s="2014"/>
      <c r="W13" s="2014"/>
      <c r="X13" s="2014"/>
      <c r="Y13" s="2014"/>
      <c r="Z13" s="2014"/>
    </row>
    <row r="14" s="2013" customFormat="1" ht="13.5" customHeight="1" spans="1:26">
      <c r="A14" s="2142" t="s">
        <v>1217</v>
      </c>
      <c r="B14" s="2143" t="s">
        <v>1218</v>
      </c>
      <c r="C14" s="123">
        <f ca="1">ROUND(C13*F14,0)</f>
        <v>375</v>
      </c>
      <c r="D14" s="2144"/>
      <c r="E14" s="2145"/>
      <c r="F14" s="2147">
        <f>'数据-取费表'!B33</f>
        <v>0.03</v>
      </c>
      <c r="G14" s="2138" t="s">
        <v>1219</v>
      </c>
      <c r="H14" s="2141"/>
      <c r="I14" s="2141"/>
      <c r="J14" s="2141"/>
      <c r="K14" s="2204"/>
      <c r="L14" s="2014"/>
      <c r="M14" s="2014"/>
      <c r="N14" s="2014"/>
      <c r="O14" s="2014"/>
      <c r="P14" s="2014"/>
      <c r="Q14" s="2014"/>
      <c r="R14" s="2014"/>
      <c r="S14" s="2014"/>
      <c r="T14" s="2014"/>
      <c r="U14" s="2014"/>
      <c r="V14" s="2014"/>
      <c r="W14" s="2014"/>
      <c r="X14" s="2014"/>
      <c r="Y14" s="2014"/>
      <c r="Z14" s="2014"/>
    </row>
    <row r="15" s="2013" customFormat="1" ht="13.5" customHeight="1" spans="1:26">
      <c r="A15" s="2142" t="s">
        <v>1220</v>
      </c>
      <c r="B15" s="2143" t="s">
        <v>1221</v>
      </c>
      <c r="C15" s="123">
        <f ca="1">ROUND(IF(B1="",SUMIF('数据-取费表'!C:C,"住宅",'数据-取费表'!P:P)*F15,IF(INDIRECT("'数据-取费表'!c"&amp;$K$1)="住宅",INDIRECT("'数据-取费表'!P"&amp;$K$1)*F15,0)),0)</f>
        <v>0</v>
      </c>
      <c r="D15" s="2144"/>
      <c r="E15" s="2145"/>
      <c r="F15" s="2147">
        <f>'数据-取费表'!B34</f>
        <v>0</v>
      </c>
      <c r="G15" s="2138" t="s">
        <v>1222</v>
      </c>
      <c r="H15" s="2141"/>
      <c r="I15" s="2141"/>
      <c r="J15" s="2141"/>
      <c r="K15" s="2204"/>
      <c r="L15" s="2014"/>
      <c r="M15" s="2014"/>
      <c r="N15" s="2014"/>
      <c r="O15" s="2014"/>
      <c r="P15" s="2014"/>
      <c r="Q15" s="2014"/>
      <c r="R15" s="2014"/>
      <c r="S15" s="2014"/>
      <c r="T15" s="2014"/>
      <c r="U15" s="2014"/>
      <c r="V15" s="2014"/>
      <c r="W15" s="2014"/>
      <c r="X15" s="2014"/>
      <c r="Y15" s="2014"/>
      <c r="Z15" s="2014"/>
    </row>
    <row r="16" s="2014" customFormat="1" ht="13.5" customHeight="1" spans="1:31">
      <c r="A16" s="2142" t="s">
        <v>1223</v>
      </c>
      <c r="B16" s="2143" t="s">
        <v>1224</v>
      </c>
      <c r="C16" s="123">
        <f>ROUND(D16*E16/10000,0)</f>
        <v>500</v>
      </c>
      <c r="D16" s="2148">
        <f>'数据-汇总表'!F19</f>
        <v>25022.71</v>
      </c>
      <c r="E16" s="123">
        <f>'数据-取费表'!B35</f>
        <v>200</v>
      </c>
      <c r="F16" s="2147"/>
      <c r="G16" s="2138"/>
      <c r="H16" s="2141"/>
      <c r="I16" s="2141"/>
      <c r="J16" s="2141"/>
      <c r="K16" s="2204"/>
      <c r="AA16" s="2013"/>
      <c r="AB16" s="2013"/>
      <c r="AC16" s="2013"/>
      <c r="AD16" s="2013"/>
      <c r="AE16" s="2013"/>
    </row>
    <row r="17" s="2013" customFormat="1" ht="13.5" customHeight="1" spans="1:26">
      <c r="A17" s="2142" t="s">
        <v>1225</v>
      </c>
      <c r="B17" s="2143" t="s">
        <v>1226</v>
      </c>
      <c r="C17" s="2149">
        <f ca="1">ROUND(C13*F17,0)</f>
        <v>188</v>
      </c>
      <c r="D17" s="2150"/>
      <c r="E17" s="2149"/>
      <c r="F17" s="2151">
        <f>'数据-取费表'!B36</f>
        <v>0.015</v>
      </c>
      <c r="G17" s="921" t="s">
        <v>1227</v>
      </c>
      <c r="H17" s="2152"/>
      <c r="I17" s="2152"/>
      <c r="J17" s="2152"/>
      <c r="K17" s="2205"/>
      <c r="L17" s="2014"/>
      <c r="M17" s="2014"/>
      <c r="N17" s="2014"/>
      <c r="O17" s="2014"/>
      <c r="P17" s="2014"/>
      <c r="Q17" s="2014"/>
      <c r="R17" s="2014"/>
      <c r="S17" s="2014"/>
      <c r="T17" s="2014"/>
      <c r="U17" s="2014"/>
      <c r="V17" s="2014"/>
      <c r="W17" s="2014"/>
      <c r="X17" s="2014"/>
      <c r="Y17" s="2014"/>
      <c r="Z17" s="2014"/>
    </row>
    <row r="18" s="2013" customFormat="1" ht="13.5" customHeight="1" spans="1:26">
      <c r="A18" s="2153" t="s">
        <v>1228</v>
      </c>
      <c r="B18" s="2154" t="s">
        <v>1229</v>
      </c>
      <c r="C18" s="2155">
        <f ca="1">SUM(C13:C17)</f>
        <v>13574</v>
      </c>
      <c r="D18" s="2156"/>
      <c r="E18" s="2157"/>
      <c r="F18" s="2157"/>
      <c r="G18" s="2158" t="s">
        <v>1230</v>
      </c>
      <c r="H18" s="2159"/>
      <c r="I18" s="2159"/>
      <c r="J18" s="2159"/>
      <c r="K18" s="2206"/>
      <c r="L18" s="2014"/>
      <c r="M18" s="2014"/>
      <c r="N18" s="2014"/>
      <c r="O18" s="2014"/>
      <c r="P18" s="2014"/>
      <c r="Q18" s="2014"/>
      <c r="R18" s="2014"/>
      <c r="S18" s="2014"/>
      <c r="T18" s="2014"/>
      <c r="U18" s="2014"/>
      <c r="V18" s="2014"/>
      <c r="W18" s="2014"/>
      <c r="X18" s="2014"/>
      <c r="Y18" s="2014"/>
      <c r="Z18" s="2014"/>
    </row>
    <row r="19" s="2013" customFormat="1" ht="13.5" customHeight="1" spans="1:26">
      <c r="A19" s="2153" t="s">
        <v>1231</v>
      </c>
      <c r="B19" s="2154" t="s">
        <v>1232</v>
      </c>
      <c r="C19" s="2140">
        <f>ROUND(D19*E19/10000,0)</f>
        <v>0</v>
      </c>
      <c r="D19" s="2160">
        <f>D16</f>
        <v>25022.71</v>
      </c>
      <c r="E19" s="2140">
        <f>'数据-取费表'!B32</f>
        <v>0</v>
      </c>
      <c r="F19" s="2157"/>
      <c r="G19" s="2138" t="s">
        <v>1233</v>
      </c>
      <c r="H19" s="2141"/>
      <c r="I19" s="2159"/>
      <c r="J19" s="2159"/>
      <c r="K19" s="2206"/>
      <c r="L19" s="2014"/>
      <c r="M19" s="2014"/>
      <c r="N19" s="2014"/>
      <c r="O19" s="2014"/>
      <c r="P19" s="2014"/>
      <c r="Q19" s="2014"/>
      <c r="R19" s="2014"/>
      <c r="S19" s="2014"/>
      <c r="T19" s="2014"/>
      <c r="U19" s="2014"/>
      <c r="V19" s="2014"/>
      <c r="W19" s="2014"/>
      <c r="X19" s="2014"/>
      <c r="Y19" s="2014"/>
      <c r="Z19" s="2014"/>
    </row>
    <row r="20" s="2013" customFormat="1" ht="13.5" customHeight="1" spans="1:26">
      <c r="A20" s="2153" t="s">
        <v>1234</v>
      </c>
      <c r="B20" s="2154" t="s">
        <v>1235</v>
      </c>
      <c r="C20" s="2140">
        <f ca="1">C21+C22-IF(B1="",'数据-取费表'!B29,IF(G20="已全部缴纳",C21+C22,H20))</f>
        <v>500</v>
      </c>
      <c r="D20" s="2161"/>
      <c r="E20" s="2140"/>
      <c r="F20" s="2162"/>
      <c r="G20" s="2163"/>
      <c r="H20" s="2164"/>
      <c r="I20" s="2207" t="s">
        <v>808</v>
      </c>
      <c r="J20" s="2159"/>
      <c r="K20" s="2206"/>
      <c r="L20" s="2014"/>
      <c r="M20" s="2014"/>
      <c r="N20" s="2014"/>
      <c r="O20" s="2014"/>
      <c r="P20" s="2014"/>
      <c r="Q20" s="2014"/>
      <c r="R20" s="2014"/>
      <c r="S20" s="2014"/>
      <c r="T20" s="2014"/>
      <c r="U20" s="2014"/>
      <c r="V20" s="2014"/>
      <c r="W20" s="2014"/>
      <c r="X20" s="2014"/>
      <c r="Y20" s="2014"/>
      <c r="Z20" s="2014"/>
    </row>
    <row r="21" s="2013" customFormat="1" ht="13.5" customHeight="1" spans="1:26">
      <c r="A21" s="2142" t="s">
        <v>1166</v>
      </c>
      <c r="B21" s="2143" t="s">
        <v>1236</v>
      </c>
      <c r="C21" s="123">
        <f ca="1">ROUND(D21*E21/10000,0)</f>
        <v>0</v>
      </c>
      <c r="D21" s="2144">
        <f ca="1">IF(B1="",'数据-汇总表'!E5,IF(INDIRECT("'数据-取费表'!c"&amp;$K$1)="住宅",INDIRECT("'数据-取费表'!k"&amp;$K$1),0))</f>
        <v>0</v>
      </c>
      <c r="E21" s="123">
        <f>'数据-取费表'!B27</f>
        <v>160</v>
      </c>
      <c r="F21" s="2147"/>
      <c r="G21" s="1011"/>
      <c r="H21" s="2165"/>
      <c r="I21" s="2165"/>
      <c r="J21" s="2165"/>
      <c r="K21" s="2208"/>
      <c r="L21" s="2014"/>
      <c r="M21" s="2014"/>
      <c r="N21" s="2014"/>
      <c r="O21" s="2014"/>
      <c r="P21" s="2014"/>
      <c r="Q21" s="2014"/>
      <c r="R21" s="2014"/>
      <c r="S21" s="2014"/>
      <c r="T21" s="2014"/>
      <c r="U21" s="2014"/>
      <c r="V21" s="2014"/>
      <c r="W21" s="2014"/>
      <c r="X21" s="2014"/>
      <c r="Y21" s="2014"/>
      <c r="Z21" s="2014"/>
    </row>
    <row r="22" s="2013" customFormat="1" ht="13.5" customHeight="1" spans="1:26">
      <c r="A22" s="2142" t="s">
        <v>1170</v>
      </c>
      <c r="B22" s="2143" t="s">
        <v>1237</v>
      </c>
      <c r="C22" s="123">
        <f>ROUND(D22*E22/10000,0)</f>
        <v>500</v>
      </c>
      <c r="D22" s="2148">
        <f>D19</f>
        <v>25022.71</v>
      </c>
      <c r="E22" s="123">
        <f>'数据-取费表'!B28</f>
        <v>200</v>
      </c>
      <c r="F22" s="2147"/>
      <c r="G22" s="1011"/>
      <c r="H22" s="2165"/>
      <c r="I22" s="2165"/>
      <c r="J22" s="2165"/>
      <c r="K22" s="2208"/>
      <c r="L22" s="2014"/>
      <c r="M22" s="2014"/>
      <c r="N22" s="2014"/>
      <c r="O22" s="2014"/>
      <c r="P22" s="2014"/>
      <c r="Q22" s="2014"/>
      <c r="R22" s="2014"/>
      <c r="S22" s="2014"/>
      <c r="T22" s="2014"/>
      <c r="U22" s="2014"/>
      <c r="V22" s="2014"/>
      <c r="W22" s="2014"/>
      <c r="X22" s="2014"/>
      <c r="Y22" s="2014"/>
      <c r="Z22" s="2014"/>
    </row>
    <row r="23" s="2013" customFormat="1" ht="13.5" customHeight="1" spans="1:26">
      <c r="A23" s="2153" t="s">
        <v>1238</v>
      </c>
      <c r="B23" s="2166" t="s">
        <v>1239</v>
      </c>
      <c r="C23" s="2155">
        <f ca="1">ROUND((C18+C19+C20)*F23,0)</f>
        <v>281</v>
      </c>
      <c r="D23" s="2157"/>
      <c r="E23" s="2157"/>
      <c r="F23" s="2167">
        <f>'数据-取费表'!B37</f>
        <v>0.02</v>
      </c>
      <c r="G23" s="2138" t="s">
        <v>1240</v>
      </c>
      <c r="H23" s="2141"/>
      <c r="I23" s="2141"/>
      <c r="J23" s="2141"/>
      <c r="K23" s="2204"/>
      <c r="L23" s="2209"/>
      <c r="M23" s="2209"/>
      <c r="N23" s="2209"/>
      <c r="O23" s="2014"/>
      <c r="P23" s="2014"/>
      <c r="Q23" s="2014"/>
      <c r="R23" s="2014"/>
      <c r="S23" s="2014"/>
      <c r="T23" s="2014"/>
      <c r="U23" s="2014"/>
      <c r="V23" s="2014"/>
      <c r="W23" s="2014"/>
      <c r="X23" s="2014"/>
      <c r="Y23" s="2014"/>
      <c r="Z23" s="2014"/>
    </row>
    <row r="24" s="2013" customFormat="1" ht="13.5" customHeight="1" spans="1:26">
      <c r="A24" s="2153" t="s">
        <v>1241</v>
      </c>
      <c r="B24" s="2166" t="s">
        <v>1242</v>
      </c>
      <c r="C24" s="2155">
        <f ca="1">ROUND(C6*F24,0)</f>
        <v>920</v>
      </c>
      <c r="D24" s="2150"/>
      <c r="E24" s="2168"/>
      <c r="F24" s="2167">
        <f>'数据-取费表'!B38</f>
        <v>0.02</v>
      </c>
      <c r="G24" s="2169" t="s">
        <v>1243</v>
      </c>
      <c r="H24" s="2152"/>
      <c r="I24" s="2152"/>
      <c r="J24" s="2152"/>
      <c r="K24" s="2205"/>
      <c r="L24" s="2209"/>
      <c r="M24" s="2209"/>
      <c r="N24" s="2209"/>
      <c r="O24" s="2014"/>
      <c r="P24" s="2014"/>
      <c r="Q24" s="2014"/>
      <c r="R24" s="2014"/>
      <c r="S24" s="2014"/>
      <c r="T24" s="2014"/>
      <c r="U24" s="2014"/>
      <c r="V24" s="2014"/>
      <c r="W24" s="2014"/>
      <c r="X24" s="2014"/>
      <c r="Y24" s="2014"/>
      <c r="Z24" s="2014"/>
    </row>
    <row r="25" s="2015" customFormat="1" ht="13.5" customHeight="1" spans="1:26">
      <c r="A25" s="2153" t="s">
        <v>1244</v>
      </c>
      <c r="B25" s="2166" t="s">
        <v>1245</v>
      </c>
      <c r="C25" s="2170">
        <f>F25</f>
        <v>0.0305</v>
      </c>
      <c r="D25" s="2059" t="s">
        <v>1246</v>
      </c>
      <c r="E25" s="2171"/>
      <c r="F25" s="2167">
        <f>'数据-取费表'!B48+'数据-取费表'!B49</f>
        <v>0.0305</v>
      </c>
      <c r="G25" s="2172" t="s">
        <v>1247</v>
      </c>
      <c r="H25" s="2141"/>
      <c r="I25" s="2141"/>
      <c r="J25" s="2141"/>
      <c r="K25" s="2204"/>
      <c r="L25" s="2107"/>
      <c r="M25" s="2107"/>
      <c r="N25" s="2107"/>
      <c r="O25" s="2107"/>
      <c r="P25" s="2107"/>
      <c r="Q25" s="2107"/>
      <c r="R25" s="2107"/>
      <c r="S25" s="2107"/>
      <c r="T25" s="2107"/>
      <c r="U25" s="2107"/>
      <c r="V25" s="2107"/>
      <c r="W25" s="2107"/>
      <c r="X25" s="2107"/>
      <c r="Y25" s="2107"/>
      <c r="Z25" s="2107"/>
    </row>
    <row r="26" s="2118" customFormat="1" ht="13.5" customHeight="1" spans="1:26">
      <c r="A26" s="2153" t="s">
        <v>1248</v>
      </c>
      <c r="B26" s="2173" t="s">
        <v>1249</v>
      </c>
      <c r="C26" s="2174">
        <f ca="1">C28</f>
        <v>541</v>
      </c>
      <c r="D26" s="2175">
        <f ca="1">C27</f>
        <v>0.0743</v>
      </c>
      <c r="E26" s="2171" t="s">
        <v>1246</v>
      </c>
      <c r="F26" s="2063">
        <f ca="1">'数据-取费表'!B40</f>
        <v>0.0475</v>
      </c>
      <c r="G26" s="925" t="str">
        <f>IF('数据-取费表'!B22&lt;=1,"单利计息。","复利计息。")&amp;"后续开发成本、管理费用及销售费用产生的利息。"</f>
        <v>复利计息。后续开发成本、管理费用及销售费用产生的利息。</v>
      </c>
      <c r="H26" s="2159"/>
      <c r="I26" s="2159"/>
      <c r="J26" s="2159"/>
      <c r="K26" s="2206"/>
      <c r="L26" s="2209"/>
      <c r="M26" s="2209"/>
      <c r="N26" s="2209"/>
      <c r="O26" s="2209"/>
      <c r="P26" s="2209"/>
      <c r="Q26" s="2209"/>
      <c r="R26" s="2209"/>
      <c r="S26" s="2209"/>
      <c r="T26" s="2209"/>
      <c r="U26" s="2209"/>
      <c r="V26" s="2209"/>
      <c r="W26" s="2209"/>
      <c r="X26" s="2209"/>
      <c r="Y26" s="2209"/>
      <c r="Z26" s="2209"/>
    </row>
    <row r="27" s="2017" customFormat="1" ht="13.5" customHeight="1" spans="1:26">
      <c r="A27" s="909" t="s">
        <v>1166</v>
      </c>
      <c r="B27" s="2176" t="s">
        <v>1250</v>
      </c>
      <c r="C27" s="2177">
        <f ca="1">ROUND(IF('数据-取费表'!B22&lt;=1,(1+C25)*F26*'数据-取费表'!B24,(1+C25)*(POWER((1+F26),'数据-取费表'!B24)-1)),4)</f>
        <v>0.0743</v>
      </c>
      <c r="D27" s="2178"/>
      <c r="E27" s="2168"/>
      <c r="F27" s="2179"/>
      <c r="G27" s="925" t="str">
        <f>IF('数据-取费表'!B22&lt;=1,"（1+取得税费率/(1+5%)）×年利率×建设期","（1+取得税费率）/(1+5%)×((1+年利率)^建设期-1)")</f>
        <v>（1+取得税费率）/(1+5%)×((1+年利率)^建设期-1)</v>
      </c>
      <c r="H27" s="2152"/>
      <c r="I27" s="2152"/>
      <c r="J27" s="2152"/>
      <c r="K27" s="2205"/>
      <c r="L27" s="2111"/>
      <c r="M27" s="2111"/>
      <c r="N27" s="2111"/>
      <c r="O27" s="2111"/>
      <c r="P27" s="2111"/>
      <c r="Q27" s="2111"/>
      <c r="R27" s="2111"/>
      <c r="S27" s="2111"/>
      <c r="T27" s="2111"/>
      <c r="U27" s="2111"/>
      <c r="V27" s="2111"/>
      <c r="W27" s="2111"/>
      <c r="X27" s="2111"/>
      <c r="Y27" s="2111"/>
      <c r="Z27" s="2111"/>
    </row>
    <row r="28" s="2017" customFormat="1" ht="13.5" customHeight="1" spans="1:26">
      <c r="A28" s="909" t="s">
        <v>1170</v>
      </c>
      <c r="B28" s="2176" t="s">
        <v>1251</v>
      </c>
      <c r="C28" s="2180">
        <f ca="1">ROUND(IF('数据-取费表'!B22&lt;=1,(C18+C19+C20+C23+C24)*F26*'数据-取费表'!B24/2,(C18+C19+C20+C23+C24)*(POWER((1+F26),'数据-取费表'!B24/2)-1)),0)</f>
        <v>541</v>
      </c>
      <c r="D28" s="2178"/>
      <c r="E28" s="2168"/>
      <c r="F28" s="2179"/>
      <c r="G28" s="925" t="str">
        <f>IF('数据-取费表'!B22&lt;=1,"（1）-（4）项×年利率×建设期÷2","（1）-（4）项×((1+年利率)^(建设期÷2)-1)")</f>
        <v>（1）-（4）项×((1+年利率)^(建设期÷2)-1)</v>
      </c>
      <c r="H28" s="2152"/>
      <c r="I28" s="2152"/>
      <c r="J28" s="2152"/>
      <c r="K28" s="2205"/>
      <c r="L28" s="2111"/>
      <c r="M28" s="2111"/>
      <c r="N28" s="2111"/>
      <c r="O28" s="2111"/>
      <c r="P28" s="2111"/>
      <c r="Q28" s="2111"/>
      <c r="R28" s="2111"/>
      <c r="S28" s="2111"/>
      <c r="T28" s="2111"/>
      <c r="U28" s="2111"/>
      <c r="V28" s="2111"/>
      <c r="W28" s="2111"/>
      <c r="X28" s="2111"/>
      <c r="Y28" s="2111"/>
      <c r="Z28" s="2111"/>
    </row>
    <row r="29" s="2017" customFormat="1" ht="13.5" customHeight="1" spans="1:26">
      <c r="A29" s="2181" t="s">
        <v>1252</v>
      </c>
      <c r="B29" s="2154" t="s">
        <v>1253</v>
      </c>
      <c r="C29" s="2155">
        <f ca="1">ROUND(C6*F29/(1+'数据-取费表'!C42),0)</f>
        <v>2454</v>
      </c>
      <c r="D29" s="2157"/>
      <c r="E29" s="2157"/>
      <c r="F29" s="2182">
        <f>'数据-取费表'!B41</f>
        <v>0.056</v>
      </c>
      <c r="G29" s="2169" t="s">
        <v>1254</v>
      </c>
      <c r="H29" s="2141"/>
      <c r="I29" s="2141"/>
      <c r="J29" s="2141"/>
      <c r="K29" s="2204"/>
      <c r="L29" s="2111"/>
      <c r="M29" s="2111"/>
      <c r="N29" s="2111"/>
      <c r="O29" s="2111"/>
      <c r="P29" s="2111"/>
      <c r="Q29" s="2111"/>
      <c r="R29" s="2111"/>
      <c r="S29" s="2111"/>
      <c r="T29" s="2111"/>
      <c r="U29" s="2111"/>
      <c r="V29" s="2111"/>
      <c r="W29" s="2111"/>
      <c r="X29" s="2111"/>
      <c r="Y29" s="2111"/>
      <c r="Z29" s="2111"/>
    </row>
    <row r="30" s="2016" customFormat="1" ht="13.5" customHeight="1" spans="1:26">
      <c r="A30" s="2183" t="s">
        <v>1255</v>
      </c>
      <c r="B30" s="2184" t="s">
        <v>1256</v>
      </c>
      <c r="C30" s="2174">
        <f ca="1">C31</f>
        <v>18270</v>
      </c>
      <c r="D30" s="2185">
        <f ca="1">C32</f>
        <v>0.1048</v>
      </c>
      <c r="E30" s="2171" t="s">
        <v>1246</v>
      </c>
      <c r="F30" s="2063"/>
      <c r="G30" s="2172" t="s">
        <v>1257</v>
      </c>
      <c r="H30" s="2141"/>
      <c r="I30" s="2141"/>
      <c r="J30" s="2141"/>
      <c r="K30" s="2204"/>
      <c r="L30" s="2108"/>
      <c r="M30" s="2108"/>
      <c r="N30" s="2108"/>
      <c r="O30" s="2108"/>
      <c r="P30" s="2108"/>
      <c r="Q30" s="2108"/>
      <c r="R30" s="2108"/>
      <c r="S30" s="2108"/>
      <c r="T30" s="2108"/>
      <c r="U30" s="2108"/>
      <c r="V30" s="2108"/>
      <c r="W30" s="2108"/>
      <c r="X30" s="2108"/>
      <c r="Y30" s="2108"/>
      <c r="Z30" s="2108"/>
    </row>
    <row r="31" s="2017" customFormat="1" ht="13.5" customHeight="1" spans="1:26">
      <c r="A31" s="909" t="s">
        <v>1166</v>
      </c>
      <c r="B31" s="2176"/>
      <c r="C31" s="2047">
        <f ca="1">C18+C19+C20+C23+C24+C26+C29</f>
        <v>18270</v>
      </c>
      <c r="D31" s="2178"/>
      <c r="E31" s="2168"/>
      <c r="F31" s="2179"/>
      <c r="G31" s="921"/>
      <c r="H31" s="2152"/>
      <c r="I31" s="2152"/>
      <c r="J31" s="2152"/>
      <c r="K31" s="2205"/>
      <c r="L31" s="2111"/>
      <c r="M31" s="2111"/>
      <c r="N31" s="2111"/>
      <c r="O31" s="2111"/>
      <c r="P31" s="2111"/>
      <c r="Q31" s="2111"/>
      <c r="R31" s="2111"/>
      <c r="S31" s="2111"/>
      <c r="T31" s="2111"/>
      <c r="U31" s="2111"/>
      <c r="V31" s="2111"/>
      <c r="W31" s="2111"/>
      <c r="X31" s="2111"/>
      <c r="Y31" s="2111"/>
      <c r="Z31" s="2111"/>
    </row>
    <row r="32" s="2017" customFormat="1" ht="13.5" customHeight="1" spans="1:26">
      <c r="A32" s="909" t="s">
        <v>1170</v>
      </c>
      <c r="B32" s="2176"/>
      <c r="C32" s="123">
        <f ca="1">ROUND(C25+D26,4)</f>
        <v>0.1048</v>
      </c>
      <c r="D32" s="2178"/>
      <c r="E32" s="2168"/>
      <c r="F32" s="2179"/>
      <c r="G32" s="921"/>
      <c r="H32" s="2152"/>
      <c r="I32" s="2152"/>
      <c r="J32" s="2152"/>
      <c r="K32" s="2205"/>
      <c r="L32" s="2111"/>
      <c r="M32" s="2111"/>
      <c r="N32" s="2111"/>
      <c r="O32" s="2111"/>
      <c r="P32" s="2111"/>
      <c r="Q32" s="2111"/>
      <c r="R32" s="2111"/>
      <c r="S32" s="2111"/>
      <c r="T32" s="2111"/>
      <c r="U32" s="2111"/>
      <c r="V32" s="2111"/>
      <c r="W32" s="2111"/>
      <c r="X32" s="2111"/>
      <c r="Y32" s="2111"/>
      <c r="Z32" s="2111"/>
    </row>
    <row r="33" s="2119" customFormat="1" ht="13.5" customHeight="1" spans="1:26">
      <c r="A33" s="2186" t="s">
        <v>1258</v>
      </c>
      <c r="B33" s="2064" t="s">
        <v>1259</v>
      </c>
      <c r="C33" s="2065">
        <f ca="1">C35</f>
        <v>1222</v>
      </c>
      <c r="D33" s="2175">
        <f ca="1">C34</f>
        <v>0.0824</v>
      </c>
      <c r="E33" s="2171" t="s">
        <v>1246</v>
      </c>
      <c r="F33" s="1949">
        <f ca="1">IF(B1="",'数据-取费表'!Q16,INDIRECT("'数据-取费表'!q"&amp;$K$1))</f>
        <v>0.08</v>
      </c>
      <c r="G33" s="2158"/>
      <c r="H33" s="2159"/>
      <c r="I33" s="2159"/>
      <c r="J33" s="2159"/>
      <c r="K33" s="2206"/>
      <c r="L33" s="2210"/>
      <c r="M33" s="2210"/>
      <c r="N33" s="2210"/>
      <c r="O33" s="2210"/>
      <c r="P33" s="2210"/>
      <c r="Q33" s="2210"/>
      <c r="R33" s="2210"/>
      <c r="S33" s="2210"/>
      <c r="T33" s="2210"/>
      <c r="U33" s="2210"/>
      <c r="V33" s="2210"/>
      <c r="W33" s="2210"/>
      <c r="X33" s="2210"/>
      <c r="Y33" s="2210"/>
      <c r="Z33" s="2210"/>
    </row>
    <row r="34" s="2120" customFormat="1" ht="13.5" customHeight="1" spans="1:26">
      <c r="A34" s="2187" t="s">
        <v>1166</v>
      </c>
      <c r="B34" s="2188" t="s">
        <v>1260</v>
      </c>
      <c r="C34" s="2178">
        <f ca="1">ROUND((1+C25)*F33,4)</f>
        <v>0.0824</v>
      </c>
      <c r="D34" s="2178"/>
      <c r="E34" s="2168"/>
      <c r="F34" s="2189"/>
      <c r="G34" s="921" t="s">
        <v>1261</v>
      </c>
      <c r="H34" s="2152"/>
      <c r="I34" s="2152"/>
      <c r="J34" s="2152"/>
      <c r="K34" s="2205"/>
      <c r="L34" s="2211"/>
      <c r="M34" s="2211"/>
      <c r="N34" s="2211"/>
      <c r="O34" s="2211"/>
      <c r="P34" s="2211"/>
      <c r="Q34" s="2211"/>
      <c r="R34" s="2211"/>
      <c r="S34" s="2211"/>
      <c r="T34" s="2211"/>
      <c r="U34" s="2211"/>
      <c r="V34" s="2211"/>
      <c r="W34" s="2211"/>
      <c r="X34" s="2211"/>
      <c r="Y34" s="2211"/>
      <c r="Z34" s="2211"/>
    </row>
    <row r="35" s="2120" customFormat="1" ht="13.5" customHeight="1" spans="1:26">
      <c r="A35" s="2190" t="s">
        <v>1170</v>
      </c>
      <c r="B35" s="2191" t="s">
        <v>1262</v>
      </c>
      <c r="C35" s="2192">
        <f ca="1">ROUND((C18+C19+C20+C23+C24)*F33,0)</f>
        <v>1222</v>
      </c>
      <c r="D35" s="2193"/>
      <c r="E35" s="2194"/>
      <c r="F35" s="2195"/>
      <c r="G35" s="2133"/>
      <c r="H35" s="2196"/>
      <c r="I35" s="2196"/>
      <c r="J35" s="2196"/>
      <c r="K35" s="2212"/>
      <c r="L35" s="2211"/>
      <c r="M35" s="2211"/>
      <c r="N35" s="2211"/>
      <c r="O35" s="2211"/>
      <c r="P35" s="2211"/>
      <c r="Q35" s="2211"/>
      <c r="R35" s="2211"/>
      <c r="S35" s="2211"/>
      <c r="T35" s="2211"/>
      <c r="U35" s="2211"/>
      <c r="V35" s="2211"/>
      <c r="W35" s="2211"/>
      <c r="X35" s="2211"/>
      <c r="Y35" s="2211"/>
      <c r="Z35" s="2211"/>
    </row>
    <row r="36" s="982" customFormat="1" ht="13.5" customHeight="1" spans="1:26">
      <c r="A36" s="2197" t="s">
        <v>1263</v>
      </c>
      <c r="B36" s="2198"/>
      <c r="C36" s="2199">
        <f ca="1">ROUND((C6-C30-C33)/(1+D30+D33),0)</f>
        <v>22332</v>
      </c>
      <c r="D36" s="2198"/>
      <c r="E36" s="2198"/>
      <c r="F36" s="2198"/>
      <c r="G36" s="2200" t="s">
        <v>1264</v>
      </c>
      <c r="H36" s="2198"/>
      <c r="I36" s="2198"/>
      <c r="J36" s="2198"/>
      <c r="K36" s="2213"/>
      <c r="L36" s="2105"/>
      <c r="M36" s="2105"/>
      <c r="N36" s="2105"/>
      <c r="O36" s="2105"/>
      <c r="P36" s="2105"/>
      <c r="Q36" s="2105"/>
      <c r="R36" s="2105"/>
      <c r="S36" s="2105"/>
      <c r="T36" s="2105"/>
      <c r="U36" s="2105"/>
      <c r="V36" s="2105"/>
      <c r="W36" s="2105"/>
      <c r="X36" s="2105"/>
      <c r="Y36" s="2105"/>
      <c r="Z36" s="2105"/>
    </row>
    <row r="37" s="2012" customFormat="1" spans="1:5">
      <c r="A37" s="2093"/>
      <c r="C37" s="2094"/>
      <c r="E37" s="2093"/>
    </row>
    <row r="38" s="2012" customFormat="1" customHeight="1" spans="1:5">
      <c r="A38" s="2093"/>
      <c r="C38" s="2094"/>
      <c r="E38" s="2093"/>
    </row>
    <row r="39" s="2012" customFormat="1" spans="1:5">
      <c r="A39" s="2093"/>
      <c r="C39" s="2094"/>
      <c r="E39" s="2093"/>
    </row>
    <row r="40" s="2012" customFormat="1" spans="1:5">
      <c r="A40" s="2093"/>
      <c r="C40" s="2094"/>
      <c r="E40" s="2093"/>
    </row>
    <row r="41" s="2012" customFormat="1" spans="1:5">
      <c r="A41" s="2093"/>
      <c r="C41" s="2094"/>
      <c r="E41" s="2093"/>
    </row>
    <row r="42" s="2012" customFormat="1" spans="1:5">
      <c r="A42" s="2093"/>
      <c r="C42" s="2094"/>
      <c r="E42" s="2093"/>
    </row>
    <row r="43" s="2012" customFormat="1" spans="1:5">
      <c r="A43" s="2093"/>
      <c r="C43" s="2094"/>
      <c r="E43" s="2093"/>
    </row>
    <row r="44" s="2012" customFormat="1" spans="1:5">
      <c r="A44" s="2093"/>
      <c r="C44" s="2094"/>
      <c r="E44" s="2093"/>
    </row>
    <row r="45" s="2012" customFormat="1" spans="1:5">
      <c r="A45" s="2093"/>
      <c r="C45" s="2094"/>
      <c r="E45" s="2093"/>
    </row>
    <row r="46" s="2012" customFormat="1" spans="1:5">
      <c r="A46" s="2093"/>
      <c r="C46" s="2094"/>
      <c r="E46" s="2093"/>
    </row>
    <row r="47" s="2012" customFormat="1" spans="1:5">
      <c r="A47" s="2093"/>
      <c r="C47" s="2094"/>
      <c r="E47" s="2093"/>
    </row>
    <row r="48" s="2012" customFormat="1" spans="1:5">
      <c r="A48" s="2093"/>
      <c r="C48" s="2094"/>
      <c r="E48" s="2093"/>
    </row>
    <row r="49" s="2012" customFormat="1" spans="1:5">
      <c r="A49" s="2093"/>
      <c r="C49" s="2094"/>
      <c r="E49" s="2093"/>
    </row>
    <row r="50" s="2012" customFormat="1" spans="1:5">
      <c r="A50" s="2093"/>
      <c r="C50" s="2094"/>
      <c r="E50" s="2093"/>
    </row>
    <row r="51" s="2012" customFormat="1" spans="1:5">
      <c r="A51" s="2093"/>
      <c r="C51" s="2094"/>
      <c r="E51" s="2093"/>
    </row>
    <row r="52" s="2012" customFormat="1" spans="1:5">
      <c r="A52" s="2093"/>
      <c r="C52" s="2094"/>
      <c r="E52" s="2093"/>
    </row>
    <row r="53" s="2012" customFormat="1" spans="1:5">
      <c r="A53" s="2093"/>
      <c r="C53" s="2094"/>
      <c r="E53" s="2093"/>
    </row>
    <row r="54" s="2012" customFormat="1" spans="1:5">
      <c r="A54" s="2093"/>
      <c r="C54" s="2094"/>
      <c r="E54" s="2093"/>
    </row>
    <row r="55" s="2012" customFormat="1" spans="1:5">
      <c r="A55" s="2093"/>
      <c r="C55" s="2094"/>
      <c r="E55" s="2093"/>
    </row>
    <row r="56" s="2012" customFormat="1" spans="1:5">
      <c r="A56" s="2093"/>
      <c r="C56" s="2094"/>
      <c r="E56" s="2093"/>
    </row>
    <row r="57" s="2012" customFormat="1" spans="1:5">
      <c r="A57" s="2093"/>
      <c r="C57" s="2094"/>
      <c r="E57" s="2093"/>
    </row>
    <row r="58" s="2012" customFormat="1" spans="1:5">
      <c r="A58" s="2093"/>
      <c r="C58" s="2094"/>
      <c r="E58" s="2093"/>
    </row>
    <row r="59" s="2012" customFormat="1" spans="1:5">
      <c r="A59" s="2093"/>
      <c r="C59" s="2094"/>
      <c r="E59" s="2093"/>
    </row>
    <row r="60" s="2012" customFormat="1" spans="1:5">
      <c r="A60" s="2093"/>
      <c r="C60" s="2094"/>
      <c r="E60" s="2093"/>
    </row>
    <row r="61" s="2012" customFormat="1" spans="1:5">
      <c r="A61" s="2093"/>
      <c r="C61" s="2094"/>
      <c r="E61" s="2093"/>
    </row>
    <row r="62" s="2012" customFormat="1" spans="1:5">
      <c r="A62" s="2093"/>
      <c r="C62" s="2094"/>
      <c r="E62" s="2093"/>
    </row>
    <row r="63" s="2012" customFormat="1" spans="1:5">
      <c r="A63" s="2093"/>
      <c r="C63" s="2094"/>
      <c r="E63" s="2093"/>
    </row>
    <row r="64" s="2012" customFormat="1" spans="1:5">
      <c r="A64" s="2093"/>
      <c r="C64" s="2094"/>
      <c r="E64" s="2093"/>
    </row>
    <row r="65" s="2012" customFormat="1" spans="1:5">
      <c r="A65" s="2093"/>
      <c r="C65" s="2094"/>
      <c r="E65" s="2093"/>
    </row>
    <row r="66" s="2012" customFormat="1" spans="1:5">
      <c r="A66" s="2093"/>
      <c r="C66" s="2094"/>
      <c r="E66" s="2093"/>
    </row>
    <row r="67" s="2012" customFormat="1" spans="1:5">
      <c r="A67" s="2093"/>
      <c r="C67" s="2094"/>
      <c r="E67" s="2093"/>
    </row>
    <row r="68" s="2012" customFormat="1" spans="1:5">
      <c r="A68" s="2093"/>
      <c r="C68" s="2094"/>
      <c r="E68" s="2093"/>
    </row>
    <row r="69" s="2012" customFormat="1" spans="1:5">
      <c r="A69" s="2093"/>
      <c r="C69" s="2094"/>
      <c r="E69" s="2093"/>
    </row>
    <row r="70" s="2012" customFormat="1" spans="1:5">
      <c r="A70" s="2093"/>
      <c r="C70" s="2094"/>
      <c r="E70" s="2093"/>
    </row>
    <row r="71" s="2012" customFormat="1" spans="1:5">
      <c r="A71" s="2093"/>
      <c r="C71" s="2094"/>
      <c r="E71" s="2093"/>
    </row>
    <row r="72" s="2012" customFormat="1" spans="1:5">
      <c r="A72" s="2093"/>
      <c r="C72" s="2094"/>
      <c r="E72" s="2093"/>
    </row>
    <row r="73" s="2012" customFormat="1" spans="1:5">
      <c r="A73" s="2093"/>
      <c r="C73" s="2094"/>
      <c r="E73" s="2093"/>
    </row>
    <row r="74" s="2012" customFormat="1" spans="1:5">
      <c r="A74" s="2093"/>
      <c r="C74" s="2094"/>
      <c r="E74" s="2093"/>
    </row>
    <row r="75" s="2012" customFormat="1" spans="1:5">
      <c r="A75" s="2093"/>
      <c r="C75" s="2094"/>
      <c r="E75" s="2093"/>
    </row>
    <row r="76" s="2012" customFormat="1" spans="1:5">
      <c r="A76" s="2093"/>
      <c r="C76" s="2094"/>
      <c r="E76" s="2093"/>
    </row>
    <row r="77" s="2012" customFormat="1" spans="1:5">
      <c r="A77" s="2093"/>
      <c r="C77" s="2094"/>
      <c r="E77" s="2093"/>
    </row>
    <row r="78" s="2012" customFormat="1" spans="1:5">
      <c r="A78" s="2093"/>
      <c r="C78" s="2094"/>
      <c r="E78" s="2093"/>
    </row>
    <row r="79" s="2012" customFormat="1" spans="1:5">
      <c r="A79" s="2093"/>
      <c r="C79" s="2094"/>
      <c r="E79" s="2093"/>
    </row>
    <row r="80" s="2012" customFormat="1" spans="1:5">
      <c r="A80" s="2093"/>
      <c r="C80" s="2094"/>
      <c r="E80" s="2093"/>
    </row>
    <row r="81" s="2012" customFormat="1" spans="1:5">
      <c r="A81" s="2093"/>
      <c r="C81" s="2094"/>
      <c r="E81" s="2093"/>
    </row>
    <row r="82" s="2012" customFormat="1" spans="1:5">
      <c r="A82" s="2093"/>
      <c r="C82" s="2094"/>
      <c r="E82" s="2093"/>
    </row>
    <row r="83" s="2012" customFormat="1" spans="1:5">
      <c r="A83" s="2093"/>
      <c r="C83" s="2094"/>
      <c r="E83" s="2093"/>
    </row>
    <row r="84" s="2012" customFormat="1" spans="1:5">
      <c r="A84" s="2093"/>
      <c r="C84" s="2094"/>
      <c r="E84" s="2093"/>
    </row>
    <row r="85" s="2012" customFormat="1" spans="1:5">
      <c r="A85" s="2093"/>
      <c r="C85" s="2094"/>
      <c r="E85" s="2093"/>
    </row>
    <row r="86" s="2012" customFormat="1" spans="1:5">
      <c r="A86" s="2093"/>
      <c r="C86" s="2094"/>
      <c r="E86" s="2093"/>
    </row>
    <row r="87" s="2012" customFormat="1" spans="1:5">
      <c r="A87" s="2093"/>
      <c r="C87" s="2094"/>
      <c r="E87" s="2093"/>
    </row>
    <row r="88" s="2012" customFormat="1" spans="1:5">
      <c r="A88" s="2093"/>
      <c r="C88" s="2094"/>
      <c r="E88" s="2093"/>
    </row>
    <row r="89" s="2012" customFormat="1" spans="1:5">
      <c r="A89" s="2093"/>
      <c r="C89" s="2094"/>
      <c r="E89" s="2093"/>
    </row>
    <row r="90" s="2012" customFormat="1" spans="1:5">
      <c r="A90" s="2093"/>
      <c r="C90" s="2094"/>
      <c r="E90" s="2093"/>
    </row>
    <row r="91" s="2012" customFormat="1" spans="1:5">
      <c r="A91" s="2093"/>
      <c r="C91" s="2094"/>
      <c r="E91" s="2093"/>
    </row>
    <row r="92" s="2012" customFormat="1" spans="1:5">
      <c r="A92" s="2093"/>
      <c r="C92" s="2094"/>
      <c r="E92" s="2093"/>
    </row>
    <row r="93" s="2012" customFormat="1" spans="1:5">
      <c r="A93" s="2093"/>
      <c r="C93" s="2094"/>
      <c r="E93" s="2093"/>
    </row>
    <row r="94" s="2012" customFormat="1" spans="1:5">
      <c r="A94" s="2093"/>
      <c r="C94" s="2094"/>
      <c r="E94" s="2093"/>
    </row>
    <row r="95" s="2012" customFormat="1" spans="1:5">
      <c r="A95" s="2093"/>
      <c r="C95" s="2094"/>
      <c r="E95" s="2093"/>
    </row>
    <row r="96" s="2012" customFormat="1" spans="1:5">
      <c r="A96" s="2093"/>
      <c r="C96" s="2094"/>
      <c r="E96" s="2093"/>
    </row>
    <row r="97" s="2012" customFormat="1" spans="1:5">
      <c r="A97" s="2093"/>
      <c r="C97" s="2094"/>
      <c r="E97" s="2093"/>
    </row>
    <row r="98" s="2012" customFormat="1" spans="1:5">
      <c r="A98" s="2093"/>
      <c r="C98" s="2094"/>
      <c r="E98" s="2093"/>
    </row>
    <row r="99" s="2012" customFormat="1" spans="1:5">
      <c r="A99" s="2093"/>
      <c r="C99" s="2094"/>
      <c r="E99" s="2093"/>
    </row>
    <row r="100" s="2012" customFormat="1" spans="1:5">
      <c r="A100" s="2093"/>
      <c r="C100" s="2094"/>
      <c r="E100" s="2093"/>
    </row>
    <row r="101" s="2012" customFormat="1" spans="1:5">
      <c r="A101" s="2093"/>
      <c r="C101" s="2094"/>
      <c r="E101" s="2093"/>
    </row>
    <row r="102" s="2012" customFormat="1" spans="1:5">
      <c r="A102" s="2093"/>
      <c r="C102" s="2094"/>
      <c r="E102" s="2093"/>
    </row>
    <row r="103" s="2012" customFormat="1" spans="1:5">
      <c r="A103" s="2093"/>
      <c r="C103" s="2094"/>
      <c r="E103" s="2093"/>
    </row>
    <row r="104" s="2012" customFormat="1" spans="1:5">
      <c r="A104" s="2093"/>
      <c r="C104" s="2094"/>
      <c r="E104" s="2093"/>
    </row>
    <row r="105" s="2012" customFormat="1" spans="1:5">
      <c r="A105" s="2093"/>
      <c r="C105" s="2094"/>
      <c r="E105" s="2093"/>
    </row>
    <row r="106" s="2012" customFormat="1" spans="1:5">
      <c r="A106" s="2093"/>
      <c r="C106" s="2094"/>
      <c r="E106" s="2093"/>
    </row>
    <row r="107" s="2012" customFormat="1" spans="1:5">
      <c r="A107" s="2093"/>
      <c r="C107" s="2094"/>
      <c r="E107" s="2093"/>
    </row>
    <row r="108" s="2012" customFormat="1" spans="1:5">
      <c r="A108" s="2093"/>
      <c r="C108" s="2094"/>
      <c r="E108" s="2093"/>
    </row>
    <row r="109" s="2012" customFormat="1" spans="1:5">
      <c r="A109" s="2093"/>
      <c r="C109" s="2094"/>
      <c r="E109" s="2093"/>
    </row>
    <row r="110" s="2012" customFormat="1" spans="1:5">
      <c r="A110" s="2093"/>
      <c r="C110" s="2094"/>
      <c r="E110" s="2093"/>
    </row>
    <row r="111" s="2012" customFormat="1" spans="1:5">
      <c r="A111" s="2093"/>
      <c r="C111" s="2094"/>
      <c r="E111" s="2093"/>
    </row>
    <row r="112" s="2012" customFormat="1" spans="1:5">
      <c r="A112" s="2093"/>
      <c r="C112" s="2094"/>
      <c r="E112" s="2093"/>
    </row>
    <row r="113" s="2012" customFormat="1" spans="1:5">
      <c r="A113" s="2093"/>
      <c r="C113" s="2094"/>
      <c r="E113" s="2093"/>
    </row>
    <row r="114" s="2012" customFormat="1" spans="1:5">
      <c r="A114" s="2093"/>
      <c r="C114" s="2094"/>
      <c r="E114" s="2093"/>
    </row>
    <row r="115" s="2012" customFormat="1" spans="1:5">
      <c r="A115" s="2093"/>
      <c r="C115" s="2094"/>
      <c r="E115" s="2093"/>
    </row>
    <row r="116" s="2012" customFormat="1" spans="1:5">
      <c r="A116" s="2093"/>
      <c r="C116" s="2094"/>
      <c r="E116" s="2093"/>
    </row>
    <row r="117" s="2012" customFormat="1" spans="1:5">
      <c r="A117" s="2093"/>
      <c r="C117" s="2094"/>
      <c r="E117" s="2093"/>
    </row>
    <row r="118" s="2012" customFormat="1" spans="1:5">
      <c r="A118" s="2093"/>
      <c r="C118" s="2094"/>
      <c r="E118" s="2093"/>
    </row>
    <row r="119" s="2012" customFormat="1" spans="1:5">
      <c r="A119" s="2093"/>
      <c r="C119" s="2094"/>
      <c r="E119" s="2093"/>
    </row>
    <row r="120" s="2012" customFormat="1" spans="1:5">
      <c r="A120" s="2093"/>
      <c r="C120" s="2094"/>
      <c r="E120" s="2093"/>
    </row>
    <row r="121" s="2012" customFormat="1" spans="1:5">
      <c r="A121" s="2093"/>
      <c r="C121" s="2094"/>
      <c r="E121" s="2093"/>
    </row>
    <row r="122" s="2012" customFormat="1" spans="1:5">
      <c r="A122" s="2093"/>
      <c r="C122" s="2094"/>
      <c r="E122" s="2093"/>
    </row>
    <row r="123" s="2012" customFormat="1" spans="1:5">
      <c r="A123" s="2093"/>
      <c r="C123" s="2094"/>
      <c r="E123" s="2093"/>
    </row>
    <row r="124" s="2012" customFormat="1" spans="1:5">
      <c r="A124" s="2093"/>
      <c r="C124" s="2094"/>
      <c r="E124" s="2093"/>
    </row>
    <row r="125" s="2012" customFormat="1" spans="1:5">
      <c r="A125" s="2093"/>
      <c r="C125" s="2094"/>
      <c r="E125" s="2093"/>
    </row>
    <row r="126" s="2012" customFormat="1" spans="1:5">
      <c r="A126" s="2093"/>
      <c r="C126" s="2094"/>
      <c r="E126" s="2093"/>
    </row>
    <row r="127" s="2012" customFormat="1" spans="1:5">
      <c r="A127" s="2093"/>
      <c r="C127" s="2094"/>
      <c r="E127" s="2093"/>
    </row>
    <row r="128" s="2012" customFormat="1" spans="1:5">
      <c r="A128" s="2093"/>
      <c r="C128" s="2094"/>
      <c r="E128" s="2093"/>
    </row>
    <row r="129" s="2012" customFormat="1" spans="1:5">
      <c r="A129" s="2093"/>
      <c r="C129" s="2094"/>
      <c r="E129" s="2093"/>
    </row>
    <row r="130" s="2012" customFormat="1" spans="1:5">
      <c r="A130" s="2093"/>
      <c r="C130" s="2094"/>
      <c r="E130" s="2093"/>
    </row>
    <row r="131" s="2012" customFormat="1" spans="1:5">
      <c r="A131" s="2093"/>
      <c r="C131" s="2094"/>
      <c r="E131" s="2093"/>
    </row>
    <row r="132" s="2012" customFormat="1" spans="1:5">
      <c r="A132" s="2093"/>
      <c r="C132" s="2094"/>
      <c r="E132" s="2093"/>
    </row>
    <row r="133" s="2012" customFormat="1" spans="1:5">
      <c r="A133" s="2093"/>
      <c r="C133" s="2094"/>
      <c r="E133" s="2093"/>
    </row>
    <row r="134" s="2012" customFormat="1" spans="1:5">
      <c r="A134" s="2093"/>
      <c r="C134" s="2094"/>
      <c r="E134" s="2093"/>
    </row>
    <row r="135" s="2012" customFormat="1" spans="1:5">
      <c r="A135" s="2093"/>
      <c r="C135" s="2094"/>
      <c r="E135" s="2093"/>
    </row>
    <row r="136" s="2012" customFormat="1" spans="1:5">
      <c r="A136" s="2093"/>
      <c r="C136" s="2094"/>
      <c r="E136" s="2093"/>
    </row>
    <row r="137" s="2012" customFormat="1" spans="1:5">
      <c r="A137" s="2093"/>
      <c r="C137" s="2094"/>
      <c r="E137" s="2093"/>
    </row>
    <row r="138" s="2012" customFormat="1" spans="1:5">
      <c r="A138" s="2093"/>
      <c r="C138" s="2094"/>
      <c r="E138" s="2093"/>
    </row>
    <row r="139" s="2012" customFormat="1" spans="1:5">
      <c r="A139" s="2093"/>
      <c r="C139" s="2094"/>
      <c r="E139" s="2093"/>
    </row>
    <row r="140" s="2012" customFormat="1" spans="1:5">
      <c r="A140" s="2093"/>
      <c r="C140" s="2094"/>
      <c r="E140" s="2093"/>
    </row>
    <row r="141" s="2012" customFormat="1" spans="1:5">
      <c r="A141" s="2093"/>
      <c r="C141" s="2094"/>
      <c r="E141" s="2093"/>
    </row>
    <row r="142" s="2012" customFormat="1" spans="1:5">
      <c r="A142" s="2093"/>
      <c r="C142" s="2094"/>
      <c r="E142" s="2093"/>
    </row>
    <row r="143" s="2012" customFormat="1" spans="1:5">
      <c r="A143" s="2093"/>
      <c r="C143" s="2094"/>
      <c r="E143" s="2093"/>
    </row>
    <row r="144" s="2012" customFormat="1" spans="1:5">
      <c r="A144" s="2093"/>
      <c r="C144" s="2094"/>
      <c r="E144" s="2093"/>
    </row>
    <row r="145" s="2012" customFormat="1" spans="1:5">
      <c r="A145" s="2093"/>
      <c r="C145" s="2094"/>
      <c r="E145" s="2093"/>
    </row>
    <row r="146" s="2012" customFormat="1" spans="1:5">
      <c r="A146" s="2093"/>
      <c r="C146" s="2094"/>
      <c r="E146" s="2093"/>
    </row>
    <row r="147" s="2012" customFormat="1" spans="1:5">
      <c r="A147" s="2093"/>
      <c r="C147" s="2094"/>
      <c r="E147" s="2093"/>
    </row>
    <row r="148" s="2012" customFormat="1" spans="1:5">
      <c r="A148" s="2093"/>
      <c r="C148" s="2094"/>
      <c r="E148" s="2093"/>
    </row>
    <row r="149" s="2012" customFormat="1" spans="1:5">
      <c r="A149" s="2093"/>
      <c r="C149" s="2094"/>
      <c r="E149" s="2093"/>
    </row>
    <row r="150" s="2012" customFormat="1" spans="1:5">
      <c r="A150" s="2093"/>
      <c r="C150" s="2094"/>
      <c r="E150" s="2093"/>
    </row>
    <row r="151" s="2012" customFormat="1" spans="1:5">
      <c r="A151" s="2093"/>
      <c r="C151" s="2094"/>
      <c r="E151" s="2093"/>
    </row>
    <row r="152" s="2012" customFormat="1" spans="1:5">
      <c r="A152" s="2093"/>
      <c r="C152" s="2094"/>
      <c r="E152" s="2093"/>
    </row>
    <row r="153" s="2012" customFormat="1" spans="1:5">
      <c r="A153" s="2093"/>
      <c r="C153" s="2094"/>
      <c r="E153" s="2093"/>
    </row>
    <row r="154" s="2012" customFormat="1" spans="1:5">
      <c r="A154" s="2093"/>
      <c r="C154" s="2094"/>
      <c r="E154" s="2093"/>
    </row>
    <row r="155" s="2012" customFormat="1" spans="1:5">
      <c r="A155" s="2093"/>
      <c r="C155" s="2094"/>
      <c r="E155" s="2093"/>
    </row>
    <row r="156" s="2012" customFormat="1" spans="1:5">
      <c r="A156" s="2093"/>
      <c r="C156" s="2094"/>
      <c r="E156" s="2093"/>
    </row>
    <row r="157" s="2012" customFormat="1" spans="1:5">
      <c r="A157" s="2093"/>
      <c r="C157" s="2094"/>
      <c r="E157" s="2093"/>
    </row>
    <row r="158" s="2012" customFormat="1" spans="1:5">
      <c r="A158" s="2093"/>
      <c r="C158" s="2094"/>
      <c r="E158" s="2093"/>
    </row>
    <row r="159" s="2012" customFormat="1" spans="1:5">
      <c r="A159" s="2093"/>
      <c r="C159" s="2094"/>
      <c r="E159" s="2093"/>
    </row>
    <row r="160" s="2012" customFormat="1" spans="1:5">
      <c r="A160" s="2093"/>
      <c r="C160" s="2094"/>
      <c r="E160" s="2093"/>
    </row>
    <row r="161" s="2012" customFormat="1" spans="1:5">
      <c r="A161" s="2093"/>
      <c r="C161" s="2094"/>
      <c r="E161" s="2093"/>
    </row>
    <row r="162" s="2012" customFormat="1" spans="1:5">
      <c r="A162" s="2093"/>
      <c r="C162" s="2094"/>
      <c r="E162" s="2093"/>
    </row>
    <row r="163" s="2012" customFormat="1" spans="1:5">
      <c r="A163" s="2093"/>
      <c r="C163" s="2094"/>
      <c r="E163" s="2093"/>
    </row>
    <row r="164" s="2012" customFormat="1" spans="1:5">
      <c r="A164" s="2093"/>
      <c r="C164" s="2094"/>
      <c r="E164" s="2093"/>
    </row>
    <row r="165" s="2012" customFormat="1" spans="1:5">
      <c r="A165" s="2093"/>
      <c r="C165" s="2094"/>
      <c r="E165" s="2093"/>
    </row>
    <row r="166" s="2012" customFormat="1" spans="1:5">
      <c r="A166" s="2093"/>
      <c r="C166" s="2094"/>
      <c r="E166" s="2093"/>
    </row>
    <row r="167" s="2012" customFormat="1" spans="1:5">
      <c r="A167" s="2093"/>
      <c r="C167" s="2094"/>
      <c r="E167" s="2093"/>
    </row>
    <row r="168" s="2012" customFormat="1" spans="1:5">
      <c r="A168" s="2093"/>
      <c r="C168" s="2094"/>
      <c r="E168" s="2093"/>
    </row>
    <row r="169" s="2012" customFormat="1" spans="1:5">
      <c r="A169" s="2093"/>
      <c r="C169" s="2094"/>
      <c r="E169" s="2093"/>
    </row>
    <row r="170" s="2012" customFormat="1" spans="1:5">
      <c r="A170" s="2093"/>
      <c r="C170" s="2094"/>
      <c r="E170" s="2093"/>
    </row>
    <row r="171" s="2012" customFormat="1" spans="1:5">
      <c r="A171" s="2093"/>
      <c r="C171" s="2094"/>
      <c r="E171" s="2093"/>
    </row>
    <row r="172" s="2012" customFormat="1" spans="1:5">
      <c r="A172" s="2093"/>
      <c r="C172" s="2094"/>
      <c r="E172" s="2093"/>
    </row>
    <row r="173" s="2012" customFormat="1" spans="1:5">
      <c r="A173" s="2093"/>
      <c r="C173" s="2094"/>
      <c r="E173" s="2093"/>
    </row>
    <row r="174" s="2012" customFormat="1" spans="1:5">
      <c r="A174" s="2093"/>
      <c r="C174" s="2094"/>
      <c r="E174" s="2093"/>
    </row>
    <row r="175" s="2012" customFormat="1" spans="1:5">
      <c r="A175" s="2093"/>
      <c r="C175" s="2094"/>
      <c r="E175" s="2093"/>
    </row>
    <row r="176" s="2012" customFormat="1" spans="1:5">
      <c r="A176" s="2093"/>
      <c r="C176" s="2094"/>
      <c r="E176" s="2093"/>
    </row>
    <row r="177" s="2012" customFormat="1" spans="1:5">
      <c r="A177" s="2093"/>
      <c r="C177" s="2094"/>
      <c r="E177" s="2093"/>
    </row>
    <row r="178" s="2012" customFormat="1" spans="1:5">
      <c r="A178" s="2093"/>
      <c r="C178" s="2094"/>
      <c r="E178" s="2093"/>
    </row>
    <row r="179" s="2012" customFormat="1" spans="1:5">
      <c r="A179" s="2093"/>
      <c r="C179" s="2094"/>
      <c r="E179" s="2093"/>
    </row>
    <row r="180" s="2012" customFormat="1" spans="1:5">
      <c r="A180" s="2093"/>
      <c r="C180" s="2094"/>
      <c r="E180" s="2093"/>
    </row>
    <row r="181" s="2012" customFormat="1" spans="1:5">
      <c r="A181" s="2093"/>
      <c r="C181" s="2094"/>
      <c r="E181" s="2093"/>
    </row>
    <row r="182" s="2012" customFormat="1" spans="1:5">
      <c r="A182" s="2093"/>
      <c r="C182" s="2094"/>
      <c r="E182" s="2093"/>
    </row>
    <row r="183" s="2012" customFormat="1" spans="1:5">
      <c r="A183" s="2093"/>
      <c r="C183" s="2094"/>
      <c r="E183" s="2093"/>
    </row>
    <row r="184" s="2012" customFormat="1" spans="1:5">
      <c r="A184" s="2093"/>
      <c r="C184" s="2094"/>
      <c r="E184" s="2093"/>
    </row>
    <row r="185" s="2012" customFormat="1" spans="1:5">
      <c r="A185" s="2093"/>
      <c r="C185" s="2094"/>
      <c r="E185" s="2093"/>
    </row>
    <row r="186" s="2012" customFormat="1" spans="1:5">
      <c r="A186" s="2093"/>
      <c r="C186" s="2094"/>
      <c r="E186" s="2093"/>
    </row>
    <row r="187" s="2012" customFormat="1" spans="1:5">
      <c r="A187" s="2093"/>
      <c r="C187" s="2094"/>
      <c r="E187" s="2093"/>
    </row>
    <row r="188" s="2012" customFormat="1" spans="1:5">
      <c r="A188" s="2093"/>
      <c r="C188" s="2094"/>
      <c r="E188" s="2093"/>
    </row>
    <row r="189" s="2012" customFormat="1" spans="1:5">
      <c r="A189" s="2093"/>
      <c r="C189" s="2094"/>
      <c r="E189" s="2093"/>
    </row>
    <row r="190" s="2012" customFormat="1" spans="1:5">
      <c r="A190" s="2093"/>
      <c r="C190" s="2094"/>
      <c r="E190" s="2093"/>
    </row>
    <row r="191" s="2012" customFormat="1" spans="1:5">
      <c r="A191" s="2093"/>
      <c r="C191" s="2094"/>
      <c r="E191" s="2093"/>
    </row>
    <row r="192" s="2012" customFormat="1" spans="1:5">
      <c r="A192" s="2093"/>
      <c r="C192" s="2094"/>
      <c r="E192" s="2093"/>
    </row>
    <row r="193" s="2012" customFormat="1" spans="1:5">
      <c r="A193" s="2093"/>
      <c r="C193" s="2094"/>
      <c r="E193" s="2093"/>
    </row>
    <row r="194" s="2012" customFormat="1" spans="1:5">
      <c r="A194" s="2093"/>
      <c r="C194" s="2094"/>
      <c r="E194" s="2093"/>
    </row>
    <row r="195" s="2012" customFormat="1" spans="1:5">
      <c r="A195" s="2093"/>
      <c r="C195" s="2094"/>
      <c r="E195" s="2093"/>
    </row>
    <row r="196" s="2012" customFormat="1" spans="1:5">
      <c r="A196" s="2093"/>
      <c r="C196" s="2094"/>
      <c r="E196" s="2093"/>
    </row>
    <row r="197" s="2012" customFormat="1" spans="1:5">
      <c r="A197" s="2093"/>
      <c r="C197" s="2094"/>
      <c r="E197" s="2093"/>
    </row>
    <row r="198" s="2012" customFormat="1" spans="1:5">
      <c r="A198" s="2093"/>
      <c r="C198" s="2094"/>
      <c r="E198" s="2093"/>
    </row>
    <row r="199" s="2012" customFormat="1" spans="1:5">
      <c r="A199" s="2093"/>
      <c r="C199" s="2094"/>
      <c r="E199" s="2093"/>
    </row>
    <row r="200" s="2012" customFormat="1" spans="1:5">
      <c r="A200" s="2093"/>
      <c r="C200" s="2094"/>
      <c r="E200" s="2093"/>
    </row>
    <row r="201" s="2012" customFormat="1" spans="1:5">
      <c r="A201" s="2093"/>
      <c r="C201" s="2094"/>
      <c r="E201" s="2093"/>
    </row>
    <row r="202" s="2012" customFormat="1" spans="1:5">
      <c r="A202" s="2093"/>
      <c r="C202" s="2094"/>
      <c r="E202" s="2093"/>
    </row>
    <row r="203" s="2012" customFormat="1" spans="1:5">
      <c r="A203" s="2093"/>
      <c r="C203" s="2094"/>
      <c r="E203" s="2093"/>
    </row>
    <row r="204" s="2012" customFormat="1" spans="1:5">
      <c r="A204" s="2093"/>
      <c r="C204" s="2094"/>
      <c r="E204" s="2093"/>
    </row>
    <row r="205" s="2012" customFormat="1" spans="1:5">
      <c r="A205" s="2093"/>
      <c r="C205" s="2094"/>
      <c r="E205" s="2093"/>
    </row>
    <row r="206" s="2012" customFormat="1" spans="1:5">
      <c r="A206" s="2093"/>
      <c r="C206" s="2094"/>
      <c r="E206" s="2093"/>
    </row>
    <row r="207" s="2012" customFormat="1" spans="1:5">
      <c r="A207" s="2093"/>
      <c r="C207" s="2094"/>
      <c r="E207" s="2093"/>
    </row>
    <row r="208" s="2012" customFormat="1" spans="1:5">
      <c r="A208" s="2093"/>
      <c r="C208" s="2094"/>
      <c r="E208" s="2093"/>
    </row>
    <row r="209" s="2012" customFormat="1" spans="1:5">
      <c r="A209" s="2093"/>
      <c r="C209" s="2094"/>
      <c r="E209" s="2093"/>
    </row>
    <row r="210" s="2012" customFormat="1" spans="1:5">
      <c r="A210" s="2093"/>
      <c r="C210" s="2094"/>
      <c r="E210" s="2093"/>
    </row>
    <row r="211" s="2012" customFormat="1" spans="1:5">
      <c r="A211" s="2093"/>
      <c r="C211" s="2094"/>
      <c r="E211" s="2093"/>
    </row>
    <row r="212" s="2012" customFormat="1" spans="1:5">
      <c r="A212" s="2093"/>
      <c r="C212" s="2094"/>
      <c r="E212" s="2093"/>
    </row>
    <row r="213" s="2012" customFormat="1" spans="1:5">
      <c r="A213" s="2093"/>
      <c r="C213" s="2094"/>
      <c r="E213" s="2093"/>
    </row>
    <row r="214" s="2012" customFormat="1" spans="1:5">
      <c r="A214" s="2093"/>
      <c r="C214" s="2094"/>
      <c r="E214" s="2093"/>
    </row>
    <row r="215" s="2012" customFormat="1" spans="1:5">
      <c r="A215" s="2093"/>
      <c r="C215" s="2094"/>
      <c r="E215" s="2093"/>
    </row>
    <row r="216" s="2012" customFormat="1" spans="1:5">
      <c r="A216" s="2093"/>
      <c r="C216" s="2094"/>
      <c r="E216" s="2093"/>
    </row>
    <row r="217" s="2012" customFormat="1" spans="1:5">
      <c r="A217" s="2093"/>
      <c r="C217" s="2094"/>
      <c r="E217" s="2093"/>
    </row>
    <row r="218" s="2012" customFormat="1" spans="1:5">
      <c r="A218" s="2093"/>
      <c r="C218" s="2094"/>
      <c r="E218" s="2093"/>
    </row>
    <row r="219" s="2012" customFormat="1" spans="1:5">
      <c r="A219" s="2093"/>
      <c r="C219" s="2094"/>
      <c r="E219" s="2093"/>
    </row>
    <row r="220" s="2012" customFormat="1" spans="1:5">
      <c r="A220" s="2093"/>
      <c r="C220" s="2094"/>
      <c r="E220" s="2093"/>
    </row>
    <row r="221" s="2012" customFormat="1" spans="1:5">
      <c r="A221" s="2093"/>
      <c r="C221" s="2094"/>
      <c r="E221" s="2093"/>
    </row>
    <row r="222" s="2012" customFormat="1" spans="1:5">
      <c r="A222" s="2093"/>
      <c r="C222" s="2094"/>
      <c r="E222" s="2093"/>
    </row>
    <row r="223" s="2012" customFormat="1" spans="1:5">
      <c r="A223" s="2093"/>
      <c r="C223" s="2094"/>
      <c r="E223" s="2093"/>
    </row>
    <row r="224" s="2012" customFormat="1" spans="1:5">
      <c r="A224" s="2093"/>
      <c r="C224" s="2094"/>
      <c r="E224" s="2093"/>
    </row>
    <row r="225" s="2012" customFormat="1" spans="1:5">
      <c r="A225" s="2093"/>
      <c r="C225" s="2094"/>
      <c r="E225" s="2093"/>
    </row>
    <row r="226" s="2012" customFormat="1" spans="1:5">
      <c r="A226" s="2093"/>
      <c r="C226" s="2094"/>
      <c r="E226" s="2093"/>
    </row>
    <row r="227" s="2012" customFormat="1" spans="1:5">
      <c r="A227" s="2093"/>
      <c r="C227" s="2094"/>
      <c r="E227" s="2093"/>
    </row>
    <row r="228" s="2012" customFormat="1" spans="1:5">
      <c r="A228" s="2093"/>
      <c r="C228" s="2094"/>
      <c r="E228" s="2093"/>
    </row>
    <row r="229" s="2012" customFormat="1" spans="1:5">
      <c r="A229" s="2093"/>
      <c r="C229" s="2094"/>
      <c r="E229" s="2093"/>
    </row>
    <row r="230" s="2012" customFormat="1" spans="1:5">
      <c r="A230" s="2093"/>
      <c r="C230" s="2094"/>
      <c r="E230" s="2093"/>
    </row>
    <row r="231" s="2012" customFormat="1" spans="1:5">
      <c r="A231" s="2093"/>
      <c r="C231" s="2094"/>
      <c r="E231" s="2093"/>
    </row>
    <row r="232" s="2012" customFormat="1" spans="1:5">
      <c r="A232" s="2093"/>
      <c r="C232" s="2094"/>
      <c r="E232" s="2093"/>
    </row>
    <row r="233" s="2012" customFormat="1" spans="1:5">
      <c r="A233" s="2093"/>
      <c r="C233" s="2094"/>
      <c r="E233" s="2093"/>
    </row>
    <row r="234" s="2012" customFormat="1" spans="1:5">
      <c r="A234" s="2093"/>
      <c r="C234" s="2094"/>
      <c r="E234" s="2093"/>
    </row>
    <row r="235" s="2012" customFormat="1" spans="1:5">
      <c r="A235" s="2093"/>
      <c r="C235" s="2094"/>
      <c r="E235" s="2093"/>
    </row>
    <row r="236" s="2012" customFormat="1" spans="1:5">
      <c r="A236" s="2093"/>
      <c r="C236" s="2094"/>
      <c r="E236" s="2093"/>
    </row>
    <row r="237" s="2012" customFormat="1" spans="1:5">
      <c r="A237" s="2093"/>
      <c r="C237" s="2094"/>
      <c r="E237" s="2093"/>
    </row>
    <row r="238" s="2012" customFormat="1" spans="1:5">
      <c r="A238" s="2093"/>
      <c r="C238" s="2094"/>
      <c r="E238" s="2093"/>
    </row>
    <row r="239" s="2012" customFormat="1" spans="1:5">
      <c r="A239" s="2093"/>
      <c r="C239" s="2094"/>
      <c r="E239" s="2093"/>
    </row>
    <row r="240" s="2012" customFormat="1" spans="1:5">
      <c r="A240" s="2093"/>
      <c r="C240" s="2094"/>
      <c r="E240" s="2093"/>
    </row>
    <row r="241" s="2012" customFormat="1" spans="1:5">
      <c r="A241" s="2093"/>
      <c r="C241" s="2094"/>
      <c r="E241" s="2093"/>
    </row>
    <row r="242" s="2012" customFormat="1" spans="1:5">
      <c r="A242" s="2093"/>
      <c r="C242" s="2094"/>
      <c r="E242" s="2093"/>
    </row>
    <row r="243" s="2012" customFormat="1" spans="1:5">
      <c r="A243" s="2093"/>
      <c r="C243" s="2094"/>
      <c r="E243" s="2093"/>
    </row>
    <row r="244" s="2012" customFormat="1" spans="1:5">
      <c r="A244" s="2093"/>
      <c r="C244" s="2094"/>
      <c r="E244" s="2093"/>
    </row>
    <row r="245" s="2012" customFormat="1" spans="1:5">
      <c r="A245" s="2093"/>
      <c r="C245" s="2094"/>
      <c r="E245" s="2093"/>
    </row>
    <row r="246" s="2012" customFormat="1" spans="1:5">
      <c r="A246" s="2093"/>
      <c r="C246" s="2094"/>
      <c r="E246" s="2093"/>
    </row>
    <row r="247" s="2012" customFormat="1" spans="1:5">
      <c r="A247" s="2093"/>
      <c r="C247" s="2094"/>
      <c r="E247" s="2093"/>
    </row>
    <row r="248" s="2012" customFormat="1" spans="1:5">
      <c r="A248" s="2093"/>
      <c r="C248" s="2094"/>
      <c r="E248" s="2093"/>
    </row>
    <row r="249" s="2012" customFormat="1" spans="1:5">
      <c r="A249" s="2093"/>
      <c r="C249" s="2094"/>
      <c r="E249" s="2093"/>
    </row>
    <row r="250" s="2012" customFormat="1" spans="1:5">
      <c r="A250" s="2093"/>
      <c r="C250" s="2094"/>
      <c r="E250" s="2093"/>
    </row>
    <row r="251" s="2012" customFormat="1" spans="1:5">
      <c r="A251" s="2093"/>
      <c r="C251" s="2094"/>
      <c r="E251" s="2093"/>
    </row>
    <row r="252" s="2012" customFormat="1" spans="1:5">
      <c r="A252" s="2093"/>
      <c r="C252" s="2094"/>
      <c r="E252" s="2093"/>
    </row>
    <row r="253" s="2012" customFormat="1" spans="1:5">
      <c r="A253" s="2093"/>
      <c r="C253" s="2094"/>
      <c r="E253" s="2093"/>
    </row>
    <row r="254" s="2012" customFormat="1" spans="1:5">
      <c r="A254" s="2093"/>
      <c r="C254" s="2094"/>
      <c r="E254" s="2093"/>
    </row>
    <row r="255" s="2012" customFormat="1" spans="1:5">
      <c r="A255" s="2093"/>
      <c r="C255" s="2094"/>
      <c r="E255" s="2093"/>
    </row>
    <row r="256" s="2012" customFormat="1" spans="1:5">
      <c r="A256" s="2093"/>
      <c r="C256" s="2094"/>
      <c r="E256" s="2093"/>
    </row>
    <row r="257" s="2012" customFormat="1" spans="1:5">
      <c r="A257" s="2093"/>
      <c r="C257" s="2094"/>
      <c r="E257" s="2093"/>
    </row>
    <row r="258" s="2012" customFormat="1" spans="1:5">
      <c r="A258" s="2093"/>
      <c r="C258" s="2094"/>
      <c r="E258" s="2093"/>
    </row>
    <row r="259" s="2012" customFormat="1" spans="1:5">
      <c r="A259" s="2093"/>
      <c r="C259" s="2094"/>
      <c r="E259" s="2093"/>
    </row>
    <row r="260" s="2012" customFormat="1" spans="1:5">
      <c r="A260" s="2093"/>
      <c r="C260" s="2094"/>
      <c r="E260" s="2093"/>
    </row>
    <row r="261" s="2012" customFormat="1" spans="1:5">
      <c r="A261" s="2093"/>
      <c r="C261" s="2094"/>
      <c r="E261" s="2093"/>
    </row>
    <row r="262" s="2012" customFormat="1" spans="1:5">
      <c r="A262" s="2093"/>
      <c r="C262" s="2094"/>
      <c r="E262" s="2093"/>
    </row>
    <row r="263" s="2012" customFormat="1" spans="1:5">
      <c r="A263" s="2093"/>
      <c r="C263" s="2094"/>
      <c r="E263" s="2093"/>
    </row>
    <row r="264" s="2012" customFormat="1" spans="1:5">
      <c r="A264" s="2093"/>
      <c r="C264" s="2094"/>
      <c r="E264" s="2093"/>
    </row>
    <row r="265" s="2012" customFormat="1" spans="1:5">
      <c r="A265" s="2093"/>
      <c r="C265" s="2094"/>
      <c r="E265" s="2093"/>
    </row>
    <row r="266" s="2012" customFormat="1" spans="1:5">
      <c r="A266" s="2093"/>
      <c r="C266" s="2094"/>
      <c r="E266" s="2093"/>
    </row>
    <row r="267" s="2012" customFormat="1" spans="1:5">
      <c r="A267" s="2093"/>
      <c r="C267" s="2094"/>
      <c r="E267" s="2093"/>
    </row>
    <row r="268" s="2012" customFormat="1" spans="1:5">
      <c r="A268" s="2093"/>
      <c r="C268" s="2094"/>
      <c r="E268" s="2093"/>
    </row>
    <row r="269" s="2012" customFormat="1" spans="1:5">
      <c r="A269" s="2093"/>
      <c r="C269" s="2094"/>
      <c r="E269" s="2093"/>
    </row>
    <row r="270" s="2012" customFormat="1" spans="1:5">
      <c r="A270" s="2093"/>
      <c r="C270" s="2094"/>
      <c r="E270" s="2093"/>
    </row>
    <row r="271" s="2012" customFormat="1" spans="1:5">
      <c r="A271" s="2093"/>
      <c r="C271" s="2094"/>
      <c r="E271" s="2093"/>
    </row>
    <row r="272" s="2012" customFormat="1" spans="1:5">
      <c r="A272" s="2093"/>
      <c r="C272" s="2094"/>
      <c r="E272" s="2093"/>
    </row>
    <row r="273" s="2012" customFormat="1" spans="1:5">
      <c r="A273" s="2093"/>
      <c r="C273" s="2094"/>
      <c r="E273" s="2093"/>
    </row>
    <row r="274" s="2012" customFormat="1" spans="1:5">
      <c r="A274" s="2093"/>
      <c r="C274" s="2094"/>
      <c r="E274" s="2093"/>
    </row>
    <row r="275" s="2012" customFormat="1" spans="1:5">
      <c r="A275" s="2093"/>
      <c r="C275" s="2094"/>
      <c r="E275" s="2093"/>
    </row>
    <row r="276" s="2012" customFormat="1" spans="1:5">
      <c r="A276" s="2093"/>
      <c r="C276" s="2094"/>
      <c r="E276" s="2093"/>
    </row>
    <row r="277" s="2012" customFormat="1" spans="1:5">
      <c r="A277" s="2093"/>
      <c r="C277" s="2094"/>
      <c r="E277" s="2093"/>
    </row>
    <row r="278" s="2012" customFormat="1" spans="1:5">
      <c r="A278" s="2093"/>
      <c r="C278" s="2094"/>
      <c r="E278" s="2093"/>
    </row>
    <row r="279" s="2012" customFormat="1" spans="1:5">
      <c r="A279" s="2093"/>
      <c r="C279" s="2094"/>
      <c r="E279" s="2093"/>
    </row>
    <row r="280" s="2012" customFormat="1" spans="1:5">
      <c r="A280" s="2093"/>
      <c r="C280" s="2094"/>
      <c r="E280" s="2093"/>
    </row>
    <row r="281" s="2012" customFormat="1" spans="1:5">
      <c r="A281" s="2093"/>
      <c r="C281" s="2094"/>
      <c r="E281" s="2093"/>
    </row>
    <row r="282" s="2012" customFormat="1" spans="1:5">
      <c r="A282" s="2093"/>
      <c r="C282" s="2094"/>
      <c r="E282" s="2093"/>
    </row>
    <row r="283" s="2012" customFormat="1" spans="1:5">
      <c r="A283" s="2093"/>
      <c r="C283" s="2094"/>
      <c r="E283" s="2093"/>
    </row>
    <row r="284" s="2012" customFormat="1" spans="1:5">
      <c r="A284" s="2093"/>
      <c r="C284" s="2094"/>
      <c r="E284" s="2093"/>
    </row>
    <row r="285" s="2012" customFormat="1" spans="1:5">
      <c r="A285" s="2093"/>
      <c r="C285" s="2094"/>
      <c r="E285" s="2093"/>
    </row>
    <row r="286" s="2012" customFormat="1" spans="1:5">
      <c r="A286" s="2093"/>
      <c r="C286" s="2094"/>
      <c r="E286" s="2093"/>
    </row>
    <row r="287" s="2012" customFormat="1" spans="1:5">
      <c r="A287" s="2093"/>
      <c r="C287" s="2094"/>
      <c r="E287" s="2093"/>
    </row>
    <row r="288" s="2012" customFormat="1" spans="1:5">
      <c r="A288" s="2093"/>
      <c r="C288" s="2094"/>
      <c r="E288" s="2093"/>
    </row>
    <row r="289" s="2012" customFormat="1" spans="1:5">
      <c r="A289" s="2093"/>
      <c r="C289" s="2094"/>
      <c r="E289" s="2093"/>
    </row>
    <row r="290" s="2012" customFormat="1" spans="1:5">
      <c r="A290" s="2093"/>
      <c r="C290" s="2094"/>
      <c r="E290" s="2093"/>
    </row>
    <row r="291" s="2012" customFormat="1" spans="1:5">
      <c r="A291" s="2093"/>
      <c r="C291" s="2094"/>
      <c r="E291" s="2093"/>
    </row>
    <row r="292" s="2012" customFormat="1" spans="1:5">
      <c r="A292" s="2093"/>
      <c r="C292" s="2094"/>
      <c r="E292" s="2093"/>
    </row>
    <row r="293" s="2012" customFormat="1" spans="1:5">
      <c r="A293" s="2093"/>
      <c r="C293" s="2094"/>
      <c r="E293" s="2093"/>
    </row>
    <row r="294" s="2012" customFormat="1" spans="1:5">
      <c r="A294" s="2093"/>
      <c r="C294" s="2094"/>
      <c r="E294" s="2093"/>
    </row>
    <row r="295" s="2012" customFormat="1" spans="1:5">
      <c r="A295" s="2093"/>
      <c r="C295" s="2094"/>
      <c r="E295" s="2093"/>
    </row>
    <row r="296" s="2012" customFormat="1" spans="1:5">
      <c r="A296" s="2093"/>
      <c r="C296" s="2094"/>
      <c r="E296" s="2093"/>
    </row>
    <row r="297" s="2012" customFormat="1" spans="1:5">
      <c r="A297" s="2093"/>
      <c r="C297" s="2094"/>
      <c r="E297" s="2093"/>
    </row>
    <row r="298" s="2012" customFormat="1" spans="1:5">
      <c r="A298" s="2093"/>
      <c r="C298" s="2094"/>
      <c r="E298" s="2093"/>
    </row>
    <row r="299" s="2012" customFormat="1" spans="1:5">
      <c r="A299" s="2093"/>
      <c r="C299" s="2094"/>
      <c r="E299" s="2093"/>
    </row>
    <row r="300" s="2012" customFormat="1" spans="1:5">
      <c r="A300" s="2093"/>
      <c r="C300" s="2094"/>
      <c r="E300" s="2093"/>
    </row>
    <row r="301" s="2012" customFormat="1" spans="1:5">
      <c r="A301" s="2093"/>
      <c r="C301" s="2094"/>
      <c r="E301" s="2093"/>
    </row>
    <row r="302" s="2012" customFormat="1" spans="1:5">
      <c r="A302" s="2093"/>
      <c r="C302" s="2094"/>
      <c r="E302" s="2093"/>
    </row>
    <row r="303" s="2012" customFormat="1" spans="1:5">
      <c r="A303" s="2093"/>
      <c r="C303" s="2094"/>
      <c r="E303" s="2093"/>
    </row>
    <row r="304" s="2012" customFormat="1" spans="1:5">
      <c r="A304" s="2093"/>
      <c r="C304" s="2094"/>
      <c r="E304" s="2093"/>
    </row>
    <row r="305" s="2012" customFormat="1" spans="1:5">
      <c r="A305" s="2093"/>
      <c r="C305" s="2094"/>
      <c r="E305" s="2093"/>
    </row>
    <row r="306" s="2012" customFormat="1" spans="1:5">
      <c r="A306" s="2093"/>
      <c r="C306" s="2094"/>
      <c r="E306" s="2093"/>
    </row>
    <row r="307" s="2012" customFormat="1" spans="1:5">
      <c r="A307" s="2093"/>
      <c r="C307" s="2094"/>
      <c r="E307" s="2093"/>
    </row>
    <row r="308" s="2012" customFormat="1" spans="1:5">
      <c r="A308" s="2093"/>
      <c r="C308" s="2094"/>
      <c r="E308" s="2093"/>
    </row>
    <row r="309" s="2012" customFormat="1" spans="1:5">
      <c r="A309" s="2093"/>
      <c r="C309" s="2094"/>
      <c r="E309" s="2093"/>
    </row>
    <row r="310" s="2012" customFormat="1" spans="1:5">
      <c r="A310" s="2093"/>
      <c r="C310" s="2094"/>
      <c r="E310" s="2093"/>
    </row>
    <row r="311" s="2012" customFormat="1" spans="1:5">
      <c r="A311" s="2093"/>
      <c r="C311" s="2094"/>
      <c r="E311" s="2093"/>
    </row>
    <row r="312" s="2012" customFormat="1" spans="1:5">
      <c r="A312" s="2093"/>
      <c r="C312" s="2094"/>
      <c r="E312" s="2093"/>
    </row>
    <row r="313" s="2012" customFormat="1" spans="1:5">
      <c r="A313" s="2093"/>
      <c r="C313" s="2094"/>
      <c r="E313" s="2093"/>
    </row>
    <row r="314" s="2012" customFormat="1" spans="1:5">
      <c r="A314" s="2093"/>
      <c r="C314" s="2094"/>
      <c r="E314" s="2093"/>
    </row>
    <row r="315" s="2012" customFormat="1" spans="1:5">
      <c r="A315" s="2093"/>
      <c r="C315" s="2094"/>
      <c r="E315" s="2093"/>
    </row>
    <row r="316" s="2012" customFormat="1" spans="1:5">
      <c r="A316" s="2093"/>
      <c r="C316" s="2094"/>
      <c r="E316" s="2093"/>
    </row>
    <row r="317" s="2012" customFormat="1" spans="1:5">
      <c r="A317" s="2093"/>
      <c r="C317" s="2094"/>
      <c r="E317" s="2093"/>
    </row>
    <row r="318" s="2012" customFormat="1" spans="1:5">
      <c r="A318" s="2093"/>
      <c r="C318" s="2094"/>
      <c r="E318" s="2093"/>
    </row>
    <row r="319" s="2012" customFormat="1" spans="1:5">
      <c r="A319" s="2093"/>
      <c r="C319" s="2094"/>
      <c r="E319" s="2093"/>
    </row>
    <row r="320" s="2012" customFormat="1" spans="1:5">
      <c r="A320" s="2093"/>
      <c r="C320" s="2094"/>
      <c r="E320" s="2093"/>
    </row>
    <row r="321" s="2012" customFormat="1" spans="1:5">
      <c r="A321" s="2093"/>
      <c r="C321" s="2094"/>
      <c r="E321" s="2093"/>
    </row>
    <row r="322" s="2012" customFormat="1" spans="1:5">
      <c r="A322" s="2093"/>
      <c r="C322" s="2094"/>
      <c r="E322" s="2093"/>
    </row>
    <row r="323" s="2012" customFormat="1" spans="1:5">
      <c r="A323" s="2093"/>
      <c r="C323" s="2094"/>
      <c r="E323" s="2093"/>
    </row>
    <row r="324" s="2012" customFormat="1" spans="1:5">
      <c r="A324" s="2093"/>
      <c r="C324" s="2094"/>
      <c r="E324" s="2093"/>
    </row>
    <row r="325" s="2012" customFormat="1" spans="1:5">
      <c r="A325" s="2093"/>
      <c r="C325" s="2094"/>
      <c r="E325" s="2093"/>
    </row>
    <row r="326" s="2012" customFormat="1" spans="1:5">
      <c r="A326" s="2093"/>
      <c r="C326" s="2094"/>
      <c r="E326" s="2093"/>
    </row>
    <row r="327" s="2012" customFormat="1" spans="1:5">
      <c r="A327" s="2093"/>
      <c r="C327" s="2094"/>
      <c r="E327" s="2093"/>
    </row>
    <row r="328" s="2012" customFormat="1" spans="1:5">
      <c r="A328" s="2093"/>
      <c r="C328" s="2094"/>
      <c r="E328" s="2093"/>
    </row>
    <row r="329" s="2012" customFormat="1" spans="1:5">
      <c r="A329" s="2093"/>
      <c r="C329" s="2094"/>
      <c r="E329" s="2093"/>
    </row>
    <row r="330" s="2012" customFormat="1" spans="1:5">
      <c r="A330" s="2093"/>
      <c r="C330" s="2094"/>
      <c r="E330" s="2093"/>
    </row>
    <row r="331" s="2012" customFormat="1" spans="1:5">
      <c r="A331" s="2093"/>
      <c r="C331" s="2094"/>
      <c r="E331" s="2093"/>
    </row>
    <row r="332" s="2012" customFormat="1" spans="1:5">
      <c r="A332" s="2093"/>
      <c r="C332" s="2094"/>
      <c r="E332" s="2093"/>
    </row>
    <row r="333" s="2012" customFormat="1" spans="1:5">
      <c r="A333" s="2093"/>
      <c r="C333" s="2094"/>
      <c r="E333" s="2093"/>
    </row>
    <row r="334" s="2012" customFormat="1" spans="1:5">
      <c r="A334" s="2093"/>
      <c r="C334" s="2094"/>
      <c r="E334" s="2093"/>
    </row>
    <row r="335" s="2012" customFormat="1" spans="1:5">
      <c r="A335" s="2093"/>
      <c r="C335" s="2094"/>
      <c r="E335" s="2093"/>
    </row>
    <row r="336" s="2012" customFormat="1" spans="1:5">
      <c r="A336" s="2093"/>
      <c r="C336" s="2094"/>
      <c r="E336" s="2093"/>
    </row>
    <row r="337" s="2012" customFormat="1" spans="1:5">
      <c r="A337" s="2093"/>
      <c r="C337" s="2094"/>
      <c r="E337" s="2093"/>
    </row>
    <row r="338" s="2012" customFormat="1" spans="1:5">
      <c r="A338" s="2093"/>
      <c r="C338" s="2094"/>
      <c r="E338" s="2093"/>
    </row>
    <row r="339" s="2012" customFormat="1" spans="1:5">
      <c r="A339" s="2093"/>
      <c r="C339" s="2094"/>
      <c r="E339" s="2093"/>
    </row>
    <row r="340" s="2012" customFormat="1" spans="1:5">
      <c r="A340" s="2093"/>
      <c r="C340" s="2094"/>
      <c r="E340" s="2093"/>
    </row>
    <row r="341" s="2012" customFormat="1" spans="1:5">
      <c r="A341" s="2093"/>
      <c r="C341" s="2094"/>
      <c r="E341" s="2093"/>
    </row>
    <row r="342" s="2012" customFormat="1" spans="1:5">
      <c r="A342" s="2093"/>
      <c r="C342" s="2094"/>
      <c r="E342" s="2093"/>
    </row>
    <row r="343" s="2012" customFormat="1" spans="1:5">
      <c r="A343" s="2093"/>
      <c r="C343" s="2094"/>
      <c r="E343" s="2093"/>
    </row>
    <row r="344" s="2012" customFormat="1" spans="1:5">
      <c r="A344" s="2093"/>
      <c r="C344" s="2094"/>
      <c r="E344" s="2093"/>
    </row>
    <row r="345" s="2012" customFormat="1" spans="1:5">
      <c r="A345" s="2093"/>
      <c r="C345" s="2094"/>
      <c r="E345" s="2093"/>
    </row>
    <row r="346" s="2012" customFormat="1" spans="1:5">
      <c r="A346" s="2093"/>
      <c r="C346" s="2094"/>
      <c r="E346" s="2093"/>
    </row>
    <row r="347" s="2012" customFormat="1" spans="1:5">
      <c r="A347" s="2093"/>
      <c r="C347" s="2094"/>
      <c r="E347" s="2093"/>
    </row>
    <row r="348" s="2012" customFormat="1" spans="1:5">
      <c r="A348" s="2093"/>
      <c r="C348" s="2094"/>
      <c r="E348" s="2093"/>
    </row>
    <row r="349" s="2012" customFormat="1" spans="1:5">
      <c r="A349" s="2093"/>
      <c r="C349" s="2094"/>
      <c r="E349" s="2093"/>
    </row>
    <row r="350" s="2012" customFormat="1" spans="1:5">
      <c r="A350" s="2093"/>
      <c r="C350" s="2094"/>
      <c r="E350" s="2093"/>
    </row>
    <row r="351" s="2012" customFormat="1" spans="1:5">
      <c r="A351" s="2093"/>
      <c r="C351" s="2094"/>
      <c r="E351" s="2093"/>
    </row>
    <row r="352" s="2012" customFormat="1" spans="1:5">
      <c r="A352" s="2093"/>
      <c r="C352" s="2094"/>
      <c r="E352" s="2093"/>
    </row>
    <row r="353" s="2012" customFormat="1" spans="1:5">
      <c r="A353" s="2093"/>
      <c r="C353" s="2094"/>
      <c r="E353" s="2093"/>
    </row>
    <row r="354" s="2012" customFormat="1" spans="1:5">
      <c r="A354" s="2093"/>
      <c r="C354" s="2094"/>
      <c r="E354" s="2093"/>
    </row>
    <row r="355" s="2012" customFormat="1" spans="1:5">
      <c r="A355" s="2093"/>
      <c r="C355" s="2094"/>
      <c r="E355" s="2093"/>
    </row>
    <row r="356" s="2012" customFormat="1" spans="1:5">
      <c r="A356" s="2093"/>
      <c r="C356" s="2094"/>
      <c r="E356" s="2093"/>
    </row>
    <row r="357" s="2012" customFormat="1" spans="1:5">
      <c r="A357" s="2093"/>
      <c r="C357" s="2094"/>
      <c r="E357" s="2093"/>
    </row>
    <row r="358" s="2012" customFormat="1" spans="1:5">
      <c r="A358" s="2093"/>
      <c r="C358" s="2094"/>
      <c r="E358" s="2093"/>
    </row>
    <row r="359" s="2012" customFormat="1" spans="1:5">
      <c r="A359" s="2093"/>
      <c r="C359" s="2094"/>
      <c r="E359" s="2093"/>
    </row>
    <row r="360" s="2012" customFormat="1" spans="1:5">
      <c r="A360" s="2093"/>
      <c r="C360" s="2094"/>
      <c r="E360" s="2093"/>
    </row>
    <row r="361" s="2012" customFormat="1" spans="1:5">
      <c r="A361" s="2093"/>
      <c r="C361" s="2094"/>
      <c r="E361" s="2093"/>
    </row>
    <row r="362" s="2012" customFormat="1" spans="1:5">
      <c r="A362" s="2093"/>
      <c r="C362" s="2094"/>
      <c r="E362" s="2093"/>
    </row>
    <row r="363" s="2012" customFormat="1" spans="1:5">
      <c r="A363" s="2093"/>
      <c r="C363" s="2094"/>
      <c r="E363" s="2093"/>
    </row>
    <row r="364" s="2012" customFormat="1" spans="1:5">
      <c r="A364" s="2093"/>
      <c r="C364" s="2094"/>
      <c r="E364" s="2093"/>
    </row>
    <row r="365" s="2012" customFormat="1" spans="1:5">
      <c r="A365" s="2093"/>
      <c r="C365" s="2094"/>
      <c r="E365" s="2093"/>
    </row>
    <row r="366" s="2012" customFormat="1" spans="1:5">
      <c r="A366" s="2093"/>
      <c r="C366" s="2094"/>
      <c r="E366" s="2093"/>
    </row>
    <row r="367" s="2012" customFormat="1" spans="1:5">
      <c r="A367" s="2093"/>
      <c r="C367" s="2094"/>
      <c r="E367" s="2093"/>
    </row>
    <row r="368" s="2012" customFormat="1" spans="1:5">
      <c r="A368" s="2093"/>
      <c r="C368" s="2094"/>
      <c r="E368" s="2093"/>
    </row>
    <row r="369" s="2012" customFormat="1" spans="1:5">
      <c r="A369" s="2093"/>
      <c r="C369" s="2094"/>
      <c r="E369" s="2093"/>
    </row>
    <row r="370" s="2012" customFormat="1" spans="1:5">
      <c r="A370" s="2093"/>
      <c r="C370" s="2094"/>
      <c r="E370" s="2093"/>
    </row>
    <row r="371" s="2012" customFormat="1" spans="1:5">
      <c r="A371" s="2093"/>
      <c r="C371" s="2094"/>
      <c r="E371" s="2093"/>
    </row>
    <row r="372" s="2012" customFormat="1" spans="1:5">
      <c r="A372" s="2093"/>
      <c r="C372" s="2094"/>
      <c r="E372" s="2093"/>
    </row>
    <row r="373" s="2012" customFormat="1" spans="1:5">
      <c r="A373" s="2093"/>
      <c r="C373" s="2094"/>
      <c r="E373" s="2093"/>
    </row>
    <row r="374" s="2012" customFormat="1" spans="1:5">
      <c r="A374" s="2093"/>
      <c r="C374" s="2094"/>
      <c r="E374" s="2093"/>
    </row>
    <row r="375" s="2012" customFormat="1" spans="1:5">
      <c r="A375" s="2093"/>
      <c r="C375" s="2094"/>
      <c r="E375" s="2093"/>
    </row>
    <row r="376" s="2012" customFormat="1" spans="1:5">
      <c r="A376" s="2093"/>
      <c r="C376" s="2094"/>
      <c r="E376" s="2093"/>
    </row>
    <row r="377" s="2012" customFormat="1" spans="1:5">
      <c r="A377" s="2093"/>
      <c r="C377" s="2094"/>
      <c r="E377" s="2093"/>
    </row>
    <row r="378" s="2012" customFormat="1" spans="1:5">
      <c r="A378" s="2093"/>
      <c r="C378" s="2094"/>
      <c r="E378" s="2093"/>
    </row>
    <row r="379" s="2012" customFormat="1" spans="1:5">
      <c r="A379" s="2093"/>
      <c r="C379" s="2094"/>
      <c r="E379" s="2093"/>
    </row>
    <row r="380" s="2012" customFormat="1" spans="1:5">
      <c r="A380" s="2093"/>
      <c r="C380" s="2094"/>
      <c r="E380" s="2093"/>
    </row>
    <row r="381" s="2012" customFormat="1" spans="1:5">
      <c r="A381" s="2093"/>
      <c r="C381" s="2094"/>
      <c r="E381" s="2093"/>
    </row>
    <row r="382" s="2012" customFormat="1" spans="1:5">
      <c r="A382" s="2093"/>
      <c r="C382" s="2094"/>
      <c r="E382" s="2093"/>
    </row>
    <row r="383" s="2012" customFormat="1" spans="1:5">
      <c r="A383" s="2093"/>
      <c r="C383" s="2094"/>
      <c r="E383" s="2093"/>
    </row>
    <row r="384" s="2012" customFormat="1" spans="1:5">
      <c r="A384" s="2093"/>
      <c r="C384" s="2094"/>
      <c r="E384" s="2093"/>
    </row>
    <row r="385" s="2012" customFormat="1" spans="1:5">
      <c r="A385" s="2093"/>
      <c r="C385" s="2094"/>
      <c r="E385" s="2093"/>
    </row>
    <row r="386" s="2012" customFormat="1" spans="1:5">
      <c r="A386" s="2093"/>
      <c r="C386" s="2094"/>
      <c r="E386" s="2093"/>
    </row>
    <row r="387" s="2012" customFormat="1" spans="1:5">
      <c r="A387" s="2093"/>
      <c r="C387" s="2094"/>
      <c r="E387" s="2093"/>
    </row>
    <row r="388" s="2012" customFormat="1" spans="1:5">
      <c r="A388" s="2093"/>
      <c r="C388" s="2094"/>
      <c r="E388" s="2093"/>
    </row>
    <row r="389" s="2012" customFormat="1" spans="1:5">
      <c r="A389" s="2093"/>
      <c r="C389" s="2094"/>
      <c r="E389" s="2093"/>
    </row>
    <row r="390" s="2012" customFormat="1" spans="1:5">
      <c r="A390" s="2093"/>
      <c r="C390" s="2094"/>
      <c r="E390" s="2093"/>
    </row>
    <row r="391" s="2012" customFormat="1" spans="1:5">
      <c r="A391" s="2093"/>
      <c r="C391" s="2094"/>
      <c r="E391" s="2093"/>
    </row>
    <row r="392" s="2012" customFormat="1" spans="1:5">
      <c r="A392" s="2093"/>
      <c r="C392" s="2094"/>
      <c r="E392" s="2093"/>
    </row>
    <row r="393" s="2012" customFormat="1" spans="1:5">
      <c r="A393" s="2093"/>
      <c r="C393" s="2094"/>
      <c r="E393" s="2093"/>
    </row>
    <row r="394" s="2012" customFormat="1" spans="1:5">
      <c r="A394" s="2093"/>
      <c r="C394" s="2094"/>
      <c r="E394" s="2093"/>
    </row>
    <row r="395" s="2012" customFormat="1" spans="1:5">
      <c r="A395" s="2093"/>
      <c r="C395" s="2094"/>
      <c r="E395" s="2093"/>
    </row>
    <row r="396" s="2012" customFormat="1" spans="1:5">
      <c r="A396" s="2093"/>
      <c r="C396" s="2094"/>
      <c r="E396" s="2093"/>
    </row>
    <row r="397" s="2012" customFormat="1" spans="1:5">
      <c r="A397" s="2093"/>
      <c r="C397" s="2094"/>
      <c r="E397" s="2093"/>
    </row>
    <row r="398" s="2012" customFormat="1" spans="1:5">
      <c r="A398" s="2093"/>
      <c r="C398" s="2094"/>
      <c r="E398" s="2093"/>
    </row>
    <row r="399" s="2012" customFormat="1" spans="1:5">
      <c r="A399" s="2093"/>
      <c r="C399" s="2094"/>
      <c r="E399" s="2093"/>
    </row>
    <row r="400" s="2012" customFormat="1" spans="1:5">
      <c r="A400" s="2093"/>
      <c r="C400" s="2094"/>
      <c r="E400" s="2093"/>
    </row>
    <row r="401" s="2012" customFormat="1" spans="1:5">
      <c r="A401" s="2093"/>
      <c r="C401" s="2094"/>
      <c r="E401" s="2093"/>
    </row>
    <row r="402" s="2012" customFormat="1" spans="1:5">
      <c r="A402" s="2093"/>
      <c r="C402" s="2094"/>
      <c r="E402" s="2093"/>
    </row>
    <row r="403" s="2012" customFormat="1" spans="1:5">
      <c r="A403" s="2093"/>
      <c r="C403" s="2094"/>
      <c r="E403" s="2093"/>
    </row>
    <row r="404" s="2012" customFormat="1" spans="1:5">
      <c r="A404" s="2093"/>
      <c r="C404" s="2094"/>
      <c r="E404" s="2093"/>
    </row>
    <row r="405" s="2012" customFormat="1" spans="1:5">
      <c r="A405" s="2093"/>
      <c r="C405" s="2094"/>
      <c r="E405" s="2093"/>
    </row>
    <row r="406" s="2012" customFormat="1" spans="1:5">
      <c r="A406" s="2093"/>
      <c r="C406" s="2094"/>
      <c r="E406" s="2093"/>
    </row>
    <row r="407" s="2012" customFormat="1" spans="1:5">
      <c r="A407" s="2093"/>
      <c r="C407" s="2094"/>
      <c r="E407" s="2093"/>
    </row>
    <row r="408" s="2012" customFormat="1" spans="1:5">
      <c r="A408" s="2093"/>
      <c r="C408" s="2094"/>
      <c r="E408" s="2093"/>
    </row>
    <row r="409" s="2012" customFormat="1" spans="1:5">
      <c r="A409" s="2093"/>
      <c r="C409" s="2094"/>
      <c r="E409" s="2093"/>
    </row>
    <row r="410" s="2012" customFormat="1" spans="1:5">
      <c r="A410" s="2093"/>
      <c r="C410" s="2094"/>
      <c r="E410" s="2093"/>
    </row>
    <row r="411" s="2012" customFormat="1" spans="1:5">
      <c r="A411" s="2093"/>
      <c r="C411" s="2094"/>
      <c r="E411" s="2093"/>
    </row>
    <row r="412" s="2012" customFormat="1" spans="1:5">
      <c r="A412" s="2093"/>
      <c r="C412" s="2094"/>
      <c r="E412" s="2093"/>
    </row>
    <row r="413" s="2012" customFormat="1" spans="1:5">
      <c r="A413" s="2093"/>
      <c r="C413" s="2094"/>
      <c r="E413" s="2093"/>
    </row>
    <row r="414" s="2012" customFormat="1" spans="1:5">
      <c r="A414" s="2093"/>
      <c r="C414" s="2094"/>
      <c r="E414" s="2093"/>
    </row>
    <row r="415" s="2012" customFormat="1" spans="1:5">
      <c r="A415" s="2093"/>
      <c r="C415" s="2094"/>
      <c r="E415" s="2093"/>
    </row>
    <row r="416" s="2012" customFormat="1" spans="1:5">
      <c r="A416" s="2093"/>
      <c r="C416" s="2094"/>
      <c r="E416" s="2093"/>
    </row>
    <row r="417" s="2012" customFormat="1" spans="1:5">
      <c r="A417" s="2093"/>
      <c r="C417" s="2094"/>
      <c r="E417" s="2093"/>
    </row>
    <row r="418" s="2012" customFormat="1" spans="1:5">
      <c r="A418" s="2093"/>
      <c r="C418" s="2094"/>
      <c r="E418" s="2093"/>
    </row>
    <row r="419" s="2012" customFormat="1" spans="1:5">
      <c r="A419" s="2093"/>
      <c r="C419" s="2094"/>
      <c r="E419" s="2093"/>
    </row>
    <row r="420" s="2012" customFormat="1" spans="1:5">
      <c r="A420" s="2093"/>
      <c r="C420" s="2094"/>
      <c r="E420" s="2093"/>
    </row>
    <row r="421" s="2012" customFormat="1" spans="1:5">
      <c r="A421" s="2093"/>
      <c r="C421" s="2094"/>
      <c r="E421" s="2093"/>
    </row>
    <row r="422" s="2012" customFormat="1" spans="1:5">
      <c r="A422" s="2093"/>
      <c r="C422" s="2094"/>
      <c r="E422" s="2093"/>
    </row>
    <row r="423" s="2012" customFormat="1" spans="1:5">
      <c r="A423" s="2093"/>
      <c r="C423" s="2094"/>
      <c r="E423" s="2093"/>
    </row>
    <row r="424" s="2012" customFormat="1" spans="1:5">
      <c r="A424" s="2093"/>
      <c r="C424" s="2094"/>
      <c r="E424" s="2093"/>
    </row>
    <row r="425" s="2012" customFormat="1" spans="1:5">
      <c r="A425" s="2093"/>
      <c r="C425" s="2094"/>
      <c r="E425" s="2093"/>
    </row>
    <row r="426" s="2012" customFormat="1" spans="1:5">
      <c r="A426" s="2093"/>
      <c r="C426" s="2094"/>
      <c r="E426" s="2093"/>
    </row>
    <row r="427" s="2012" customFormat="1" spans="1:5">
      <c r="A427" s="2093"/>
      <c r="C427" s="2094"/>
      <c r="E427" s="2093"/>
    </row>
    <row r="428" s="2012" customFormat="1" spans="1:5">
      <c r="A428" s="2093"/>
      <c r="C428" s="2094"/>
      <c r="E428" s="2093"/>
    </row>
    <row r="429" s="2012" customFormat="1" spans="1:5">
      <c r="A429" s="2093"/>
      <c r="C429" s="2094"/>
      <c r="E429" s="2093"/>
    </row>
    <row r="430" s="2012" customFormat="1" spans="1:5">
      <c r="A430" s="2093"/>
      <c r="C430" s="2094"/>
      <c r="E430" s="2093"/>
    </row>
    <row r="431" s="2012" customFormat="1" spans="1:5">
      <c r="A431" s="2093"/>
      <c r="C431" s="2094"/>
      <c r="E431" s="2093"/>
    </row>
    <row r="432" s="2012" customFormat="1" spans="1:5">
      <c r="A432" s="2093"/>
      <c r="C432" s="2094"/>
      <c r="E432" s="2093"/>
    </row>
    <row r="433" s="2012" customFormat="1" spans="1:5">
      <c r="A433" s="2093"/>
      <c r="C433" s="2094"/>
      <c r="E433" s="2093"/>
    </row>
    <row r="434" s="2012" customFormat="1" spans="1:5">
      <c r="A434" s="2093"/>
      <c r="C434" s="2094"/>
      <c r="E434" s="2093"/>
    </row>
    <row r="435" s="2012" customFormat="1" spans="1:5">
      <c r="A435" s="2093"/>
      <c r="C435" s="2094"/>
      <c r="E435" s="2093"/>
    </row>
    <row r="436" s="2012" customFormat="1" spans="1:5">
      <c r="A436" s="2093"/>
      <c r="C436" s="2094"/>
      <c r="E436" s="2093"/>
    </row>
    <row r="437" s="2012" customFormat="1" spans="1:5">
      <c r="A437" s="2093"/>
      <c r="C437" s="2094"/>
      <c r="E437" s="2093"/>
    </row>
    <row r="438" s="2012" customFormat="1" spans="1:5">
      <c r="A438" s="2093"/>
      <c r="C438" s="2094"/>
      <c r="E438" s="2093"/>
    </row>
    <row r="439" s="2012" customFormat="1" spans="1:5">
      <c r="A439" s="2093"/>
      <c r="C439" s="2094"/>
      <c r="E439" s="2093"/>
    </row>
    <row r="440" s="2012" customFormat="1" spans="1:5">
      <c r="A440" s="2093"/>
      <c r="C440" s="2094"/>
      <c r="E440" s="2093"/>
    </row>
    <row r="441" s="2012" customFormat="1" spans="1:5">
      <c r="A441" s="2093"/>
      <c r="C441" s="2094"/>
      <c r="E441" s="2093"/>
    </row>
    <row r="442" s="2012" customFormat="1" spans="1:5">
      <c r="A442" s="2093"/>
      <c r="C442" s="2094"/>
      <c r="E442" s="2093"/>
    </row>
    <row r="443" s="2012" customFormat="1" spans="1:5">
      <c r="A443" s="2093"/>
      <c r="C443" s="2094"/>
      <c r="E443" s="2093"/>
    </row>
    <row r="444" s="2012" customFormat="1" spans="1:5">
      <c r="A444" s="2093"/>
      <c r="C444" s="2094"/>
      <c r="E444" s="2093"/>
    </row>
    <row r="445" s="2012" customFormat="1" spans="1:5">
      <c r="A445" s="2093"/>
      <c r="C445" s="2094"/>
      <c r="E445" s="2093"/>
    </row>
    <row r="446" s="2012" customFormat="1" spans="1:5">
      <c r="A446" s="2093"/>
      <c r="C446" s="2094"/>
      <c r="E446" s="2093"/>
    </row>
    <row r="447" s="2012" customFormat="1" spans="1:5">
      <c r="A447" s="2093"/>
      <c r="C447" s="2094"/>
      <c r="E447" s="2093"/>
    </row>
    <row r="448" s="2012" customFormat="1" spans="1:5">
      <c r="A448" s="2093"/>
      <c r="C448" s="2094"/>
      <c r="E448" s="2093"/>
    </row>
    <row r="449" s="2012" customFormat="1" spans="1:5">
      <c r="A449" s="2093"/>
      <c r="C449" s="2094"/>
      <c r="E449" s="2093"/>
    </row>
    <row r="450" s="2012" customFormat="1" spans="1:5">
      <c r="A450" s="2093"/>
      <c r="C450" s="2094"/>
      <c r="E450" s="2093"/>
    </row>
    <row r="451" s="2012" customFormat="1" spans="1:5">
      <c r="A451" s="2093"/>
      <c r="C451" s="2094"/>
      <c r="E451" s="2093"/>
    </row>
    <row r="452" s="2012" customFormat="1" spans="1:5">
      <c r="A452" s="2093"/>
      <c r="C452" s="2094"/>
      <c r="E452" s="2093"/>
    </row>
    <row r="453" s="2012" customFormat="1" spans="1:5">
      <c r="A453" s="2093"/>
      <c r="C453" s="2094"/>
      <c r="E453" s="2093"/>
    </row>
    <row r="454" s="2012" customFormat="1" spans="1:5">
      <c r="A454" s="2093"/>
      <c r="C454" s="2094"/>
      <c r="E454" s="2093"/>
    </row>
    <row r="455" s="2012" customFormat="1" spans="1:5">
      <c r="A455" s="2093"/>
      <c r="C455" s="2094"/>
      <c r="E455" s="2093"/>
    </row>
    <row r="456" s="2012" customFormat="1" spans="1:5">
      <c r="A456" s="2093"/>
      <c r="C456" s="2094"/>
      <c r="E456" s="2093"/>
    </row>
    <row r="457" s="2012" customFormat="1" spans="1:5">
      <c r="A457" s="2093"/>
      <c r="C457" s="2094"/>
      <c r="E457" s="2093"/>
    </row>
    <row r="458" s="2012" customFormat="1" spans="1:5">
      <c r="A458" s="2093"/>
      <c r="C458" s="2094"/>
      <c r="E458" s="2093"/>
    </row>
    <row r="459" s="2012" customFormat="1" spans="1:5">
      <c r="A459" s="2093"/>
      <c r="C459" s="2094"/>
      <c r="E459" s="2093"/>
    </row>
    <row r="460" s="2012" customFormat="1" spans="1:5">
      <c r="A460" s="2093"/>
      <c r="C460" s="2094"/>
      <c r="E460" s="2093"/>
    </row>
    <row r="461" s="2012" customFormat="1" spans="1:5">
      <c r="A461" s="2093"/>
      <c r="C461" s="2094"/>
      <c r="E461" s="2093"/>
    </row>
    <row r="462" s="2012" customFormat="1" spans="1:5">
      <c r="A462" s="2093"/>
      <c r="C462" s="2094"/>
      <c r="E462" s="2093"/>
    </row>
    <row r="463" s="2012" customFormat="1" spans="1:5">
      <c r="A463" s="2093"/>
      <c r="C463" s="2094"/>
      <c r="E463" s="2093"/>
    </row>
    <row r="464" s="2012" customFormat="1" spans="1:5">
      <c r="A464" s="2093"/>
      <c r="C464" s="2094"/>
      <c r="E464" s="2093"/>
    </row>
    <row r="465" s="2012" customFormat="1" spans="1:5">
      <c r="A465" s="2093"/>
      <c r="C465" s="2094"/>
      <c r="E465" s="2093"/>
    </row>
    <row r="466" s="2012" customFormat="1" spans="1:5">
      <c r="A466" s="2093"/>
      <c r="C466" s="2094"/>
      <c r="E466" s="2093"/>
    </row>
    <row r="467" s="2012" customFormat="1" spans="1:5">
      <c r="A467" s="2093"/>
      <c r="C467" s="2094"/>
      <c r="E467" s="2093"/>
    </row>
    <row r="468" s="2012" customFormat="1" spans="1:5">
      <c r="A468" s="2093"/>
      <c r="C468" s="2094"/>
      <c r="E468" s="2093"/>
    </row>
    <row r="469" s="2012" customFormat="1" spans="1:5">
      <c r="A469" s="2093"/>
      <c r="C469" s="2094"/>
      <c r="E469" s="2093"/>
    </row>
    <row r="470" s="2012" customFormat="1" spans="1:5">
      <c r="A470" s="2093"/>
      <c r="C470" s="2094"/>
      <c r="E470" s="2093"/>
    </row>
    <row r="471" s="2012" customFormat="1" spans="1:5">
      <c r="A471" s="2093"/>
      <c r="C471" s="2094"/>
      <c r="E471" s="2093"/>
    </row>
    <row r="472" s="2012" customFormat="1" spans="1:5">
      <c r="A472" s="2093"/>
      <c r="C472" s="2094"/>
      <c r="E472" s="2093"/>
    </row>
    <row r="473" s="2012" customFormat="1" spans="1:5">
      <c r="A473" s="2093"/>
      <c r="C473" s="2094"/>
      <c r="E473" s="2093"/>
    </row>
    <row r="474" s="2012" customFormat="1" spans="1:5">
      <c r="A474" s="2093"/>
      <c r="C474" s="2094"/>
      <c r="E474" s="2093"/>
    </row>
    <row r="475" s="2012" customFormat="1" spans="1:5">
      <c r="A475" s="2093"/>
      <c r="C475" s="2094"/>
      <c r="E475" s="2093"/>
    </row>
    <row r="476" s="2012" customFormat="1" spans="1:5">
      <c r="A476" s="2093"/>
      <c r="C476" s="2094"/>
      <c r="E476" s="2093"/>
    </row>
    <row r="477" s="2012" customFormat="1" spans="1:5">
      <c r="A477" s="2093"/>
      <c r="C477" s="2094"/>
      <c r="E477" s="2093"/>
    </row>
    <row r="478" s="2012" customFormat="1" spans="1:5">
      <c r="A478" s="2093"/>
      <c r="C478" s="2094"/>
      <c r="E478" s="2093"/>
    </row>
    <row r="479" s="2012" customFormat="1" spans="1:5">
      <c r="A479" s="2093"/>
      <c r="C479" s="2094"/>
      <c r="E479" s="2093"/>
    </row>
    <row r="480" s="2012" customFormat="1" spans="1:5">
      <c r="A480" s="2093"/>
      <c r="C480" s="2094"/>
      <c r="E480" s="2093"/>
    </row>
    <row r="481" s="2012" customFormat="1" spans="1:5">
      <c r="A481" s="2093"/>
      <c r="C481" s="2094"/>
      <c r="E481" s="2093"/>
    </row>
    <row r="482" s="2012" customFormat="1" spans="1:5">
      <c r="A482" s="2093"/>
      <c r="C482" s="2094"/>
      <c r="E482" s="2093"/>
    </row>
    <row r="483" s="2012" customFormat="1" spans="1:5">
      <c r="A483" s="2093"/>
      <c r="C483" s="2094"/>
      <c r="E483" s="2093"/>
    </row>
    <row r="484" s="2012" customFormat="1" spans="1:5">
      <c r="A484" s="2093"/>
      <c r="C484" s="2094"/>
      <c r="E484" s="2093"/>
    </row>
    <row r="485" s="2012" customFormat="1" spans="1:5">
      <c r="A485" s="2093"/>
      <c r="C485" s="2094"/>
      <c r="E485" s="2093"/>
    </row>
    <row r="486" s="2012" customFormat="1" spans="1:5">
      <c r="A486" s="2093"/>
      <c r="C486" s="2094"/>
      <c r="E486" s="2093"/>
    </row>
    <row r="487" s="2012" customFormat="1" spans="1:5">
      <c r="A487" s="2093"/>
      <c r="C487" s="2094"/>
      <c r="E487" s="2093"/>
    </row>
    <row r="488" s="2012" customFormat="1" spans="1:5">
      <c r="A488" s="2093"/>
      <c r="C488" s="2094"/>
      <c r="E488" s="2093"/>
    </row>
    <row r="489" s="2012" customFormat="1" spans="1:5">
      <c r="A489" s="2093"/>
      <c r="C489" s="2094"/>
      <c r="E489" s="2093"/>
    </row>
    <row r="490" s="2012" customFormat="1" spans="1:5">
      <c r="A490" s="2093"/>
      <c r="C490" s="2094"/>
      <c r="E490" s="2093"/>
    </row>
  </sheetData>
  <sheetProtection formatCells="0" formatColumns="0" formatRows="0"/>
  <dataValidations count="2">
    <dataValidation type="list" allowBlank="1" showInputMessage="1" showErrorMessage="1" sqref="B1 C7:K7">
      <formula1>项目类型</formula1>
    </dataValidation>
    <dataValidation type="list" allowBlank="1" showInputMessage="1" showErrorMessage="1" sqref="G20">
      <formula1>"已全部缴纳,已部分缴纳"</formula1>
    </dataValidation>
  </dataValidations>
  <pageMargins left="0.7" right="0.7" top="0.75" bottom="0.75" header="0.3" footer="0.3"/>
  <pageSetup paperSize="9" scale="70"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92D050"/>
    <pageSetUpPr fitToPage="1"/>
  </sheetPr>
  <dimension ref="A1:AO212"/>
  <sheetViews>
    <sheetView view="pageBreakPreview" zoomScale="90" zoomScaleNormal="80" workbookViewId="0">
      <selection activeCell="D31" sqref="D31"/>
    </sheetView>
  </sheetViews>
  <sheetFormatPr defaultColWidth="6.625" defaultRowHeight="12.75"/>
  <cols>
    <col min="1" max="1" width="10.125" style="2018" customWidth="1"/>
    <col min="2" max="2" width="25.75" style="2019" customWidth="1"/>
    <col min="3" max="3" width="10.375" style="2020" customWidth="1"/>
    <col min="4" max="4" width="12" style="2019" customWidth="1"/>
    <col min="5" max="5" width="9.5" style="2018" customWidth="1"/>
    <col min="6" max="6" width="10.125" style="2019" customWidth="1"/>
    <col min="7" max="7" width="9.5" style="2019" customWidth="1"/>
    <col min="8" max="8" width="10" style="2019" customWidth="1"/>
    <col min="9" max="11" width="9.5" style="2019" customWidth="1"/>
    <col min="12" max="12" width="9" style="2012" customWidth="1"/>
    <col min="13" max="13" width="10.5" style="2012" customWidth="1"/>
    <col min="14" max="26" width="9" style="2012" customWidth="1"/>
    <col min="27" max="254" width="9" style="2019" customWidth="1"/>
    <col min="255" max="16384" width="6.625" style="2019"/>
  </cols>
  <sheetData>
    <row r="1" s="158" customFormat="1" ht="20.25" spans="1:26">
      <c r="A1" s="724" t="s">
        <v>1201</v>
      </c>
      <c r="B1" s="2021"/>
      <c r="C1" s="2022"/>
      <c r="D1" s="2022"/>
      <c r="E1" s="2022"/>
      <c r="F1" s="2022"/>
      <c r="G1" s="2022"/>
      <c r="H1" s="2022"/>
      <c r="I1" s="2022"/>
      <c r="J1" s="2022"/>
      <c r="K1" s="2095">
        <f>MATCH(B1,'数据-取费表'!A6:A16,0)+5</f>
        <v>9</v>
      </c>
      <c r="L1" s="2096"/>
      <c r="M1" s="2096"/>
      <c r="N1" s="2096"/>
      <c r="O1" s="2096"/>
      <c r="P1" s="2096"/>
      <c r="Q1" s="2096"/>
      <c r="R1" s="2096"/>
      <c r="S1" s="2096"/>
      <c r="T1" s="2096"/>
      <c r="U1" s="2096"/>
      <c r="V1" s="2096"/>
      <c r="W1" s="2096"/>
      <c r="X1" s="2096"/>
      <c r="Y1" s="2096"/>
      <c r="Z1" s="2096"/>
    </row>
    <row r="2" s="158" customFormat="1" ht="18" customHeight="1" spans="1:26">
      <c r="A2" s="211" t="s">
        <v>1202</v>
      </c>
      <c r="B2" s="2023">
        <f ca="1">C27</f>
        <v>0</v>
      </c>
      <c r="C2" s="2022"/>
      <c r="D2" s="2022"/>
      <c r="E2" s="2022"/>
      <c r="F2" s="2022"/>
      <c r="G2" s="2022"/>
      <c r="H2" s="2022"/>
      <c r="I2" s="2022"/>
      <c r="J2" s="2022"/>
      <c r="K2" s="2022"/>
      <c r="L2" s="2096"/>
      <c r="M2" s="2096"/>
      <c r="N2" s="2096"/>
      <c r="O2" s="2096"/>
      <c r="P2" s="2096"/>
      <c r="Q2" s="2096"/>
      <c r="R2" s="2096"/>
      <c r="S2" s="2096"/>
      <c r="T2" s="2096"/>
      <c r="U2" s="2096"/>
      <c r="V2" s="2096"/>
      <c r="W2" s="2096"/>
      <c r="X2" s="2096"/>
      <c r="Y2" s="2096"/>
      <c r="Z2" s="2096"/>
    </row>
    <row r="3" s="158" customFormat="1" ht="18" customHeight="1" spans="1:26">
      <c r="A3" s="730" t="s">
        <v>714</v>
      </c>
      <c r="B3" s="728">
        <f ca="1">ROUND(B2*10000/IF(B1="",'数据-汇总表'!E3,INDIRECT("'数据-取费表'!K"&amp;$K$1)),0)</f>
        <v>0</v>
      </c>
      <c r="C3" s="2022"/>
      <c r="D3" s="2022"/>
      <c r="E3" s="2022"/>
      <c r="F3" s="2022"/>
      <c r="G3" s="2022"/>
      <c r="H3" s="2022"/>
      <c r="I3" s="2022"/>
      <c r="J3" s="2022"/>
      <c r="K3" s="2022"/>
      <c r="L3" s="2096"/>
      <c r="M3" s="2096"/>
      <c r="N3" s="2096"/>
      <c r="O3" s="2096"/>
      <c r="P3" s="2096"/>
      <c r="Q3" s="2096"/>
      <c r="R3" s="2096"/>
      <c r="S3" s="2096"/>
      <c r="T3" s="2096"/>
      <c r="U3" s="2096"/>
      <c r="V3" s="2096"/>
      <c r="W3" s="2096"/>
      <c r="X3" s="2096"/>
      <c r="Y3" s="2096"/>
      <c r="Z3" s="2096"/>
    </row>
    <row r="4" s="158" customFormat="1" ht="18" customHeight="1" spans="1:26">
      <c r="A4" s="731" t="s">
        <v>1203</v>
      </c>
      <c r="B4" s="732">
        <f ca="1">ROUND(B2*10000/IF(B1="",'数据-汇总表'!D3,INDIRECT("'数据-取费表'!R"&amp;$K$1)),0)</f>
        <v>0</v>
      </c>
      <c r="C4" s="505"/>
      <c r="D4" s="2022"/>
      <c r="E4" s="2022"/>
      <c r="F4" s="2022"/>
      <c r="G4" s="2022"/>
      <c r="H4" s="2022"/>
      <c r="I4" s="2022"/>
      <c r="J4" s="2022"/>
      <c r="K4" s="2022"/>
      <c r="L4" s="2096"/>
      <c r="M4" s="2096"/>
      <c r="N4" s="2096"/>
      <c r="O4" s="2096"/>
      <c r="P4" s="2096"/>
      <c r="Q4" s="2096"/>
      <c r="R4" s="2096"/>
      <c r="S4" s="2096"/>
      <c r="T4" s="2096"/>
      <c r="U4" s="2096"/>
      <c r="V4" s="2096"/>
      <c r="W4" s="2096"/>
      <c r="X4" s="2096"/>
      <c r="Y4" s="2096"/>
      <c r="Z4" s="2096"/>
    </row>
    <row r="5" s="158" customFormat="1" ht="18" customHeight="1" spans="1:26">
      <c r="A5" s="734"/>
      <c r="B5" s="735">
        <f ca="1">ROUND(B2/(IF(B1="",'数据-汇总表'!D3,INDIRECT("'数据-取费表'!R"&amp;$K$1))/666.67),0)</f>
        <v>0</v>
      </c>
      <c r="C5" s="736" t="s">
        <v>1204</v>
      </c>
      <c r="D5" s="2022"/>
      <c r="E5" s="2022"/>
      <c r="F5" s="2022"/>
      <c r="G5" s="2022"/>
      <c r="H5" s="2022"/>
      <c r="I5" s="2022"/>
      <c r="J5" s="2022"/>
      <c r="K5" s="2022"/>
      <c r="L5" s="2096"/>
      <c r="M5" s="2096"/>
      <c r="N5" s="2096"/>
      <c r="O5" s="2096"/>
      <c r="P5" s="2096"/>
      <c r="Q5" s="2096"/>
      <c r="R5" s="2096"/>
      <c r="S5" s="2096"/>
      <c r="T5" s="2096"/>
      <c r="U5" s="2096"/>
      <c r="V5" s="2096"/>
      <c r="W5" s="2096"/>
      <c r="X5" s="2096"/>
      <c r="Y5" s="2096"/>
      <c r="Z5" s="2096"/>
    </row>
    <row r="6" s="2010" customFormat="1" ht="16.5" customHeight="1" spans="1:26">
      <c r="A6" s="2024" t="s">
        <v>1265</v>
      </c>
      <c r="B6" s="2025"/>
      <c r="C6" s="2026">
        <f>SUM(C10:K10)</f>
        <v>0</v>
      </c>
      <c r="D6" s="2027"/>
      <c r="E6" s="2027"/>
      <c r="F6" s="2027"/>
      <c r="G6" s="2027"/>
      <c r="H6" s="2027"/>
      <c r="I6" s="2027"/>
      <c r="J6" s="2027"/>
      <c r="K6" s="2097"/>
      <c r="L6" s="2098"/>
      <c r="M6" s="2098"/>
      <c r="N6" s="2098"/>
      <c r="O6" s="2098"/>
      <c r="P6" s="2098"/>
      <c r="Q6" s="2098"/>
      <c r="R6" s="2098"/>
      <c r="S6" s="2098"/>
      <c r="T6" s="2098"/>
      <c r="U6" s="2098"/>
      <c r="V6" s="2098"/>
      <c r="W6" s="2098"/>
      <c r="X6" s="2098"/>
      <c r="Y6" s="2098"/>
      <c r="Z6" s="2098"/>
    </row>
    <row r="7" s="2011" customFormat="1" ht="15" spans="1:41">
      <c r="A7" s="2028" t="s">
        <v>1206</v>
      </c>
      <c r="B7" s="2029" t="s">
        <v>1207</v>
      </c>
      <c r="C7" s="2030"/>
      <c r="D7" s="2030"/>
      <c r="E7" s="2030"/>
      <c r="F7" s="2030"/>
      <c r="G7" s="2030"/>
      <c r="H7" s="2030"/>
      <c r="I7" s="2030"/>
      <c r="J7" s="2030"/>
      <c r="K7" s="2099"/>
      <c r="AA7" s="2117"/>
      <c r="AB7" s="2117"/>
      <c r="AC7" s="2117"/>
      <c r="AD7" s="2117"/>
      <c r="AE7" s="2117"/>
      <c r="AF7" s="2117"/>
      <c r="AG7" s="2117"/>
      <c r="AH7" s="2117"/>
      <c r="AI7" s="2117"/>
      <c r="AJ7" s="2117"/>
      <c r="AK7" s="2117"/>
      <c r="AL7" s="2117"/>
      <c r="AM7" s="2117"/>
      <c r="AN7" s="2117"/>
      <c r="AO7" s="2117"/>
    </row>
    <row r="8" s="2012" customFormat="1" ht="13.5" customHeight="1" spans="1:41">
      <c r="A8" s="2031" t="s">
        <v>1145</v>
      </c>
      <c r="B8" s="2032" t="s">
        <v>1208</v>
      </c>
      <c r="C8" s="2033"/>
      <c r="D8" s="2033"/>
      <c r="E8" s="2033"/>
      <c r="F8" s="2033"/>
      <c r="G8" s="2033"/>
      <c r="H8" s="2033"/>
      <c r="I8" s="2033"/>
      <c r="J8" s="2033"/>
      <c r="K8" s="2100"/>
      <c r="AA8" s="2019"/>
      <c r="AB8" s="2019"/>
      <c r="AC8" s="2019"/>
      <c r="AD8" s="2019"/>
      <c r="AE8" s="2019"/>
      <c r="AF8" s="2019"/>
      <c r="AG8" s="2019"/>
      <c r="AH8" s="2019"/>
      <c r="AI8" s="2019"/>
      <c r="AJ8" s="2019"/>
      <c r="AK8" s="2019"/>
      <c r="AL8" s="2019"/>
      <c r="AM8" s="2019"/>
      <c r="AN8" s="2019"/>
      <c r="AO8" s="2019"/>
    </row>
    <row r="9" s="2012" customFormat="1" ht="13.5" customHeight="1" spans="1:41">
      <c r="A9" s="2031" t="s">
        <v>1147</v>
      </c>
      <c r="B9" s="2032" t="s">
        <v>469</v>
      </c>
      <c r="C9" s="2034">
        <f>SUMIF('数据-汇总表'!$C19:$C33,'剩余法-现房'!C7,'数据-汇总表'!$E19:$E33)</f>
        <v>0</v>
      </c>
      <c r="D9" s="2034">
        <f>SUMIF('数据-汇总表'!$C19:$C33,'剩余法-现房'!D7,'数据-汇总表'!$E19:$E33)</f>
        <v>0</v>
      </c>
      <c r="E9" s="2034">
        <f>SUMIF('数据-汇总表'!$C19:$C33,'剩余法-现房'!E7,'数据-汇总表'!$E19:$E33)</f>
        <v>0</v>
      </c>
      <c r="F9" s="2034">
        <f>SUMIF('数据-汇总表'!$C19:$C33,'剩余法-现房'!F7,'数据-汇总表'!$E19:$E33)</f>
        <v>0</v>
      </c>
      <c r="G9" s="2034">
        <f>SUMIF('数据-汇总表'!$C19:$C33,'剩余法-现房'!G7,'数据-汇总表'!$E19:$E33)</f>
        <v>0</v>
      </c>
      <c r="H9" s="2034">
        <f>SUMIF('数据-汇总表'!$C19:$C33,'剩余法-现房'!H7,'数据-汇总表'!$E19:$E33)</f>
        <v>0</v>
      </c>
      <c r="I9" s="2034">
        <f>SUMIF('数据-汇总表'!$C19:$C33,'剩余法-现房'!I7,'数据-汇总表'!$E19:$E33)</f>
        <v>0</v>
      </c>
      <c r="J9" s="2034">
        <f>SUMIF('数据-汇总表'!$C19:$C33,'剩余法-现房'!J7,'数据-汇总表'!$E19:$E33)</f>
        <v>0</v>
      </c>
      <c r="K9" s="2101">
        <f>SUMIF('数据-汇总表'!$C19:$C33,'剩余法-现房'!K7,'数据-汇总表'!$E19:$E33)</f>
        <v>0</v>
      </c>
      <c r="AA9" s="2019"/>
      <c r="AB9" s="2019"/>
      <c r="AC9" s="2019"/>
      <c r="AD9" s="2019"/>
      <c r="AE9" s="2019"/>
      <c r="AF9" s="2019"/>
      <c r="AG9" s="2019"/>
      <c r="AH9" s="2019"/>
      <c r="AI9" s="2019"/>
      <c r="AJ9" s="2019"/>
      <c r="AK9" s="2019"/>
      <c r="AL9" s="2019"/>
      <c r="AM9" s="2019"/>
      <c r="AN9" s="2019"/>
      <c r="AO9" s="2019"/>
    </row>
    <row r="10" s="2012" customFormat="1" ht="13.5" customHeight="1" spans="1:41">
      <c r="A10" s="2035" t="s">
        <v>1209</v>
      </c>
      <c r="B10" s="2036" t="s">
        <v>1210</v>
      </c>
      <c r="C10" s="2037"/>
      <c r="D10" s="2037"/>
      <c r="E10" s="2037"/>
      <c r="F10" s="2038"/>
      <c r="G10" s="2038"/>
      <c r="H10" s="2038"/>
      <c r="I10" s="2038"/>
      <c r="J10" s="2038"/>
      <c r="K10" s="2102"/>
      <c r="AA10" s="2019"/>
      <c r="AB10" s="2019"/>
      <c r="AC10" s="2019"/>
      <c r="AD10" s="2019"/>
      <c r="AE10" s="2019"/>
      <c r="AF10" s="2019"/>
      <c r="AG10" s="2019"/>
      <c r="AH10" s="2019"/>
      <c r="AI10" s="2019"/>
      <c r="AJ10" s="2019"/>
      <c r="AK10" s="2019"/>
      <c r="AL10" s="2019"/>
      <c r="AM10" s="2019"/>
      <c r="AN10" s="2019"/>
      <c r="AO10" s="2019"/>
    </row>
    <row r="11" s="2010" customFormat="1" ht="16.5" customHeight="1" spans="1:26">
      <c r="A11" s="2039" t="s">
        <v>1266</v>
      </c>
      <c r="B11" s="2040"/>
      <c r="C11" s="2040"/>
      <c r="D11" s="2040"/>
      <c r="E11" s="2040"/>
      <c r="F11" s="2040"/>
      <c r="G11" s="2040"/>
      <c r="H11" s="2040"/>
      <c r="I11" s="2040"/>
      <c r="J11" s="2040"/>
      <c r="K11" s="2103"/>
      <c r="L11" s="2098"/>
      <c r="M11" s="2098"/>
      <c r="N11" s="2098"/>
      <c r="O11" s="2098"/>
      <c r="P11" s="2098"/>
      <c r="Q11" s="2098"/>
      <c r="R11" s="2098"/>
      <c r="S11" s="2098"/>
      <c r="T11" s="2098"/>
      <c r="U11" s="2098"/>
      <c r="V11" s="2098"/>
      <c r="W11" s="2098"/>
      <c r="X11" s="2098"/>
      <c r="Y11" s="2098"/>
      <c r="Z11" s="2098"/>
    </row>
    <row r="12" s="982" customFormat="1" ht="13.5" customHeight="1" spans="1:26">
      <c r="A12" s="2028" t="s">
        <v>1206</v>
      </c>
      <c r="B12" s="2041" t="s">
        <v>1207</v>
      </c>
      <c r="C12" s="2042" t="s">
        <v>1212</v>
      </c>
      <c r="D12" s="2043" t="s">
        <v>1213</v>
      </c>
      <c r="E12" s="2043" t="s">
        <v>1214</v>
      </c>
      <c r="F12" s="2043" t="s">
        <v>1215</v>
      </c>
      <c r="G12" s="2041"/>
      <c r="H12" s="2044"/>
      <c r="I12" s="2044"/>
      <c r="J12" s="2044"/>
      <c r="K12" s="2104"/>
      <c r="L12" s="2105"/>
      <c r="M12" s="2105"/>
      <c r="N12" s="2105"/>
      <c r="O12" s="2105"/>
      <c r="P12" s="2105"/>
      <c r="Q12" s="2105"/>
      <c r="R12" s="2105"/>
      <c r="S12" s="2105"/>
      <c r="T12" s="2105"/>
      <c r="U12" s="2105"/>
      <c r="V12" s="2105"/>
      <c r="W12" s="2105"/>
      <c r="X12" s="2105"/>
      <c r="Y12" s="2105"/>
      <c r="Z12" s="2105"/>
    </row>
    <row r="13" s="2013" customFormat="1" ht="13.5" customHeight="1" spans="1:26">
      <c r="A13" s="2045" t="s">
        <v>1166</v>
      </c>
      <c r="B13" s="2046" t="s">
        <v>1216</v>
      </c>
      <c r="C13" s="2047">
        <f ca="1">IF(B1="",'数据-取费表'!M16,INDIRECT("'数据-取费表'!M"&amp;$K$1)+INDIRECT("'数据-取费表'!t"&amp;$K$1))</f>
        <v>12511</v>
      </c>
      <c r="D13" s="2048"/>
      <c r="E13" s="78"/>
      <c r="F13" s="2049"/>
      <c r="G13" s="2041"/>
      <c r="H13" s="2044"/>
      <c r="I13" s="2044"/>
      <c r="J13" s="2044"/>
      <c r="K13" s="2104"/>
      <c r="L13" s="2014"/>
      <c r="M13" s="2014"/>
      <c r="N13" s="2014"/>
      <c r="O13" s="2014"/>
      <c r="P13" s="2014"/>
      <c r="Q13" s="2014"/>
      <c r="R13" s="2014"/>
      <c r="S13" s="2014"/>
      <c r="T13" s="2014"/>
      <c r="U13" s="2014"/>
      <c r="V13" s="2014"/>
      <c r="W13" s="2014"/>
      <c r="X13" s="2014"/>
      <c r="Y13" s="2014"/>
      <c r="Z13" s="2014"/>
    </row>
    <row r="14" s="2013" customFormat="1" ht="13.5" customHeight="1" spans="1:26">
      <c r="A14" s="2045" t="s">
        <v>1217</v>
      </c>
      <c r="B14" s="2046" t="s">
        <v>1218</v>
      </c>
      <c r="C14" s="123">
        <f ca="1">ROUND(C13*F14,0)</f>
        <v>375</v>
      </c>
      <c r="D14" s="2048"/>
      <c r="E14" s="78"/>
      <c r="F14" s="2050">
        <f>'数据-取费表'!B33</f>
        <v>0.03</v>
      </c>
      <c r="G14" s="2041" t="s">
        <v>1219</v>
      </c>
      <c r="H14" s="2044"/>
      <c r="I14" s="2044"/>
      <c r="J14" s="2044"/>
      <c r="K14" s="2104"/>
      <c r="L14" s="2014"/>
      <c r="M14" s="2014"/>
      <c r="N14" s="2014"/>
      <c r="O14" s="2014"/>
      <c r="P14" s="2014"/>
      <c r="Q14" s="2014"/>
      <c r="R14" s="2014"/>
      <c r="S14" s="2014"/>
      <c r="T14" s="2014"/>
      <c r="U14" s="2014"/>
      <c r="V14" s="2014"/>
      <c r="W14" s="2014"/>
      <c r="X14" s="2014"/>
      <c r="Y14" s="2014"/>
      <c r="Z14" s="2014"/>
    </row>
    <row r="15" s="2013" customFormat="1" ht="13.5" customHeight="1" spans="1:26">
      <c r="A15" s="2045" t="s">
        <v>1220</v>
      </c>
      <c r="B15" s="2046" t="s">
        <v>1221</v>
      </c>
      <c r="C15" s="123">
        <f ca="1">ROUND(IF(B1="",SUMIF('数据-取费表'!C:C,"住宅",'数据-取费表'!M:M)*F15,IF(INDIRECT("'数据-取费表'!c"&amp;$K$1)="住宅",INDIRECT("'数据-取费表'!M"&amp;$K$1)*F15,0)),0)</f>
        <v>0</v>
      </c>
      <c r="D15" s="2048"/>
      <c r="E15" s="78"/>
      <c r="F15" s="2050">
        <f>'数据-取费表'!B34</f>
        <v>0</v>
      </c>
      <c r="G15" s="2041" t="s">
        <v>1219</v>
      </c>
      <c r="H15" s="2044"/>
      <c r="I15" s="2044"/>
      <c r="J15" s="2044"/>
      <c r="K15" s="2104"/>
      <c r="L15" s="2014"/>
      <c r="M15" s="2014"/>
      <c r="N15" s="2014"/>
      <c r="O15" s="2014"/>
      <c r="P15" s="2014"/>
      <c r="Q15" s="2014"/>
      <c r="R15" s="2014"/>
      <c r="S15" s="2014"/>
      <c r="T15" s="2014"/>
      <c r="U15" s="2014"/>
      <c r="V15" s="2014"/>
      <c r="W15" s="2014"/>
      <c r="X15" s="2014"/>
      <c r="Y15" s="2014"/>
      <c r="Z15" s="2014"/>
    </row>
    <row r="16" s="2014" customFormat="1" ht="13.5" customHeight="1" spans="1:41">
      <c r="A16" s="2045" t="s">
        <v>1223</v>
      </c>
      <c r="B16" s="2046" t="s">
        <v>1224</v>
      </c>
      <c r="C16" s="123">
        <f ca="1">ROUND(D16*E16/10000,0)</f>
        <v>1156</v>
      </c>
      <c r="D16" s="2048">
        <f ca="1">IF(B1="",'数据-汇总表'!E3,INDIRECT("'数据-取费表'!K"&amp;$K$1)+INDIRECT("'数据-取费表'!S"&amp;$K$1))</f>
        <v>57817.58</v>
      </c>
      <c r="E16" s="123">
        <f>'数据-取费表'!B35</f>
        <v>200</v>
      </c>
      <c r="F16" s="2050"/>
      <c r="G16" s="2041"/>
      <c r="H16" s="2044"/>
      <c r="I16" s="2044"/>
      <c r="J16" s="2044"/>
      <c r="K16" s="2104"/>
      <c r="AA16" s="2013"/>
      <c r="AB16" s="2013"/>
      <c r="AC16" s="2013"/>
      <c r="AD16" s="2013"/>
      <c r="AE16" s="2013"/>
      <c r="AF16" s="2013"/>
      <c r="AG16" s="2013"/>
      <c r="AH16" s="2013"/>
      <c r="AI16" s="2013"/>
      <c r="AJ16" s="2013"/>
      <c r="AK16" s="2013"/>
      <c r="AL16" s="2013"/>
      <c r="AM16" s="2013"/>
      <c r="AN16" s="2013"/>
      <c r="AO16" s="2013"/>
    </row>
    <row r="17" s="2013" customFormat="1" ht="13.5" customHeight="1" spans="1:26">
      <c r="A17" s="2045" t="s">
        <v>1225</v>
      </c>
      <c r="B17" s="2046" t="s">
        <v>1226</v>
      </c>
      <c r="C17" s="2051">
        <f ca="1">ROUND(C13*F17,0)</f>
        <v>188</v>
      </c>
      <c r="D17" s="2052"/>
      <c r="E17" s="2051"/>
      <c r="F17" s="2053">
        <f>'[2]数据-取费表'!B36</f>
        <v>0.015</v>
      </c>
      <c r="G17" s="2041" t="s">
        <v>1219</v>
      </c>
      <c r="H17" s="2054"/>
      <c r="I17" s="2054"/>
      <c r="J17" s="2054"/>
      <c r="K17" s="2106"/>
      <c r="L17" s="2014"/>
      <c r="M17" s="2014"/>
      <c r="N17" s="2014"/>
      <c r="O17" s="2014"/>
      <c r="P17" s="2014"/>
      <c r="Q17" s="2014"/>
      <c r="R17" s="2014"/>
      <c r="S17" s="2014"/>
      <c r="T17" s="2014"/>
      <c r="U17" s="2014"/>
      <c r="V17" s="2014"/>
      <c r="W17" s="2014"/>
      <c r="X17" s="2014"/>
      <c r="Y17" s="2014"/>
      <c r="Z17" s="2014"/>
    </row>
    <row r="18" s="2015" customFormat="1" ht="13.5" customHeight="1" spans="1:26">
      <c r="A18" s="2055" t="s">
        <v>1228</v>
      </c>
      <c r="B18" s="2056" t="s">
        <v>1229</v>
      </c>
      <c r="C18" s="2057">
        <f ca="1">SUM(C13:C17)</f>
        <v>14230</v>
      </c>
      <c r="D18" s="2058"/>
      <c r="E18" s="2059"/>
      <c r="F18" s="2059"/>
      <c r="G18" s="2060" t="s">
        <v>1267</v>
      </c>
      <c r="H18" s="2044"/>
      <c r="I18" s="2044"/>
      <c r="J18" s="2044"/>
      <c r="K18" s="2104"/>
      <c r="L18" s="2107"/>
      <c r="M18" s="2107"/>
      <c r="N18" s="2107"/>
      <c r="O18" s="2107"/>
      <c r="P18" s="2107"/>
      <c r="Q18" s="2107"/>
      <c r="R18" s="2107"/>
      <c r="S18" s="2107"/>
      <c r="T18" s="2107"/>
      <c r="U18" s="2107"/>
      <c r="V18" s="2107"/>
      <c r="W18" s="2107"/>
      <c r="X18" s="2107"/>
      <c r="Y18" s="2107"/>
      <c r="Z18" s="2107"/>
    </row>
    <row r="19" s="2015" customFormat="1" ht="13.5" customHeight="1" spans="1:26">
      <c r="A19" s="2055" t="s">
        <v>1231</v>
      </c>
      <c r="B19" s="2056" t="s">
        <v>1268</v>
      </c>
      <c r="C19" s="2057">
        <f ca="1">ROUND(C18*F19,0)</f>
        <v>285</v>
      </c>
      <c r="D19" s="2058"/>
      <c r="E19" s="2059"/>
      <c r="F19" s="2061">
        <f>'数据-取费表'!B37</f>
        <v>0.02</v>
      </c>
      <c r="G19" s="2041" t="s">
        <v>1269</v>
      </c>
      <c r="H19" s="2044"/>
      <c r="I19" s="2044"/>
      <c r="J19" s="2044"/>
      <c r="K19" s="2104"/>
      <c r="L19" s="2108"/>
      <c r="M19" s="2108"/>
      <c r="N19" s="2108"/>
      <c r="O19" s="2107"/>
      <c r="P19" s="2107"/>
      <c r="Q19" s="2107"/>
      <c r="R19" s="2107"/>
      <c r="S19" s="2107"/>
      <c r="T19" s="2107"/>
      <c r="U19" s="2107"/>
      <c r="V19" s="2107"/>
      <c r="W19" s="2107"/>
      <c r="X19" s="2107"/>
      <c r="Y19" s="2107"/>
      <c r="Z19" s="2107"/>
    </row>
    <row r="20" s="2015" customFormat="1" ht="13.5" customHeight="1" spans="1:26">
      <c r="A20" s="2055" t="s">
        <v>1234</v>
      </c>
      <c r="B20" s="2058" t="s">
        <v>1270</v>
      </c>
      <c r="C20" s="2062">
        <f ca="1">ROUND(IF('数据-取费表'!B22&lt;=1,(C18+C19)*F20*'数据-取费表'!B20/2,(C18+C19)*(POWER((1+F20),'数据-取费表'!B20/2)-1)),0)</f>
        <v>514</v>
      </c>
      <c r="D20" s="2059">
        <f ca="1">ROUND(((1+F20)^'[2]数据-取费表'!B20)-1,4)</f>
        <v>0.0721</v>
      </c>
      <c r="E20" s="2059"/>
      <c r="F20" s="2063">
        <f ca="1">'数据-取费表'!B40</f>
        <v>0.0475</v>
      </c>
      <c r="G20" s="2060" t="str">
        <f>IF('[2]数据-取费表'!B22&lt;=1,"单利计息。","复利计息。")&amp;"建造成本、管理费用产生的利息 / 地价及税费产生的利息。"</f>
        <v>复利计息。建造成本、管理费用产生的利息 / 地价及税费产生的利息。</v>
      </c>
      <c r="H20" s="2044"/>
      <c r="I20" s="2044"/>
      <c r="J20" s="2044"/>
      <c r="K20" s="2104"/>
      <c r="L20" s="2108"/>
      <c r="M20" s="2108"/>
      <c r="N20" s="2108"/>
      <c r="O20" s="2107"/>
      <c r="P20" s="2107"/>
      <c r="Q20" s="2107"/>
      <c r="R20" s="2107"/>
      <c r="S20" s="2107"/>
      <c r="T20" s="2107"/>
      <c r="U20" s="2107"/>
      <c r="V20" s="2107"/>
      <c r="W20" s="2107"/>
      <c r="X20" s="2107"/>
      <c r="Y20" s="2107"/>
      <c r="Z20" s="2107"/>
    </row>
    <row r="21" s="2016" customFormat="1" ht="13.5" customHeight="1" spans="1:26">
      <c r="A21" s="2055" t="s">
        <v>1271</v>
      </c>
      <c r="B21" s="2064" t="s">
        <v>1259</v>
      </c>
      <c r="C21" s="2065">
        <f ca="1">ROUND((C18+C19)*F21,0)</f>
        <v>1161</v>
      </c>
      <c r="D21" s="2066"/>
      <c r="E21" s="2059"/>
      <c r="F21" s="1949">
        <f ca="1">IF(B1="",'数据-取费表'!Q16,INDIRECT("'数据-取费表'!q"&amp;$K$1))</f>
        <v>0.08</v>
      </c>
      <c r="G21" s="2041"/>
      <c r="H21" s="2044"/>
      <c r="I21" s="2044"/>
      <c r="J21" s="2044"/>
      <c r="K21" s="2104"/>
      <c r="L21" s="2109" t="s">
        <v>1272</v>
      </c>
      <c r="M21" s="2110"/>
      <c r="N21" s="2110"/>
      <c r="O21" s="2110"/>
      <c r="P21" s="2110"/>
      <c r="Q21" s="2108"/>
      <c r="R21" s="2108"/>
      <c r="S21" s="2108"/>
      <c r="T21" s="2108"/>
      <c r="U21" s="2108"/>
      <c r="V21" s="2108"/>
      <c r="W21" s="2108"/>
      <c r="X21" s="2108"/>
      <c r="Y21" s="2108"/>
      <c r="Z21" s="2108"/>
    </row>
    <row r="22" s="2017" customFormat="1" ht="13.5" customHeight="1" spans="1:26">
      <c r="A22" s="2055" t="s">
        <v>1241</v>
      </c>
      <c r="B22" s="2067" t="s">
        <v>1273</v>
      </c>
      <c r="C22" s="2068"/>
      <c r="D22" s="2068"/>
      <c r="E22" s="2059"/>
      <c r="F22" s="2069">
        <f ca="1">IF(B1="",'数据-取费表'!N16,INDIRECT("'数据-取费表'!N"&amp;$K$1))</f>
        <v>0</v>
      </c>
      <c r="G22" s="2041"/>
      <c r="H22" s="2044"/>
      <c r="I22" s="2044"/>
      <c r="J22" s="2044"/>
      <c r="K22" s="2104"/>
      <c r="L22" s="2111"/>
      <c r="M22" s="2111"/>
      <c r="N22" s="2111"/>
      <c r="O22" s="2111"/>
      <c r="P22" s="2111"/>
      <c r="Q22" s="2111"/>
      <c r="R22" s="2111"/>
      <c r="S22" s="2111"/>
      <c r="T22" s="2111"/>
      <c r="U22" s="2111"/>
      <c r="V22" s="2111"/>
      <c r="W22" s="2111"/>
      <c r="X22" s="2111"/>
      <c r="Y22" s="2111"/>
      <c r="Z22" s="2111"/>
    </row>
    <row r="23" s="2017" customFormat="1" ht="13.5" customHeight="1" spans="1:26">
      <c r="A23" s="2070" t="s">
        <v>1244</v>
      </c>
      <c r="B23" s="2071" t="s">
        <v>1274</v>
      </c>
      <c r="C23" s="2072">
        <f ca="1">ROUND((C18+C19+C20+C21)*F22,0)</f>
        <v>0</v>
      </c>
      <c r="D23" s="2073"/>
      <c r="E23" s="2059"/>
      <c r="F23" s="2074"/>
      <c r="G23" s="2029"/>
      <c r="H23" s="2075"/>
      <c r="I23" s="2075"/>
      <c r="J23" s="2075"/>
      <c r="K23" s="2112"/>
      <c r="L23" s="2111"/>
      <c r="M23" s="2111"/>
      <c r="N23" s="2111"/>
      <c r="O23" s="2111"/>
      <c r="P23" s="2111"/>
      <c r="Q23" s="2111"/>
      <c r="R23" s="2111"/>
      <c r="S23" s="2111"/>
      <c r="T23" s="2111"/>
      <c r="U23" s="2111"/>
      <c r="V23" s="2111"/>
      <c r="W23" s="2111"/>
      <c r="X23" s="2111"/>
      <c r="Y23" s="2111"/>
      <c r="Z23" s="2111"/>
    </row>
    <row r="24" s="2017" customFormat="1" ht="13.5" customHeight="1" spans="1:26">
      <c r="A24" s="2076" t="s">
        <v>1275</v>
      </c>
      <c r="B24" s="2077"/>
      <c r="C24" s="2078">
        <f>ROUND(C6*F24/(1+'数据-取费表'!B42),0)</f>
        <v>0</v>
      </c>
      <c r="D24" s="2079"/>
      <c r="E24" s="2059"/>
      <c r="F24" s="2080">
        <f>'数据-取费表'!B41</f>
        <v>0.056</v>
      </c>
      <c r="G24" s="2081"/>
      <c r="H24" s="2081"/>
      <c r="I24" s="2081"/>
      <c r="J24" s="2081"/>
      <c r="K24" s="2113"/>
      <c r="L24" s="2111"/>
      <c r="M24" s="2111"/>
      <c r="N24" s="2111"/>
      <c r="O24" s="2111"/>
      <c r="P24" s="2111"/>
      <c r="Q24" s="2111"/>
      <c r="R24" s="2111"/>
      <c r="S24" s="2111"/>
      <c r="T24" s="2111"/>
      <c r="U24" s="2111"/>
      <c r="V24" s="2111"/>
      <c r="W24" s="2111"/>
      <c r="X24" s="2111"/>
      <c r="Y24" s="2111"/>
      <c r="Z24" s="2111"/>
    </row>
    <row r="25" s="2017" customFormat="1" ht="13.5" customHeight="1" spans="1:26">
      <c r="A25" s="2076" t="s">
        <v>1276</v>
      </c>
      <c r="B25" s="2077"/>
      <c r="C25" s="2078">
        <f>ROUND(C6*F25,0)</f>
        <v>0</v>
      </c>
      <c r="D25" s="2079"/>
      <c r="E25" s="2059"/>
      <c r="F25" s="2082">
        <f>'数据-取费表'!B38</f>
        <v>0.02</v>
      </c>
      <c r="G25" s="2083"/>
      <c r="H25" s="2081"/>
      <c r="I25" s="2081"/>
      <c r="J25" s="2081"/>
      <c r="K25" s="2113"/>
      <c r="L25" s="2111"/>
      <c r="M25" s="2111"/>
      <c r="N25" s="2111"/>
      <c r="O25" s="2111"/>
      <c r="P25" s="2111"/>
      <c r="Q25" s="2111"/>
      <c r="R25" s="2111"/>
      <c r="S25" s="2111"/>
      <c r="T25" s="2111"/>
      <c r="U25" s="2111"/>
      <c r="V25" s="2111"/>
      <c r="W25" s="2111"/>
      <c r="X25" s="2111"/>
      <c r="Y25" s="2111"/>
      <c r="Z25" s="2111"/>
    </row>
    <row r="26" s="2017" customFormat="1" ht="13.5" customHeight="1" spans="1:26">
      <c r="A26" s="2076" t="s">
        <v>1277</v>
      </c>
      <c r="B26" s="2077"/>
      <c r="C26" s="2084"/>
      <c r="D26" s="2085"/>
      <c r="E26" s="2085"/>
      <c r="F26" s="2086">
        <f>'数据-取费表'!B48+'数据-取费表'!B49</f>
        <v>0.0305</v>
      </c>
      <c r="G26" s="2087"/>
      <c r="H26" s="2087"/>
      <c r="I26" s="2087"/>
      <c r="J26" s="2114"/>
      <c r="K26" s="2115"/>
      <c r="L26" s="2111"/>
      <c r="M26" s="2111"/>
      <c r="N26" s="2111"/>
      <c r="O26" s="2111"/>
      <c r="P26" s="2111"/>
      <c r="Q26" s="2111"/>
      <c r="R26" s="2111"/>
      <c r="S26" s="2111"/>
      <c r="T26" s="2111"/>
      <c r="U26" s="2111"/>
      <c r="V26" s="2111"/>
      <c r="W26" s="2111"/>
      <c r="X26" s="2111"/>
      <c r="Y26" s="2111"/>
      <c r="Z26" s="2111"/>
    </row>
    <row r="27" s="2017" customFormat="1" ht="13.5" customHeight="1" spans="1:26">
      <c r="A27" s="2088" t="s">
        <v>1278</v>
      </c>
      <c r="B27" s="2089"/>
      <c r="C27" s="2090">
        <f ca="1">(C6-C23-C24-C25)/((1+F26)*(1+D20+F21))</f>
        <v>0</v>
      </c>
      <c r="D27" s="2091"/>
      <c r="E27" s="2091"/>
      <c r="F27" s="2091"/>
      <c r="G27" s="2092" t="s">
        <v>1279</v>
      </c>
      <c r="H27" s="2091"/>
      <c r="I27" s="2091"/>
      <c r="J27" s="2091"/>
      <c r="K27" s="2116"/>
      <c r="L27" s="2111"/>
      <c r="M27" s="2111"/>
      <c r="N27" s="2111"/>
      <c r="O27" s="2111"/>
      <c r="P27" s="2111"/>
      <c r="Q27" s="2111"/>
      <c r="R27" s="2111"/>
      <c r="S27" s="2111"/>
      <c r="T27" s="2111"/>
      <c r="U27" s="2111"/>
      <c r="V27" s="2111"/>
      <c r="W27" s="2111"/>
      <c r="X27" s="2111"/>
      <c r="Y27" s="2111"/>
      <c r="Z27" s="2111"/>
    </row>
    <row r="28" s="2012" customFormat="1" spans="1:5">
      <c r="A28" s="2093"/>
      <c r="C28" s="2094"/>
      <c r="E28" s="2093"/>
    </row>
    <row r="29" s="2012" customFormat="1" spans="1:5">
      <c r="A29" s="2093"/>
      <c r="C29" s="2094"/>
      <c r="E29" s="2093"/>
    </row>
    <row r="30" s="2012" customFormat="1" spans="1:5">
      <c r="A30" s="2093"/>
      <c r="C30" s="2094"/>
      <c r="E30" s="2093"/>
    </row>
    <row r="31" s="2012" customFormat="1" spans="1:5">
      <c r="A31" s="2093"/>
      <c r="C31" s="2094"/>
      <c r="E31" s="2093"/>
    </row>
    <row r="32" s="2012" customFormat="1" spans="1:5">
      <c r="A32" s="2093"/>
      <c r="C32" s="2094"/>
      <c r="E32" s="2093"/>
    </row>
    <row r="33" s="2012" customFormat="1" spans="1:5">
      <c r="A33" s="2093"/>
      <c r="C33" s="2094"/>
      <c r="E33" s="2093"/>
    </row>
    <row r="34" s="2012" customFormat="1" spans="1:5">
      <c r="A34" s="2093"/>
      <c r="C34" s="2094"/>
      <c r="E34" s="2093"/>
    </row>
    <row r="35" s="2012" customFormat="1" spans="1:5">
      <c r="A35" s="2093"/>
      <c r="C35" s="2094"/>
      <c r="E35" s="2093"/>
    </row>
    <row r="36" s="2012" customFormat="1" spans="1:5">
      <c r="A36" s="2093"/>
      <c r="C36" s="2094"/>
      <c r="E36" s="2093"/>
    </row>
    <row r="37" s="2012" customFormat="1" spans="1:5">
      <c r="A37" s="2093"/>
      <c r="C37" s="2094"/>
      <c r="E37" s="2093"/>
    </row>
    <row r="38" s="2012" customFormat="1" spans="1:5">
      <c r="A38" s="2093"/>
      <c r="C38" s="2094"/>
      <c r="E38" s="2093"/>
    </row>
    <row r="39" s="2012" customFormat="1" spans="1:5">
      <c r="A39" s="2093"/>
      <c r="C39" s="2094"/>
      <c r="E39" s="2093"/>
    </row>
    <row r="40" s="2012" customFormat="1" spans="1:5">
      <c r="A40" s="2093"/>
      <c r="C40" s="2094"/>
      <c r="E40" s="2093"/>
    </row>
    <row r="41" s="2012" customFormat="1" spans="1:5">
      <c r="A41" s="2093"/>
      <c r="C41" s="2094"/>
      <c r="E41" s="2093"/>
    </row>
    <row r="42" s="2012" customFormat="1" spans="1:5">
      <c r="A42" s="2093"/>
      <c r="C42" s="2094"/>
      <c r="E42" s="2093"/>
    </row>
    <row r="43" s="2012" customFormat="1" spans="1:5">
      <c r="A43" s="2093"/>
      <c r="C43" s="2094"/>
      <c r="E43" s="2093"/>
    </row>
    <row r="44" s="2012" customFormat="1" spans="1:5">
      <c r="A44" s="2093"/>
      <c r="C44" s="2094"/>
      <c r="E44" s="2093"/>
    </row>
    <row r="45" s="2012" customFormat="1" spans="1:5">
      <c r="A45" s="2093"/>
      <c r="C45" s="2094"/>
      <c r="E45" s="2093"/>
    </row>
    <row r="46" s="2012" customFormat="1" spans="1:5">
      <c r="A46" s="2093"/>
      <c r="C46" s="2094"/>
      <c r="E46" s="2093"/>
    </row>
    <row r="47" s="2012" customFormat="1" spans="1:5">
      <c r="A47" s="2093"/>
      <c r="C47" s="2094"/>
      <c r="E47" s="2093"/>
    </row>
    <row r="48" s="2012" customFormat="1" spans="1:5">
      <c r="A48" s="2093"/>
      <c r="C48" s="2094"/>
      <c r="E48" s="2093"/>
    </row>
    <row r="49" s="2012" customFormat="1" spans="1:5">
      <c r="A49" s="2093"/>
      <c r="C49" s="2094"/>
      <c r="E49" s="2093"/>
    </row>
    <row r="50" s="2012" customFormat="1" spans="1:5">
      <c r="A50" s="2093"/>
      <c r="C50" s="2094"/>
      <c r="E50" s="2093"/>
    </row>
    <row r="51" s="2012" customFormat="1" spans="1:5">
      <c r="A51" s="2093"/>
      <c r="C51" s="2094"/>
      <c r="E51" s="2093"/>
    </row>
    <row r="52" s="2012" customFormat="1" spans="1:5">
      <c r="A52" s="2093"/>
      <c r="C52" s="2094"/>
      <c r="E52" s="2093"/>
    </row>
    <row r="53" s="2012" customFormat="1" spans="1:5">
      <c r="A53" s="2093"/>
      <c r="C53" s="2094"/>
      <c r="E53" s="2093"/>
    </row>
    <row r="54" s="2012" customFormat="1" spans="1:5">
      <c r="A54" s="2093"/>
      <c r="C54" s="2094"/>
      <c r="E54" s="2093"/>
    </row>
    <row r="55" s="2012" customFormat="1" spans="1:5">
      <c r="A55" s="2093"/>
      <c r="C55" s="2094"/>
      <c r="E55" s="2093"/>
    </row>
    <row r="56" s="2012" customFormat="1" spans="1:5">
      <c r="A56" s="2093"/>
      <c r="C56" s="2094"/>
      <c r="E56" s="2093"/>
    </row>
    <row r="57" s="2012" customFormat="1" spans="1:5">
      <c r="A57" s="2093"/>
      <c r="C57" s="2094"/>
      <c r="E57" s="2093"/>
    </row>
    <row r="58" s="2012" customFormat="1" spans="1:5">
      <c r="A58" s="2093"/>
      <c r="C58" s="2094"/>
      <c r="E58" s="2093"/>
    </row>
    <row r="59" s="2012" customFormat="1" spans="1:5">
      <c r="A59" s="2093"/>
      <c r="C59" s="2094"/>
      <c r="E59" s="2093"/>
    </row>
    <row r="60" s="2012" customFormat="1" spans="1:5">
      <c r="A60" s="2093"/>
      <c r="C60" s="2094"/>
      <c r="E60" s="2093"/>
    </row>
    <row r="61" s="2012" customFormat="1" spans="1:5">
      <c r="A61" s="2093"/>
      <c r="C61" s="2094"/>
      <c r="E61" s="2093"/>
    </row>
    <row r="62" s="2012" customFormat="1" spans="1:5">
      <c r="A62" s="2093"/>
      <c r="C62" s="2094"/>
      <c r="E62" s="2093"/>
    </row>
    <row r="63" s="2012" customFormat="1" spans="1:5">
      <c r="A63" s="2093"/>
      <c r="C63" s="2094"/>
      <c r="E63" s="2093"/>
    </row>
    <row r="64" s="2012" customFormat="1" spans="1:5">
      <c r="A64" s="2093"/>
      <c r="C64" s="2094"/>
      <c r="E64" s="2093"/>
    </row>
    <row r="65" s="2012" customFormat="1" spans="1:5">
      <c r="A65" s="2093"/>
      <c r="C65" s="2094"/>
      <c r="E65" s="2093"/>
    </row>
    <row r="66" s="2012" customFormat="1" spans="1:5">
      <c r="A66" s="2093"/>
      <c r="C66" s="2094"/>
      <c r="E66" s="2093"/>
    </row>
    <row r="67" s="2012" customFormat="1" spans="1:5">
      <c r="A67" s="2093"/>
      <c r="C67" s="2094"/>
      <c r="E67" s="2093"/>
    </row>
    <row r="68" s="2012" customFormat="1" spans="1:5">
      <c r="A68" s="2093"/>
      <c r="C68" s="2094"/>
      <c r="E68" s="2093"/>
    </row>
    <row r="69" s="2012" customFormat="1" spans="1:5">
      <c r="A69" s="2093"/>
      <c r="C69" s="2094"/>
      <c r="E69" s="2093"/>
    </row>
    <row r="70" s="2012" customFormat="1" spans="1:5">
      <c r="A70" s="2093"/>
      <c r="C70" s="2094"/>
      <c r="E70" s="2093"/>
    </row>
    <row r="71" s="2012" customFormat="1" spans="1:5">
      <c r="A71" s="2093"/>
      <c r="C71" s="2094"/>
      <c r="E71" s="2093"/>
    </row>
    <row r="72" s="2012" customFormat="1" spans="1:5">
      <c r="A72" s="2093"/>
      <c r="C72" s="2094"/>
      <c r="E72" s="2093"/>
    </row>
    <row r="73" s="2012" customFormat="1" spans="1:5">
      <c r="A73" s="2093"/>
      <c r="C73" s="2094"/>
      <c r="E73" s="2093"/>
    </row>
    <row r="74" s="2012" customFormat="1" spans="1:5">
      <c r="A74" s="2093"/>
      <c r="C74" s="2094"/>
      <c r="E74" s="2093"/>
    </row>
    <row r="75" s="2012" customFormat="1" spans="1:5">
      <c r="A75" s="2093"/>
      <c r="C75" s="2094"/>
      <c r="E75" s="2093"/>
    </row>
    <row r="76" s="2012" customFormat="1" spans="1:5">
      <c r="A76" s="2093"/>
      <c r="C76" s="2094"/>
      <c r="E76" s="2093"/>
    </row>
    <row r="77" s="2012" customFormat="1" spans="1:5">
      <c r="A77" s="2093"/>
      <c r="C77" s="2094"/>
      <c r="E77" s="2093"/>
    </row>
    <row r="78" s="2012" customFormat="1" spans="1:5">
      <c r="A78" s="2093"/>
      <c r="C78" s="2094"/>
      <c r="E78" s="2093"/>
    </row>
    <row r="79" s="2012" customFormat="1" spans="1:5">
      <c r="A79" s="2093"/>
      <c r="C79" s="2094"/>
      <c r="E79" s="2093"/>
    </row>
    <row r="80" s="2012" customFormat="1" spans="1:5">
      <c r="A80" s="2093"/>
      <c r="C80" s="2094"/>
      <c r="E80" s="2093"/>
    </row>
    <row r="81" s="2012" customFormat="1" spans="1:5">
      <c r="A81" s="2093"/>
      <c r="C81" s="2094"/>
      <c r="E81" s="2093"/>
    </row>
    <row r="82" s="2012" customFormat="1" spans="1:5">
      <c r="A82" s="2093"/>
      <c r="C82" s="2094"/>
      <c r="E82" s="2093"/>
    </row>
    <row r="83" s="2012" customFormat="1" spans="1:5">
      <c r="A83" s="2093"/>
      <c r="C83" s="2094"/>
      <c r="E83" s="2093"/>
    </row>
    <row r="84" s="2012" customFormat="1" spans="1:5">
      <c r="A84" s="2093"/>
      <c r="C84" s="2094"/>
      <c r="E84" s="2093"/>
    </row>
    <row r="85" s="2012" customFormat="1" spans="1:5">
      <c r="A85" s="2093"/>
      <c r="C85" s="2094"/>
      <c r="E85" s="2093"/>
    </row>
    <row r="86" s="2012" customFormat="1" spans="1:5">
      <c r="A86" s="2093"/>
      <c r="C86" s="2094"/>
      <c r="E86" s="2093"/>
    </row>
    <row r="87" s="2012" customFormat="1" spans="1:5">
      <c r="A87" s="2093"/>
      <c r="C87" s="2094"/>
      <c r="E87" s="2093"/>
    </row>
    <row r="88" s="2012" customFormat="1" spans="1:5">
      <c r="A88" s="2093"/>
      <c r="C88" s="2094"/>
      <c r="E88" s="2093"/>
    </row>
    <row r="89" s="2012" customFormat="1" spans="1:5">
      <c r="A89" s="2093"/>
      <c r="C89" s="2094"/>
      <c r="E89" s="2093"/>
    </row>
    <row r="90" s="2012" customFormat="1" spans="1:5">
      <c r="A90" s="2093"/>
      <c r="C90" s="2094"/>
      <c r="E90" s="2093"/>
    </row>
    <row r="91" s="2012" customFormat="1" spans="1:5">
      <c r="A91" s="2093"/>
      <c r="C91" s="2094"/>
      <c r="E91" s="2093"/>
    </row>
    <row r="92" s="2012" customFormat="1" spans="1:5">
      <c r="A92" s="2093"/>
      <c r="C92" s="2094"/>
      <c r="E92" s="2093"/>
    </row>
    <row r="93" s="2012" customFormat="1" spans="1:5">
      <c r="A93" s="2093"/>
      <c r="C93" s="2094"/>
      <c r="E93" s="2093"/>
    </row>
    <row r="94" s="2012" customFormat="1" spans="1:5">
      <c r="A94" s="2093"/>
      <c r="C94" s="2094"/>
      <c r="E94" s="2093"/>
    </row>
    <row r="95" s="2012" customFormat="1" spans="1:5">
      <c r="A95" s="2093"/>
      <c r="C95" s="2094"/>
      <c r="E95" s="2093"/>
    </row>
    <row r="96" s="2012" customFormat="1" spans="1:5">
      <c r="A96" s="2093"/>
      <c r="C96" s="2094"/>
      <c r="E96" s="2093"/>
    </row>
    <row r="97" s="2012" customFormat="1" spans="1:5">
      <c r="A97" s="2093"/>
      <c r="C97" s="2094"/>
      <c r="E97" s="2093"/>
    </row>
    <row r="98" s="2012" customFormat="1" spans="1:5">
      <c r="A98" s="2093"/>
      <c r="C98" s="2094"/>
      <c r="E98" s="2093"/>
    </row>
    <row r="99" s="2012" customFormat="1" spans="1:5">
      <c r="A99" s="2093"/>
      <c r="C99" s="2094"/>
      <c r="E99" s="2093"/>
    </row>
    <row r="100" s="2012" customFormat="1" spans="1:5">
      <c r="A100" s="2093"/>
      <c r="C100" s="2094"/>
      <c r="E100" s="2093"/>
    </row>
    <row r="101" s="2012" customFormat="1" spans="1:5">
      <c r="A101" s="2093"/>
      <c r="C101" s="2094"/>
      <c r="E101" s="2093"/>
    </row>
    <row r="102" s="2012" customFormat="1" spans="1:5">
      <c r="A102" s="2093"/>
      <c r="C102" s="2094"/>
      <c r="E102" s="2093"/>
    </row>
    <row r="103" s="2012" customFormat="1" spans="1:5">
      <c r="A103" s="2093"/>
      <c r="C103" s="2094"/>
      <c r="E103" s="2093"/>
    </row>
    <row r="104" s="2012" customFormat="1" spans="1:5">
      <c r="A104" s="2093"/>
      <c r="C104" s="2094"/>
      <c r="E104" s="2093"/>
    </row>
    <row r="105" s="2012" customFormat="1" spans="1:5">
      <c r="A105" s="2093"/>
      <c r="C105" s="2094"/>
      <c r="E105" s="2093"/>
    </row>
    <row r="106" s="2012" customFormat="1" spans="1:5">
      <c r="A106" s="2093"/>
      <c r="C106" s="2094"/>
      <c r="E106" s="2093"/>
    </row>
    <row r="107" s="2012" customFormat="1" spans="1:5">
      <c r="A107" s="2093"/>
      <c r="C107" s="2094"/>
      <c r="E107" s="2093"/>
    </row>
    <row r="108" s="2012" customFormat="1" spans="1:5">
      <c r="A108" s="2093"/>
      <c r="C108" s="2094"/>
      <c r="E108" s="2093"/>
    </row>
    <row r="109" s="2012" customFormat="1" spans="1:5">
      <c r="A109" s="2093"/>
      <c r="C109" s="2094"/>
      <c r="E109" s="2093"/>
    </row>
    <row r="110" s="2012" customFormat="1" spans="1:5">
      <c r="A110" s="2093"/>
      <c r="C110" s="2094"/>
      <c r="E110" s="2093"/>
    </row>
    <row r="111" s="2012" customFormat="1" spans="1:5">
      <c r="A111" s="2093"/>
      <c r="C111" s="2094"/>
      <c r="E111" s="2093"/>
    </row>
    <row r="112" s="2012" customFormat="1" spans="1:5">
      <c r="A112" s="2093"/>
      <c r="C112" s="2094"/>
      <c r="E112" s="2093"/>
    </row>
    <row r="113" s="2012" customFormat="1" spans="1:5">
      <c r="A113" s="2093"/>
      <c r="C113" s="2094"/>
      <c r="E113" s="2093"/>
    </row>
    <row r="114" s="2012" customFormat="1" spans="1:5">
      <c r="A114" s="2093"/>
      <c r="C114" s="2094"/>
      <c r="E114" s="2093"/>
    </row>
    <row r="115" s="2012" customFormat="1" spans="1:5">
      <c r="A115" s="2093"/>
      <c r="C115" s="2094"/>
      <c r="E115" s="2093"/>
    </row>
    <row r="116" s="2012" customFormat="1" spans="1:5">
      <c r="A116" s="2093"/>
      <c r="C116" s="2094"/>
      <c r="E116" s="2093"/>
    </row>
    <row r="117" s="2012" customFormat="1" spans="1:5">
      <c r="A117" s="2093"/>
      <c r="C117" s="2094"/>
      <c r="E117" s="2093"/>
    </row>
    <row r="118" s="2012" customFormat="1" spans="1:5">
      <c r="A118" s="2093"/>
      <c r="C118" s="2094"/>
      <c r="E118" s="2093"/>
    </row>
    <row r="119" s="2012" customFormat="1" spans="1:5">
      <c r="A119" s="2093"/>
      <c r="C119" s="2094"/>
      <c r="E119" s="2093"/>
    </row>
    <row r="120" s="2012" customFormat="1" spans="1:5">
      <c r="A120" s="2093"/>
      <c r="C120" s="2094"/>
      <c r="E120" s="2093"/>
    </row>
    <row r="121" s="2012" customFormat="1" spans="1:5">
      <c r="A121" s="2093"/>
      <c r="C121" s="2094"/>
      <c r="E121" s="2093"/>
    </row>
    <row r="122" s="2012" customFormat="1" spans="1:5">
      <c r="A122" s="2093"/>
      <c r="C122" s="2094"/>
      <c r="E122" s="2093"/>
    </row>
    <row r="123" s="2012" customFormat="1" spans="1:5">
      <c r="A123" s="2093"/>
      <c r="C123" s="2094"/>
      <c r="E123" s="2093"/>
    </row>
    <row r="124" s="2012" customFormat="1" spans="1:5">
      <c r="A124" s="2093"/>
      <c r="C124" s="2094"/>
      <c r="E124" s="2093"/>
    </row>
    <row r="125" s="2012" customFormat="1" spans="1:5">
      <c r="A125" s="2093"/>
      <c r="C125" s="2094"/>
      <c r="E125" s="2093"/>
    </row>
    <row r="126" s="2012" customFormat="1" spans="1:5">
      <c r="A126" s="2093"/>
      <c r="C126" s="2094"/>
      <c r="E126" s="2093"/>
    </row>
    <row r="127" s="2012" customFormat="1" spans="1:5">
      <c r="A127" s="2093"/>
      <c r="C127" s="2094"/>
      <c r="E127" s="2093"/>
    </row>
    <row r="128" s="2012" customFormat="1" spans="1:5">
      <c r="A128" s="2093"/>
      <c r="C128" s="2094"/>
      <c r="E128" s="2093"/>
    </row>
    <row r="129" s="2012" customFormat="1" spans="1:5">
      <c r="A129" s="2093"/>
      <c r="C129" s="2094"/>
      <c r="E129" s="2093"/>
    </row>
    <row r="130" s="2012" customFormat="1" spans="1:5">
      <c r="A130" s="2093"/>
      <c r="C130" s="2094"/>
      <c r="E130" s="2093"/>
    </row>
    <row r="131" s="2012" customFormat="1" spans="1:5">
      <c r="A131" s="2093"/>
      <c r="C131" s="2094"/>
      <c r="E131" s="2093"/>
    </row>
    <row r="132" s="2012" customFormat="1" spans="1:5">
      <c r="A132" s="2093"/>
      <c r="C132" s="2094"/>
      <c r="E132" s="2093"/>
    </row>
    <row r="133" s="2012" customFormat="1" spans="1:5">
      <c r="A133" s="2093"/>
      <c r="C133" s="2094"/>
      <c r="E133" s="2093"/>
    </row>
    <row r="134" s="2012" customFormat="1" spans="1:5">
      <c r="A134" s="2093"/>
      <c r="C134" s="2094"/>
      <c r="E134" s="2093"/>
    </row>
    <row r="135" s="2012" customFormat="1" spans="1:5">
      <c r="A135" s="2093"/>
      <c r="C135" s="2094"/>
      <c r="E135" s="2093"/>
    </row>
    <row r="136" s="2012" customFormat="1" spans="1:5">
      <c r="A136" s="2093"/>
      <c r="C136" s="2094"/>
      <c r="E136" s="2093"/>
    </row>
    <row r="137" s="2012" customFormat="1" spans="1:5">
      <c r="A137" s="2093"/>
      <c r="C137" s="2094"/>
      <c r="E137" s="2093"/>
    </row>
    <row r="138" s="2012" customFormat="1" spans="1:5">
      <c r="A138" s="2093"/>
      <c r="C138" s="2094"/>
      <c r="E138" s="2093"/>
    </row>
    <row r="139" s="2012" customFormat="1" spans="1:5">
      <c r="A139" s="2093"/>
      <c r="C139" s="2094"/>
      <c r="E139" s="2093"/>
    </row>
    <row r="140" s="2012" customFormat="1" spans="1:5">
      <c r="A140" s="2093"/>
      <c r="C140" s="2094"/>
      <c r="E140" s="2093"/>
    </row>
    <row r="141" s="2012" customFormat="1" spans="1:5">
      <c r="A141" s="2093"/>
      <c r="C141" s="2094"/>
      <c r="E141" s="2093"/>
    </row>
    <row r="142" s="2012" customFormat="1" spans="1:5">
      <c r="A142" s="2093"/>
      <c r="C142" s="2094"/>
      <c r="E142" s="2093"/>
    </row>
    <row r="143" s="2012" customFormat="1" spans="1:5">
      <c r="A143" s="2093"/>
      <c r="C143" s="2094"/>
      <c r="E143" s="2093"/>
    </row>
    <row r="144" s="2012" customFormat="1" spans="1:5">
      <c r="A144" s="2093"/>
      <c r="C144" s="2094"/>
      <c r="E144" s="2093"/>
    </row>
    <row r="145" s="2012" customFormat="1" spans="1:5">
      <c r="A145" s="2093"/>
      <c r="C145" s="2094"/>
      <c r="E145" s="2093"/>
    </row>
    <row r="146" s="2012" customFormat="1" spans="1:5">
      <c r="A146" s="2093"/>
      <c r="C146" s="2094"/>
      <c r="E146" s="2093"/>
    </row>
    <row r="147" s="2012" customFormat="1" spans="1:5">
      <c r="A147" s="2093"/>
      <c r="C147" s="2094"/>
      <c r="E147" s="2093"/>
    </row>
    <row r="148" s="2012" customFormat="1" spans="1:5">
      <c r="A148" s="2093"/>
      <c r="C148" s="2094"/>
      <c r="E148" s="2093"/>
    </row>
    <row r="149" s="2012" customFormat="1" spans="1:5">
      <c r="A149" s="2093"/>
      <c r="C149" s="2094"/>
      <c r="E149" s="2093"/>
    </row>
    <row r="150" s="2012" customFormat="1" spans="1:5">
      <c r="A150" s="2093"/>
      <c r="C150" s="2094"/>
      <c r="E150" s="2093"/>
    </row>
    <row r="151" s="2012" customFormat="1" spans="1:5">
      <c r="A151" s="2093"/>
      <c r="C151" s="2094"/>
      <c r="E151" s="2093"/>
    </row>
    <row r="152" s="2012" customFormat="1" spans="1:5">
      <c r="A152" s="2093"/>
      <c r="C152" s="2094"/>
      <c r="E152" s="2093"/>
    </row>
    <row r="153" s="2012" customFormat="1" spans="1:5">
      <c r="A153" s="2093"/>
      <c r="C153" s="2094"/>
      <c r="E153" s="2093"/>
    </row>
    <row r="154" s="2012" customFormat="1" spans="1:5">
      <c r="A154" s="2093"/>
      <c r="C154" s="2094"/>
      <c r="E154" s="2093"/>
    </row>
    <row r="155" s="2012" customFormat="1" spans="1:5">
      <c r="A155" s="2093"/>
      <c r="C155" s="2094"/>
      <c r="E155" s="2093"/>
    </row>
    <row r="156" s="2012" customFormat="1" spans="1:5">
      <c r="A156" s="2093"/>
      <c r="C156" s="2094"/>
      <c r="E156" s="2093"/>
    </row>
    <row r="157" s="2012" customFormat="1" spans="1:5">
      <c r="A157" s="2093"/>
      <c r="C157" s="2094"/>
      <c r="E157" s="2093"/>
    </row>
    <row r="158" s="2012" customFormat="1" spans="1:5">
      <c r="A158" s="2093"/>
      <c r="C158" s="2094"/>
      <c r="E158" s="2093"/>
    </row>
    <row r="159" s="2012" customFormat="1" spans="1:5">
      <c r="A159" s="2093"/>
      <c r="C159" s="2094"/>
      <c r="E159" s="2093"/>
    </row>
    <row r="160" s="2012" customFormat="1" spans="1:5">
      <c r="A160" s="2093"/>
      <c r="C160" s="2094"/>
      <c r="E160" s="2093"/>
    </row>
    <row r="161" s="2012" customFormat="1" spans="1:5">
      <c r="A161" s="2093"/>
      <c r="C161" s="2094"/>
      <c r="E161" s="2093"/>
    </row>
    <row r="162" s="2012" customFormat="1" spans="1:5">
      <c r="A162" s="2093"/>
      <c r="C162" s="2094"/>
      <c r="E162" s="2093"/>
    </row>
    <row r="163" s="2012" customFormat="1" spans="1:5">
      <c r="A163" s="2093"/>
      <c r="C163" s="2094"/>
      <c r="E163" s="2093"/>
    </row>
    <row r="164" s="2012" customFormat="1" spans="1:5">
      <c r="A164" s="2093"/>
      <c r="C164" s="2094"/>
      <c r="E164" s="2093"/>
    </row>
    <row r="165" s="2012" customFormat="1" spans="1:5">
      <c r="A165" s="2093"/>
      <c r="C165" s="2094"/>
      <c r="E165" s="2093"/>
    </row>
    <row r="166" s="2012" customFormat="1" spans="1:5">
      <c r="A166" s="2093"/>
      <c r="C166" s="2094"/>
      <c r="E166" s="2093"/>
    </row>
    <row r="167" s="2012" customFormat="1" spans="1:5">
      <c r="A167" s="2093"/>
      <c r="C167" s="2094"/>
      <c r="E167" s="2093"/>
    </row>
    <row r="168" s="2012" customFormat="1" spans="1:5">
      <c r="A168" s="2093"/>
      <c r="C168" s="2094"/>
      <c r="E168" s="2093"/>
    </row>
    <row r="169" s="2012" customFormat="1" spans="1:5">
      <c r="A169" s="2093"/>
      <c r="C169" s="2094"/>
      <c r="E169" s="2093"/>
    </row>
    <row r="170" s="2012" customFormat="1" spans="1:5">
      <c r="A170" s="2093"/>
      <c r="C170" s="2094"/>
      <c r="E170" s="2093"/>
    </row>
    <row r="171" s="2012" customFormat="1" spans="1:5">
      <c r="A171" s="2093"/>
      <c r="C171" s="2094"/>
      <c r="E171" s="2093"/>
    </row>
    <row r="172" s="2012" customFormat="1" spans="1:5">
      <c r="A172" s="2093"/>
      <c r="C172" s="2094"/>
      <c r="E172" s="2093"/>
    </row>
    <row r="173" s="2012" customFormat="1" spans="1:5">
      <c r="A173" s="2093"/>
      <c r="C173" s="2094"/>
      <c r="E173" s="2093"/>
    </row>
    <row r="174" s="2012" customFormat="1" spans="1:5">
      <c r="A174" s="2093"/>
      <c r="C174" s="2094"/>
      <c r="E174" s="2093"/>
    </row>
    <row r="175" s="2012" customFormat="1" spans="1:5">
      <c r="A175" s="2093"/>
      <c r="C175" s="2094"/>
      <c r="E175" s="2093"/>
    </row>
    <row r="176" s="2012" customFormat="1" spans="1:5">
      <c r="A176" s="2093"/>
      <c r="C176" s="2094"/>
      <c r="E176" s="2093"/>
    </row>
    <row r="177" s="2012" customFormat="1" spans="1:5">
      <c r="A177" s="2093"/>
      <c r="C177" s="2094"/>
      <c r="E177" s="2093"/>
    </row>
    <row r="178" s="2012" customFormat="1" spans="1:5">
      <c r="A178" s="2093"/>
      <c r="C178" s="2094"/>
      <c r="E178" s="2093"/>
    </row>
    <row r="179" s="2012" customFormat="1" spans="1:5">
      <c r="A179" s="2093"/>
      <c r="C179" s="2094"/>
      <c r="E179" s="2093"/>
    </row>
    <row r="180" s="2012" customFormat="1" spans="1:5">
      <c r="A180" s="2093"/>
      <c r="C180" s="2094"/>
      <c r="E180" s="2093"/>
    </row>
    <row r="181" s="2012" customFormat="1" spans="1:5">
      <c r="A181" s="2093"/>
      <c r="C181" s="2094"/>
      <c r="E181" s="2093"/>
    </row>
    <row r="182" s="2012" customFormat="1" spans="1:5">
      <c r="A182" s="2093"/>
      <c r="C182" s="2094"/>
      <c r="E182" s="2093"/>
    </row>
    <row r="183" s="2012" customFormat="1" spans="1:5">
      <c r="A183" s="2093"/>
      <c r="C183" s="2094"/>
      <c r="E183" s="2093"/>
    </row>
    <row r="184" s="2012" customFormat="1" spans="1:5">
      <c r="A184" s="2093"/>
      <c r="C184" s="2094"/>
      <c r="E184" s="2093"/>
    </row>
    <row r="185" s="2012" customFormat="1" spans="1:5">
      <c r="A185" s="2093"/>
      <c r="C185" s="2094"/>
      <c r="E185" s="2093"/>
    </row>
    <row r="186" s="2012" customFormat="1" spans="1:5">
      <c r="A186" s="2093"/>
      <c r="C186" s="2094"/>
      <c r="E186" s="2093"/>
    </row>
    <row r="187" s="2012" customFormat="1" spans="1:5">
      <c r="A187" s="2093"/>
      <c r="C187" s="2094"/>
      <c r="E187" s="2093"/>
    </row>
    <row r="188" s="2012" customFormat="1" spans="1:5">
      <c r="A188" s="2093"/>
      <c r="C188" s="2094"/>
      <c r="E188" s="2093"/>
    </row>
    <row r="189" s="2012" customFormat="1" spans="1:5">
      <c r="A189" s="2093"/>
      <c r="C189" s="2094"/>
      <c r="E189" s="2093"/>
    </row>
    <row r="190" s="2012" customFormat="1" spans="1:5">
      <c r="A190" s="2093"/>
      <c r="C190" s="2094"/>
      <c r="E190" s="2093"/>
    </row>
    <row r="191" s="2012" customFormat="1" spans="1:5">
      <c r="A191" s="2093"/>
      <c r="C191" s="2094"/>
      <c r="E191" s="2093"/>
    </row>
    <row r="192" s="2012" customFormat="1" spans="1:5">
      <c r="A192" s="2093"/>
      <c r="C192" s="2094"/>
      <c r="E192" s="2093"/>
    </row>
    <row r="193" s="2012" customFormat="1" spans="1:5">
      <c r="A193" s="2093"/>
      <c r="C193" s="2094"/>
      <c r="E193" s="2093"/>
    </row>
    <row r="194" s="2012" customFormat="1" spans="1:5">
      <c r="A194" s="2093"/>
      <c r="C194" s="2094"/>
      <c r="E194" s="2093"/>
    </row>
    <row r="195" s="2012" customFormat="1" spans="1:5">
      <c r="A195" s="2093"/>
      <c r="C195" s="2094"/>
      <c r="E195" s="2093"/>
    </row>
    <row r="196" s="2012" customFormat="1" spans="1:5">
      <c r="A196" s="2093"/>
      <c r="C196" s="2094"/>
      <c r="E196" s="2093"/>
    </row>
    <row r="197" s="2012" customFormat="1" spans="1:5">
      <c r="A197" s="2093"/>
      <c r="C197" s="2094"/>
      <c r="E197" s="2093"/>
    </row>
    <row r="198" s="2012" customFormat="1" spans="1:5">
      <c r="A198" s="2093"/>
      <c r="C198" s="2094"/>
      <c r="E198" s="2093"/>
    </row>
    <row r="199" s="2012" customFormat="1" spans="1:5">
      <c r="A199" s="2093"/>
      <c r="C199" s="2094"/>
      <c r="E199" s="2093"/>
    </row>
    <row r="200" s="2012" customFormat="1" spans="1:5">
      <c r="A200" s="2093"/>
      <c r="C200" s="2094"/>
      <c r="E200" s="2093"/>
    </row>
    <row r="201" s="2012" customFormat="1" spans="1:5">
      <c r="A201" s="2093"/>
      <c r="C201" s="2094"/>
      <c r="E201" s="2093"/>
    </row>
    <row r="202" s="2012" customFormat="1" spans="1:5">
      <c r="A202" s="2093"/>
      <c r="C202" s="2094"/>
      <c r="E202" s="2093"/>
    </row>
    <row r="203" s="2012" customFormat="1" spans="1:5">
      <c r="A203" s="2093"/>
      <c r="C203" s="2094"/>
      <c r="E203" s="2093"/>
    </row>
    <row r="204" s="2012" customFormat="1" spans="1:5">
      <c r="A204" s="2093"/>
      <c r="C204" s="2094"/>
      <c r="E204" s="2093"/>
    </row>
    <row r="205" s="2012" customFormat="1" spans="1:5">
      <c r="A205" s="2093"/>
      <c r="C205" s="2094"/>
      <c r="E205" s="2093"/>
    </row>
    <row r="206" s="2012" customFormat="1" spans="1:5">
      <c r="A206" s="2093"/>
      <c r="C206" s="2094"/>
      <c r="E206" s="2093"/>
    </row>
    <row r="207" s="2012" customFormat="1" spans="1:5">
      <c r="A207" s="2093"/>
      <c r="C207" s="2094"/>
      <c r="E207" s="2093"/>
    </row>
    <row r="208" s="2012" customFormat="1" spans="1:5">
      <c r="A208" s="2093"/>
      <c r="C208" s="2094"/>
      <c r="E208" s="2093"/>
    </row>
    <row r="209" s="2012" customFormat="1" spans="1:5">
      <c r="A209" s="2093"/>
      <c r="C209" s="2094"/>
      <c r="E209" s="2093"/>
    </row>
    <row r="210" s="2012" customFormat="1" spans="1:5">
      <c r="A210" s="2093"/>
      <c r="C210" s="2094"/>
      <c r="E210" s="2093"/>
    </row>
    <row r="211" s="2012" customFormat="1" spans="1:5">
      <c r="A211" s="2093"/>
      <c r="C211" s="2094"/>
      <c r="E211" s="2093"/>
    </row>
    <row r="212" s="2012" customFormat="1" spans="1:5">
      <c r="A212" s="2093"/>
      <c r="C212" s="2094"/>
      <c r="E212" s="2093"/>
    </row>
  </sheetData>
  <sheetProtection password="CEE9" sheet="1" formatCells="0" formatColumns="0" formatRows="0" objects="1" scenarios="1"/>
  <mergeCells count="4">
    <mergeCell ref="A24:B24"/>
    <mergeCell ref="A25:B25"/>
    <mergeCell ref="A26:B26"/>
    <mergeCell ref="A27:B27"/>
  </mergeCells>
  <dataValidations count="1">
    <dataValidation type="list" allowBlank="1" showInputMessage="1" showErrorMessage="1" sqref="B1 C7:K7">
      <formula1>项目类型</formula1>
    </dataValidation>
  </dataValidations>
  <pageMargins left="0.7" right="0.7" top="0.75" bottom="0.75" header="0.3" footer="0.3"/>
  <pageSetup paperSize="9" scale="71"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259"/>
  <sheetViews>
    <sheetView view="pageBreakPreview" zoomScale="60" zoomScaleNormal="95" topLeftCell="A21" workbookViewId="0">
      <selection activeCell="D31" sqref="D31"/>
    </sheetView>
  </sheetViews>
  <sheetFormatPr defaultColWidth="9" defaultRowHeight="14.25"/>
  <cols>
    <col min="1" max="1" width="15.625" style="201" customWidth="1"/>
    <col min="2" max="2" width="15.75" style="201" customWidth="1"/>
    <col min="3" max="3" width="15.25" style="201" customWidth="1"/>
    <col min="4" max="4" width="12.25" style="201" customWidth="1"/>
    <col min="5" max="5" width="16.125" style="201" customWidth="1"/>
    <col min="6" max="6" width="12.25" style="201" customWidth="1"/>
    <col min="7" max="7" width="15.625" style="201" customWidth="1"/>
    <col min="8" max="8" width="12.25" style="201" customWidth="1"/>
    <col min="9" max="9" width="15.625" style="201" customWidth="1"/>
    <col min="10" max="10" width="12.25" style="201" customWidth="1"/>
    <col min="11" max="11" width="12.25" style="202" customWidth="1"/>
    <col min="12" max="12" width="12.25" style="203" customWidth="1"/>
    <col min="13" max="15" width="12.25" style="201" customWidth="1"/>
    <col min="16" max="16" width="4.75" style="201" customWidth="1"/>
    <col min="17" max="17" width="19.5" style="201" customWidth="1"/>
    <col min="18" max="22" width="6.125" style="201" customWidth="1"/>
    <col min="23" max="23" width="5.75" style="201" customWidth="1"/>
    <col min="24" max="24" width="4.25" style="201" customWidth="1"/>
    <col min="25" max="25" width="3.5" style="201" customWidth="1"/>
    <col min="26" max="26" width="19.75" style="201" customWidth="1"/>
    <col min="27" max="28" width="9.375" style="201" customWidth="1"/>
    <col min="29" max="16384" width="9" style="201"/>
  </cols>
  <sheetData>
    <row r="1" s="195" customFormat="1" ht="28.5" customHeight="1" spans="1:30">
      <c r="A1" s="204" t="s">
        <v>1280</v>
      </c>
      <c r="B1" s="576"/>
      <c r="C1" s="206" t="s">
        <v>1281</v>
      </c>
      <c r="D1" s="1857" t="s">
        <v>1282</v>
      </c>
      <c r="E1" s="208"/>
      <c r="F1" s="855"/>
      <c r="G1" s="208"/>
      <c r="H1" s="208"/>
      <c r="I1" s="208"/>
      <c r="J1" s="208"/>
      <c r="K1" s="390"/>
      <c r="L1" s="391"/>
      <c r="M1" s="392"/>
      <c r="N1" s="392"/>
      <c r="O1" s="392"/>
      <c r="P1" s="393"/>
      <c r="Q1" s="393"/>
      <c r="R1" s="393"/>
      <c r="S1" s="393"/>
      <c r="T1" s="393"/>
      <c r="U1" s="393"/>
      <c r="V1" s="393"/>
      <c r="W1" s="393"/>
      <c r="X1" s="393"/>
      <c r="Y1" s="393"/>
      <c r="Z1" s="393"/>
      <c r="AA1" s="393"/>
      <c r="AB1" s="393"/>
      <c r="AC1" s="503"/>
      <c r="AD1" s="1994"/>
    </row>
    <row r="2" s="195" customFormat="1" ht="28.5" customHeight="1" spans="1:30">
      <c r="A2" s="211" t="s">
        <v>1202</v>
      </c>
      <c r="B2" s="1859" t="e">
        <f ca="1">F68</f>
        <v>#DIV/0!</v>
      </c>
      <c r="C2" s="1969"/>
      <c r="D2" s="1969"/>
      <c r="E2" s="1860"/>
      <c r="F2" s="1861"/>
      <c r="G2" s="1860"/>
      <c r="H2" s="1860"/>
      <c r="I2" s="1860"/>
      <c r="J2" s="1860"/>
      <c r="K2" s="1924"/>
      <c r="L2" s="395"/>
      <c r="M2" s="393"/>
      <c r="N2" s="393"/>
      <c r="O2" s="393"/>
      <c r="P2" s="393"/>
      <c r="Q2" s="393"/>
      <c r="R2" s="393"/>
      <c r="S2" s="393"/>
      <c r="T2" s="393"/>
      <c r="U2" s="393"/>
      <c r="V2" s="393"/>
      <c r="W2" s="393"/>
      <c r="X2" s="393"/>
      <c r="Y2" s="393"/>
      <c r="Z2" s="393"/>
      <c r="AA2" s="393"/>
      <c r="AB2" s="393"/>
      <c r="AC2" s="503"/>
      <c r="AD2" s="1994"/>
    </row>
    <row r="3" s="195" customFormat="1" ht="28.5" customHeight="1" spans="1:29">
      <c r="A3" s="730" t="s">
        <v>714</v>
      </c>
      <c r="B3" s="217" t="e">
        <f ca="1">ROUND(B2*10000/'数据-汇总表'!E3,0)</f>
        <v>#DIV/0!</v>
      </c>
      <c r="C3" s="733"/>
      <c r="D3" s="1970"/>
      <c r="E3" s="733"/>
      <c r="F3" s="733"/>
      <c r="G3" s="1860"/>
      <c r="H3" s="1860"/>
      <c r="I3" s="1860"/>
      <c r="J3" s="1860"/>
      <c r="K3" s="1924"/>
      <c r="L3" s="395"/>
      <c r="M3" s="393"/>
      <c r="N3" s="393"/>
      <c r="O3" s="393"/>
      <c r="P3" s="393"/>
      <c r="Q3" s="393"/>
      <c r="R3" s="393"/>
      <c r="S3" s="393"/>
      <c r="T3" s="393"/>
      <c r="U3" s="393"/>
      <c r="V3" s="393"/>
      <c r="W3" s="393"/>
      <c r="X3" s="393"/>
      <c r="Y3" s="393"/>
      <c r="Z3" s="393"/>
      <c r="AA3" s="393"/>
      <c r="AB3" s="504"/>
      <c r="AC3" s="505"/>
    </row>
    <row r="4" s="195" customFormat="1" ht="28.5" customHeight="1" spans="1:29">
      <c r="A4" s="1863" t="s">
        <v>1283</v>
      </c>
      <c r="B4" s="732" t="e">
        <f ca="1">IF(B48="单位面积地价",C50,ROUND(B2*10000/'数据-汇总表'!D3,0))</f>
        <v>#DIV/0!</v>
      </c>
      <c r="C4" s="733"/>
      <c r="D4" s="1970"/>
      <c r="E4" s="733"/>
      <c r="F4" s="733"/>
      <c r="G4" s="1860"/>
      <c r="H4" s="1860"/>
      <c r="I4" s="1860"/>
      <c r="J4" s="1860"/>
      <c r="K4" s="1924"/>
      <c r="L4" s="395"/>
      <c r="M4" s="393"/>
      <c r="N4" s="393"/>
      <c r="O4" s="393"/>
      <c r="P4" s="393"/>
      <c r="Q4" s="393"/>
      <c r="R4" s="393"/>
      <c r="S4" s="393"/>
      <c r="T4" s="393"/>
      <c r="U4" s="393"/>
      <c r="V4" s="393"/>
      <c r="W4" s="393"/>
      <c r="X4" s="393"/>
      <c r="Y4" s="393"/>
      <c r="Z4" s="393"/>
      <c r="AA4" s="393"/>
      <c r="AB4" s="393"/>
      <c r="AC4" s="505"/>
    </row>
    <row r="5" s="195" customFormat="1" ht="28.5" customHeight="1" spans="1:29">
      <c r="A5" s="734"/>
      <c r="B5" s="735" t="e">
        <f ca="1">ROUND(B2/('数据-汇总表'!D3/666.67),0)</f>
        <v>#DIV/0!</v>
      </c>
      <c r="C5" s="736" t="s">
        <v>1204</v>
      </c>
      <c r="D5" s="733"/>
      <c r="E5" s="733"/>
      <c r="F5" s="733"/>
      <c r="G5" s="1860"/>
      <c r="H5" s="1860"/>
      <c r="I5" s="1860"/>
      <c r="J5" s="1860"/>
      <c r="K5" s="1924"/>
      <c r="L5" s="395"/>
      <c r="M5" s="393"/>
      <c r="N5" s="393"/>
      <c r="O5" s="393"/>
      <c r="P5" s="393"/>
      <c r="Q5" s="393"/>
      <c r="R5" s="393"/>
      <c r="S5" s="393"/>
      <c r="T5" s="393"/>
      <c r="U5" s="393"/>
      <c r="V5" s="393"/>
      <c r="W5" s="393"/>
      <c r="X5" s="393"/>
      <c r="Y5" s="393"/>
      <c r="Z5" s="393"/>
      <c r="AA5" s="393"/>
      <c r="AB5" s="393"/>
      <c r="AC5" s="505"/>
    </row>
    <row r="6" ht="20.25" spans="1:29">
      <c r="A6" s="220" t="s">
        <v>1284</v>
      </c>
      <c r="B6" s="221"/>
      <c r="C6" s="222" t="s">
        <v>1285</v>
      </c>
      <c r="D6" s="223"/>
      <c r="E6" s="222" t="s">
        <v>1286</v>
      </c>
      <c r="F6" s="223"/>
      <c r="G6" s="222" t="s">
        <v>1287</v>
      </c>
      <c r="H6" s="223"/>
      <c r="I6" s="222" t="s">
        <v>1288</v>
      </c>
      <c r="J6" s="223"/>
      <c r="K6" s="396" t="s">
        <v>1289</v>
      </c>
      <c r="L6" s="397"/>
      <c r="M6" s="393"/>
      <c r="N6" s="393"/>
      <c r="O6" s="398"/>
      <c r="P6" s="399" t="s">
        <v>1290</v>
      </c>
      <c r="Q6" s="472"/>
      <c r="R6" s="473" t="s">
        <v>1286</v>
      </c>
      <c r="S6" s="474"/>
      <c r="T6" s="473" t="s">
        <v>1287</v>
      </c>
      <c r="U6" s="474"/>
      <c r="V6" s="475" t="s">
        <v>1288</v>
      </c>
      <c r="W6" s="475"/>
      <c r="X6" s="476"/>
      <c r="Y6" s="473" t="s">
        <v>1290</v>
      </c>
      <c r="Z6" s="474"/>
      <c r="AA6" s="506" t="s">
        <v>1286</v>
      </c>
      <c r="AB6" s="476" t="s">
        <v>1287</v>
      </c>
      <c r="AC6" s="506" t="s">
        <v>1288</v>
      </c>
    </row>
    <row r="7" ht="20.25" spans="1:29">
      <c r="A7" s="226"/>
      <c r="B7" s="227"/>
      <c r="C7" s="228" t="s">
        <v>1291</v>
      </c>
      <c r="D7" s="229"/>
      <c r="E7" s="228" t="s">
        <v>1292</v>
      </c>
      <c r="F7" s="229"/>
      <c r="G7" s="228" t="s">
        <v>1293</v>
      </c>
      <c r="H7" s="229"/>
      <c r="I7" s="228" t="s">
        <v>1294</v>
      </c>
      <c r="J7" s="229"/>
      <c r="K7" s="396"/>
      <c r="L7" s="397"/>
      <c r="M7" s="393"/>
      <c r="N7" s="393"/>
      <c r="O7" s="398"/>
      <c r="P7" s="400"/>
      <c r="Q7" s="477"/>
      <c r="R7" s="478"/>
      <c r="S7" s="479"/>
      <c r="T7" s="478"/>
      <c r="U7" s="479"/>
      <c r="V7" s="475"/>
      <c r="W7" s="475"/>
      <c r="X7" s="476"/>
      <c r="Y7" s="478"/>
      <c r="Z7" s="479"/>
      <c r="AA7" s="476"/>
      <c r="AB7" s="476"/>
      <c r="AC7" s="476"/>
    </row>
    <row r="8" ht="21" spans="1:29">
      <c r="A8" s="226"/>
      <c r="B8" s="227"/>
      <c r="C8" s="542" t="s">
        <v>1295</v>
      </c>
      <c r="D8" s="543"/>
      <c r="E8" s="542" t="s">
        <v>1295</v>
      </c>
      <c r="F8" s="543"/>
      <c r="G8" s="234" t="s">
        <v>1295</v>
      </c>
      <c r="H8" s="235"/>
      <c r="I8" s="234" t="s">
        <v>1295</v>
      </c>
      <c r="J8" s="235"/>
      <c r="K8" s="396" t="s">
        <v>1296</v>
      </c>
      <c r="L8" s="397"/>
      <c r="M8" s="393"/>
      <c r="N8" s="393"/>
      <c r="O8" s="398"/>
      <c r="P8" s="401"/>
      <c r="Q8" s="480"/>
      <c r="R8" s="478"/>
      <c r="S8" s="479"/>
      <c r="T8" s="481"/>
      <c r="U8" s="482"/>
      <c r="V8" s="475"/>
      <c r="W8" s="475"/>
      <c r="X8" s="476"/>
      <c r="Y8" s="481"/>
      <c r="Z8" s="482"/>
      <c r="AA8" s="507"/>
      <c r="AB8" s="507"/>
      <c r="AC8" s="507"/>
    </row>
    <row r="9" s="196" customFormat="1" ht="21" spans="1:29">
      <c r="A9" s="238"/>
      <c r="B9" s="239" t="s">
        <v>1297</v>
      </c>
      <c r="C9" s="1971">
        <f>'数据-取费表'!B2</f>
        <v>44519</v>
      </c>
      <c r="D9" s="241">
        <v>100</v>
      </c>
      <c r="E9" s="242"/>
      <c r="F9" s="243">
        <f>SUMIF(72:72,YEAR(E9)&amp;"-"&amp;INT((MONTH(E9)+2)/3),73:73)</f>
        <v>0</v>
      </c>
      <c r="G9" s="244"/>
      <c r="H9" s="241">
        <f>SUMIF(72:72,YEAR(G9)&amp;"-"&amp;INT((MONTH(G9)+2)/3),73:73)</f>
        <v>0</v>
      </c>
      <c r="I9" s="244"/>
      <c r="J9" s="241">
        <f>SUMIF(72:72,YEAR(I9)&amp;"-"&amp;INT((MONTH(I9)+2)/3),73:73)</f>
        <v>0</v>
      </c>
      <c r="K9" s="402"/>
      <c r="L9" s="403"/>
      <c r="M9" s="393"/>
      <c r="N9" s="393"/>
      <c r="O9" s="404"/>
      <c r="P9" s="405" t="s">
        <v>1298</v>
      </c>
      <c r="Q9" s="483"/>
      <c r="R9" s="484" t="s">
        <v>1299</v>
      </c>
      <c r="S9" s="485">
        <f t="shared" ref="S9:S17" si="0">F9</f>
        <v>0</v>
      </c>
      <c r="T9" s="484" t="s">
        <v>1299</v>
      </c>
      <c r="U9" s="485">
        <f t="shared" ref="U9:U17" si="1">H9</f>
        <v>0</v>
      </c>
      <c r="V9" s="484" t="s">
        <v>1299</v>
      </c>
      <c r="W9" s="485">
        <f t="shared" ref="W9:W17" si="2">J9</f>
        <v>0</v>
      </c>
      <c r="X9" s="486"/>
      <c r="Y9" s="405" t="s">
        <v>1298</v>
      </c>
      <c r="Z9" s="487"/>
      <c r="AA9" s="508" t="e">
        <f>D9/F9</f>
        <v>#DIV/0!</v>
      </c>
      <c r="AB9" s="508" t="e">
        <f>D9/H9</f>
        <v>#DIV/0!</v>
      </c>
      <c r="AC9" s="508" t="e">
        <f>D9/J9</f>
        <v>#DIV/0!</v>
      </c>
    </row>
    <row r="10" s="196" customFormat="1" ht="21" spans="1:29">
      <c r="A10" s="245"/>
      <c r="B10" s="246" t="s">
        <v>1300</v>
      </c>
      <c r="C10" s="635" t="s">
        <v>1301</v>
      </c>
      <c r="D10" s="241">
        <v>100</v>
      </c>
      <c r="E10" s="247"/>
      <c r="F10" s="243">
        <f>SUMIF(75:75,E10,76:76)-SUMIF(75:75,C10,76:76)+100</f>
        <v>0</v>
      </c>
      <c r="G10" s="247"/>
      <c r="H10" s="241">
        <f>SUMIF(75:75,G10,76:76)-SUMIF(75:75,C10,76:76)+100</f>
        <v>0</v>
      </c>
      <c r="I10" s="247"/>
      <c r="J10" s="241">
        <f>SUMIF(75:75,I10,76:76)-SUMIF(75:75,C10,76:76)+100</f>
        <v>0</v>
      </c>
      <c r="K10" s="402"/>
      <c r="L10" s="403"/>
      <c r="M10" s="393"/>
      <c r="N10" s="393"/>
      <c r="O10" s="404"/>
      <c r="P10" s="405" t="s">
        <v>1302</v>
      </c>
      <c r="Q10" s="487"/>
      <c r="R10" s="484" t="s">
        <v>1299</v>
      </c>
      <c r="S10" s="485">
        <f t="shared" si="0"/>
        <v>0</v>
      </c>
      <c r="T10" s="484" t="s">
        <v>1299</v>
      </c>
      <c r="U10" s="485">
        <f t="shared" si="1"/>
        <v>0</v>
      </c>
      <c r="V10" s="484" t="s">
        <v>1299</v>
      </c>
      <c r="W10" s="485">
        <f t="shared" si="2"/>
        <v>0</v>
      </c>
      <c r="X10" s="486"/>
      <c r="Y10" s="405" t="s">
        <v>1302</v>
      </c>
      <c r="Z10" s="487"/>
      <c r="AA10" s="508" t="e">
        <f t="shared" ref="AA10:AA47" si="3">D10/F10</f>
        <v>#DIV/0!</v>
      </c>
      <c r="AB10" s="508" t="e">
        <f t="shared" ref="AB10:AB47" si="4">D10/H10</f>
        <v>#DIV/0!</v>
      </c>
      <c r="AC10" s="508" t="e">
        <f t="shared" ref="AC10:AC47" si="5">D10/J10</f>
        <v>#DIV/0!</v>
      </c>
    </row>
    <row r="11" s="196" customFormat="1" ht="20.25" spans="1:29">
      <c r="A11" s="248"/>
      <c r="B11" s="249" t="s">
        <v>1303</v>
      </c>
      <c r="C11" s="1972"/>
      <c r="D11" s="251">
        <v>100</v>
      </c>
      <c r="E11" s="1864"/>
      <c r="F11" s="251">
        <f>SUMIF(77:77,E11,78:78)-SUMIF(77:77,C11,78:78)+100</f>
        <v>100</v>
      </c>
      <c r="G11" s="1864"/>
      <c r="H11" s="251">
        <f>SUMIF(77:77,G11,78:78)-SUMIF(77:77,C11,78:78)+100</f>
        <v>100</v>
      </c>
      <c r="I11" s="1864"/>
      <c r="J11" s="251">
        <f>SUMIF(77:77,I11,78:78)-SUMIF(77:77,C11,78:78)+100</f>
        <v>100</v>
      </c>
      <c r="K11" s="402"/>
      <c r="L11" s="403"/>
      <c r="M11" s="393"/>
      <c r="N11" s="393"/>
      <c r="O11" s="406"/>
      <c r="P11" s="407" t="s">
        <v>1304</v>
      </c>
      <c r="Q11" s="488" t="str">
        <f t="shared" ref="Q11:Q17" si="6">B11</f>
        <v>用途</v>
      </c>
      <c r="R11" s="484" t="s">
        <v>1299</v>
      </c>
      <c r="S11" s="485">
        <f t="shared" si="0"/>
        <v>100</v>
      </c>
      <c r="T11" s="484" t="s">
        <v>1299</v>
      </c>
      <c r="U11" s="485">
        <f t="shared" si="1"/>
        <v>100</v>
      </c>
      <c r="V11" s="484" t="s">
        <v>1299</v>
      </c>
      <c r="W11" s="485">
        <f t="shared" si="2"/>
        <v>100</v>
      </c>
      <c r="X11" s="486"/>
      <c r="Y11" s="488" t="s">
        <v>1305</v>
      </c>
      <c r="Z11" s="509" t="str">
        <f t="shared" ref="Z11:Z17" si="7">Q11</f>
        <v>用途</v>
      </c>
      <c r="AA11" s="508">
        <f t="shared" si="3"/>
        <v>1</v>
      </c>
      <c r="AB11" s="508">
        <f t="shared" si="4"/>
        <v>1</v>
      </c>
      <c r="AC11" s="508">
        <f t="shared" si="5"/>
        <v>1</v>
      </c>
    </row>
    <row r="12" s="197" customFormat="1" ht="27" spans="1:29">
      <c r="A12" s="253"/>
      <c r="B12" s="246" t="s">
        <v>1306</v>
      </c>
      <c r="C12" s="1757"/>
      <c r="D12" s="255">
        <v>100</v>
      </c>
      <c r="E12" s="639"/>
      <c r="F12" s="255">
        <f ca="1">ROUND(100/'数据-取费表'!G16,0)</f>
        <v>109</v>
      </c>
      <c r="G12" s="638"/>
      <c r="H12" s="255">
        <f ca="1">ROUND(100/'数据-取费表'!G16,0)</f>
        <v>109</v>
      </c>
      <c r="I12" s="638"/>
      <c r="J12" s="255">
        <f ca="1">ROUND(100/'数据-取费表'!G16,0)</f>
        <v>109</v>
      </c>
      <c r="K12" s="1925"/>
      <c r="L12" s="409"/>
      <c r="M12" s="393"/>
      <c r="N12" s="393"/>
      <c r="O12" s="411"/>
      <c r="P12" s="407"/>
      <c r="Q12" s="488" t="str">
        <f t="shared" si="6"/>
        <v>土地使用年限（年）</v>
      </c>
      <c r="R12" s="484" t="s">
        <v>1299</v>
      </c>
      <c r="S12" s="485">
        <f ca="1" t="shared" si="0"/>
        <v>109</v>
      </c>
      <c r="T12" s="484" t="s">
        <v>1299</v>
      </c>
      <c r="U12" s="485">
        <f ca="1" t="shared" si="1"/>
        <v>109</v>
      </c>
      <c r="V12" s="484" t="s">
        <v>1299</v>
      </c>
      <c r="W12" s="485">
        <f ca="1" t="shared" si="2"/>
        <v>109</v>
      </c>
      <c r="X12" s="486"/>
      <c r="Y12" s="488"/>
      <c r="Z12" s="509" t="str">
        <f t="shared" si="7"/>
        <v>土地使用年限（年）</v>
      </c>
      <c r="AA12" s="508">
        <f ca="1" t="shared" si="3"/>
        <v>0.917431192660551</v>
      </c>
      <c r="AB12" s="508">
        <f ca="1" t="shared" si="4"/>
        <v>0.917431192660551</v>
      </c>
      <c r="AC12" s="508">
        <f ca="1" t="shared" si="5"/>
        <v>0.917431192660551</v>
      </c>
    </row>
    <row r="13" ht="20.25" spans="1:29">
      <c r="A13" s="577"/>
      <c r="B13" s="246" t="s">
        <v>1307</v>
      </c>
      <c r="C13" s="579"/>
      <c r="D13" s="255">
        <v>100</v>
      </c>
      <c r="E13" s="578"/>
      <c r="F13" s="255" t="e">
        <f>LOOKUP(E13,82:82,83:83)-LOOKUP(C13,82:82,83:83)+100</f>
        <v>#N/A</v>
      </c>
      <c r="G13" s="579"/>
      <c r="H13" s="255" t="e">
        <f>LOOKUP(G13,82:82,83:83)-LOOKUP(C13,82:82,83:83)+100</f>
        <v>#N/A</v>
      </c>
      <c r="I13" s="578"/>
      <c r="J13" s="255" t="e">
        <f>LOOKUP(I13,82:82,83:83)-LOOKUP(C13,82:82,83:83)+100</f>
        <v>#N/A</v>
      </c>
      <c r="K13" s="1926"/>
      <c r="L13" s="413"/>
      <c r="M13" s="393"/>
      <c r="N13" s="393"/>
      <c r="O13" s="414"/>
      <c r="P13" s="407"/>
      <c r="Q13" s="488" t="str">
        <f t="shared" si="6"/>
        <v>容积率</v>
      </c>
      <c r="R13" s="484" t="s">
        <v>1299</v>
      </c>
      <c r="S13" s="485" t="e">
        <f t="shared" si="0"/>
        <v>#N/A</v>
      </c>
      <c r="T13" s="484" t="s">
        <v>1299</v>
      </c>
      <c r="U13" s="485" t="e">
        <f t="shared" si="1"/>
        <v>#N/A</v>
      </c>
      <c r="V13" s="484" t="s">
        <v>1299</v>
      </c>
      <c r="W13" s="485" t="e">
        <f t="shared" si="2"/>
        <v>#N/A</v>
      </c>
      <c r="X13" s="486"/>
      <c r="Y13" s="488"/>
      <c r="Z13" s="509" t="str">
        <f t="shared" si="7"/>
        <v>容积率</v>
      </c>
      <c r="AA13" s="508" t="e">
        <f t="shared" si="3"/>
        <v>#N/A</v>
      </c>
      <c r="AB13" s="508" t="e">
        <f t="shared" si="4"/>
        <v>#N/A</v>
      </c>
      <c r="AC13" s="508" t="e">
        <f t="shared" si="5"/>
        <v>#N/A</v>
      </c>
    </row>
    <row r="14" s="196" customFormat="1" ht="20.25" spans="1:29">
      <c r="A14" s="245"/>
      <c r="B14" s="1973" t="s">
        <v>1308</v>
      </c>
      <c r="C14" s="1974"/>
      <c r="D14" s="261">
        <v>100</v>
      </c>
      <c r="E14" s="1975"/>
      <c r="F14" s="255">
        <f>SUMIF(84:84,E14,85:85)-SUMIF(84:84,C14,85:85)+100</f>
        <v>100</v>
      </c>
      <c r="G14" s="638"/>
      <c r="H14" s="255">
        <f>SUMIF(84:84,G14,85:85)-SUMIF(84:84,C14,85:85)+100</f>
        <v>100</v>
      </c>
      <c r="I14" s="639"/>
      <c r="J14" s="255">
        <f>SUMIF(84:84,I14,85:85)-SUMIF(84:84,C14,85:85)+100</f>
        <v>100</v>
      </c>
      <c r="K14" s="1925"/>
      <c r="L14" s="403"/>
      <c r="M14" s="393"/>
      <c r="N14" s="393"/>
      <c r="O14" s="406"/>
      <c r="P14" s="407"/>
      <c r="Q14" s="488" t="str">
        <f t="shared" si="6"/>
        <v>配建</v>
      </c>
      <c r="R14" s="484" t="s">
        <v>1299</v>
      </c>
      <c r="S14" s="485">
        <f t="shared" si="0"/>
        <v>100</v>
      </c>
      <c r="T14" s="484" t="s">
        <v>1299</v>
      </c>
      <c r="U14" s="485">
        <f t="shared" si="1"/>
        <v>100</v>
      </c>
      <c r="V14" s="484" t="s">
        <v>1299</v>
      </c>
      <c r="W14" s="485">
        <f t="shared" si="2"/>
        <v>100</v>
      </c>
      <c r="X14" s="486"/>
      <c r="Y14" s="488"/>
      <c r="Z14" s="509" t="str">
        <f t="shared" si="7"/>
        <v>配建</v>
      </c>
      <c r="AA14" s="508">
        <f t="shared" si="3"/>
        <v>1</v>
      </c>
      <c r="AB14" s="508">
        <f t="shared" si="4"/>
        <v>1</v>
      </c>
      <c r="AC14" s="508">
        <f t="shared" si="5"/>
        <v>1</v>
      </c>
    </row>
    <row r="15" ht="20.25" spans="1:29">
      <c r="A15" s="257"/>
      <c r="B15" s="258">
        <v>111</v>
      </c>
      <c r="C15" s="613"/>
      <c r="D15" s="265">
        <v>100</v>
      </c>
      <c r="E15" s="381"/>
      <c r="F15" s="255">
        <f>SUMIF(86:86,E15,87:87)-SUMIF(86:86,C15,87:87)+100</f>
        <v>100</v>
      </c>
      <c r="G15" s="1865"/>
      <c r="H15" s="265">
        <f>SUMIF(86:86,G15,87:87)-SUMIF(86:86,C15,87:87)+100</f>
        <v>100</v>
      </c>
      <c r="I15" s="1865"/>
      <c r="J15" s="265">
        <f>SUMIF(86:86,I15,87:87)-SUMIF(86:86,C15,87:87)+100</f>
        <v>100</v>
      </c>
      <c r="K15" s="1925"/>
      <c r="L15" s="415"/>
      <c r="M15" s="393"/>
      <c r="N15" s="393"/>
      <c r="O15" s="414"/>
      <c r="P15" s="407"/>
      <c r="Q15" s="488">
        <f t="shared" si="6"/>
        <v>111</v>
      </c>
      <c r="R15" s="484" t="s">
        <v>1299</v>
      </c>
      <c r="S15" s="485">
        <f t="shared" si="0"/>
        <v>100</v>
      </c>
      <c r="T15" s="484" t="s">
        <v>1299</v>
      </c>
      <c r="U15" s="485">
        <f t="shared" si="1"/>
        <v>100</v>
      </c>
      <c r="V15" s="484" t="s">
        <v>1299</v>
      </c>
      <c r="W15" s="485">
        <f t="shared" si="2"/>
        <v>100</v>
      </c>
      <c r="X15" s="486"/>
      <c r="Y15" s="488"/>
      <c r="Z15" s="509">
        <f t="shared" si="7"/>
        <v>111</v>
      </c>
      <c r="AA15" s="508">
        <f t="shared" si="3"/>
        <v>1</v>
      </c>
      <c r="AB15" s="508">
        <f t="shared" si="4"/>
        <v>1</v>
      </c>
      <c r="AC15" s="508">
        <f t="shared" si="5"/>
        <v>1</v>
      </c>
    </row>
    <row r="16" ht="21" spans="1:29">
      <c r="A16" s="262"/>
      <c r="B16" s="263">
        <v>111</v>
      </c>
      <c r="C16" s="1766"/>
      <c r="D16" s="318">
        <v>100</v>
      </c>
      <c r="E16" s="381"/>
      <c r="F16" s="318">
        <f>SUMIF(88:88,E16,89:89)-SUMIF(88:88,C16,89:89)+100</f>
        <v>100</v>
      </c>
      <c r="G16" s="1865"/>
      <c r="H16" s="318">
        <f>SUMIF(88:88,G16,89:89)-SUMIF(88:88,C16,89:89)+100</f>
        <v>100</v>
      </c>
      <c r="I16" s="1865"/>
      <c r="J16" s="318">
        <f>SUMIF(88:88,I16,89:89)-SUMIF(88:88,C16,89:89)+100</f>
        <v>100</v>
      </c>
      <c r="K16" s="1925"/>
      <c r="L16" s="415"/>
      <c r="M16" s="393"/>
      <c r="N16" s="393"/>
      <c r="O16" s="414"/>
      <c r="P16" s="407"/>
      <c r="Q16" s="488">
        <f t="shared" si="6"/>
        <v>111</v>
      </c>
      <c r="R16" s="484" t="s">
        <v>1299</v>
      </c>
      <c r="S16" s="485">
        <f t="shared" si="0"/>
        <v>100</v>
      </c>
      <c r="T16" s="484" t="s">
        <v>1299</v>
      </c>
      <c r="U16" s="485">
        <f t="shared" si="1"/>
        <v>100</v>
      </c>
      <c r="V16" s="484" t="s">
        <v>1299</v>
      </c>
      <c r="W16" s="485">
        <f t="shared" si="2"/>
        <v>100</v>
      </c>
      <c r="X16" s="486"/>
      <c r="Y16" s="488"/>
      <c r="Z16" s="509">
        <f t="shared" si="7"/>
        <v>111</v>
      </c>
      <c r="AA16" s="508">
        <f t="shared" si="3"/>
        <v>1</v>
      </c>
      <c r="AB16" s="508">
        <f t="shared" si="4"/>
        <v>1</v>
      </c>
      <c r="AC16" s="508">
        <f t="shared" si="5"/>
        <v>1</v>
      </c>
    </row>
    <row r="17" ht="94.5" spans="1:29">
      <c r="A17" s="266" t="s">
        <v>1309</v>
      </c>
      <c r="B17" s="291" t="s">
        <v>225</v>
      </c>
      <c r="C17" s="1758" t="str">
        <f>估价对象房地状况!C15</f>
        <v>估价对象周边居住用地比例、居住小区规模和社区发展完善程度，综合评价居住社区成熟度一般</v>
      </c>
      <c r="D17" s="271">
        <v>100</v>
      </c>
      <c r="E17" s="272"/>
      <c r="F17" s="269">
        <f>SUMIF(90:90,E18,91:91)-SUMIF(90:90,C18,91:91)+100</f>
        <v>100</v>
      </c>
      <c r="G17" s="270"/>
      <c r="H17" s="269">
        <f>SUMIF(90:90,G18,91:91)-SUMIF(90:90,C18,91:91)+100</f>
        <v>100</v>
      </c>
      <c r="I17" s="272"/>
      <c r="J17" s="269">
        <f>SUMIF(90:90,I18,91:91)-SUMIF(90:90,C18,91:91)+100</f>
        <v>100</v>
      </c>
      <c r="K17" s="1926"/>
      <c r="L17" s="415"/>
      <c r="M17" s="393"/>
      <c r="N17" s="393"/>
      <c r="O17" s="414"/>
      <c r="P17" s="417" t="s">
        <v>1310</v>
      </c>
      <c r="Q17" s="407" t="str">
        <f t="shared" si="6"/>
        <v>居住社区成熟度</v>
      </c>
      <c r="R17" s="489" t="s">
        <v>1299</v>
      </c>
      <c r="S17" s="490">
        <f t="shared" si="0"/>
        <v>100</v>
      </c>
      <c r="T17" s="489" t="s">
        <v>1299</v>
      </c>
      <c r="U17" s="490">
        <f t="shared" si="1"/>
        <v>100</v>
      </c>
      <c r="V17" s="489" t="s">
        <v>1299</v>
      </c>
      <c r="W17" s="490">
        <f t="shared" si="2"/>
        <v>100</v>
      </c>
      <c r="X17" s="476"/>
      <c r="Y17" s="417" t="s">
        <v>1310</v>
      </c>
      <c r="Z17" s="475" t="str">
        <f t="shared" si="7"/>
        <v>居住社区成熟度</v>
      </c>
      <c r="AA17" s="495">
        <f t="shared" si="3"/>
        <v>1</v>
      </c>
      <c r="AB17" s="495">
        <f t="shared" si="4"/>
        <v>1</v>
      </c>
      <c r="AC17" s="495">
        <f t="shared" si="5"/>
        <v>1</v>
      </c>
    </row>
    <row r="18" ht="20.25" spans="1:29">
      <c r="A18" s="273"/>
      <c r="B18" s="1759"/>
      <c r="C18" s="1760"/>
      <c r="D18" s="277"/>
      <c r="E18" s="584"/>
      <c r="F18" s="276"/>
      <c r="G18" s="583"/>
      <c r="H18" s="278"/>
      <c r="I18" s="584"/>
      <c r="J18" s="276"/>
      <c r="K18" s="1925"/>
      <c r="L18" s="415"/>
      <c r="M18" s="393"/>
      <c r="N18" s="393"/>
      <c r="O18" s="414"/>
      <c r="P18" s="419"/>
      <c r="Q18" s="407"/>
      <c r="R18" s="489"/>
      <c r="S18" s="490"/>
      <c r="T18" s="489"/>
      <c r="U18" s="490"/>
      <c r="V18" s="489"/>
      <c r="W18" s="490"/>
      <c r="X18" s="476"/>
      <c r="Y18" s="419"/>
      <c r="Z18" s="475"/>
      <c r="AA18" s="495">
        <v>1</v>
      </c>
      <c r="AB18" s="495">
        <v>1</v>
      </c>
      <c r="AC18" s="495">
        <v>1</v>
      </c>
    </row>
    <row r="19" ht="68.25" spans="1:29">
      <c r="A19" s="273"/>
      <c r="B19" s="547" t="s">
        <v>226</v>
      </c>
      <c r="C19" s="1976" t="str">
        <f>估价对象房地状况!C16</f>
        <v>估价对象位于XX商圈，周边商业氛围成熟，人流量大，商业繁华度好</v>
      </c>
      <c r="D19" s="289">
        <v>100</v>
      </c>
      <c r="E19" s="290"/>
      <c r="F19" s="278">
        <f>SUMIF(92:92,E20,93:93)-SUMIF(92:92,C20,93:93)+100</f>
        <v>100</v>
      </c>
      <c r="G19" s="288"/>
      <c r="H19" s="281">
        <f>SUMIF(92:92,G20,93:93)-SUMIF(92:92,C20,93:93)+100</f>
        <v>100</v>
      </c>
      <c r="I19" s="290"/>
      <c r="J19" s="281">
        <f>SUMIF(92:92,I20,93:93)-SUMIF(92:92,C20,93:93)+100</f>
        <v>100</v>
      </c>
      <c r="K19" s="1926"/>
      <c r="L19" s="415"/>
      <c r="M19" s="393"/>
      <c r="N19" s="393"/>
      <c r="O19" s="414"/>
      <c r="P19" s="419"/>
      <c r="Q19" s="407" t="str">
        <f>B19</f>
        <v>商业繁华度</v>
      </c>
      <c r="R19" s="489" t="s">
        <v>1299</v>
      </c>
      <c r="S19" s="490">
        <f>F19</f>
        <v>100</v>
      </c>
      <c r="T19" s="489" t="s">
        <v>1299</v>
      </c>
      <c r="U19" s="490">
        <f>H19</f>
        <v>100</v>
      </c>
      <c r="V19" s="489" t="s">
        <v>1299</v>
      </c>
      <c r="W19" s="490">
        <f>J19</f>
        <v>100</v>
      </c>
      <c r="X19" s="476"/>
      <c r="Y19" s="419"/>
      <c r="Z19" s="475" t="str">
        <f>Q19</f>
        <v>商业繁华度</v>
      </c>
      <c r="AA19" s="495">
        <f t="shared" si="3"/>
        <v>1</v>
      </c>
      <c r="AB19" s="495">
        <f t="shared" si="4"/>
        <v>1</v>
      </c>
      <c r="AC19" s="495">
        <f t="shared" si="5"/>
        <v>1</v>
      </c>
    </row>
    <row r="20" ht="20.25" spans="1:29">
      <c r="A20" s="273"/>
      <c r="B20" s="285"/>
      <c r="C20" s="1762"/>
      <c r="D20" s="289"/>
      <c r="E20" s="582"/>
      <c r="F20" s="278"/>
      <c r="G20" s="581"/>
      <c r="H20" s="276"/>
      <c r="I20" s="582"/>
      <c r="J20" s="276"/>
      <c r="K20" s="1925"/>
      <c r="L20" s="415"/>
      <c r="M20" s="393"/>
      <c r="N20" s="393"/>
      <c r="O20" s="414"/>
      <c r="P20" s="419"/>
      <c r="Q20" s="407"/>
      <c r="R20" s="489"/>
      <c r="S20" s="490"/>
      <c r="T20" s="489"/>
      <c r="U20" s="490"/>
      <c r="V20" s="489"/>
      <c r="W20" s="490"/>
      <c r="X20" s="476"/>
      <c r="Y20" s="419"/>
      <c r="Z20" s="475"/>
      <c r="AA20" s="495">
        <v>1</v>
      </c>
      <c r="AB20" s="495">
        <v>1</v>
      </c>
      <c r="AC20" s="495">
        <v>1</v>
      </c>
    </row>
    <row r="21" ht="68.25" spans="1:29">
      <c r="A21" s="273"/>
      <c r="B21" s="547" t="s">
        <v>227</v>
      </c>
      <c r="C21" s="1976" t="str">
        <f>估价对象房地状况!C17</f>
        <v>估价对象位于XX商圈，周边办公楼项目较多，入驻率高，办公集聚程度较好</v>
      </c>
      <c r="D21" s="283">
        <v>100</v>
      </c>
      <c r="E21" s="284"/>
      <c r="F21" s="281">
        <f>SUMIF(94:94,E22,95:95)-SUMIF(94:94,C22,95:95)+100</f>
        <v>100</v>
      </c>
      <c r="G21" s="282"/>
      <c r="H21" s="278">
        <f>SUMIF(94:94,G22,95:95)-SUMIF(94:94,C22,95:95)+100</f>
        <v>100</v>
      </c>
      <c r="I21" s="284"/>
      <c r="J21" s="278">
        <f>SUMIF(94:94,I22,95:95)-SUMIF(94:94,C22,95:95)+100</f>
        <v>100</v>
      </c>
      <c r="K21" s="1926"/>
      <c r="L21" s="415"/>
      <c r="M21" s="393"/>
      <c r="N21" s="393"/>
      <c r="O21" s="414"/>
      <c r="P21" s="419"/>
      <c r="Q21" s="407" t="str">
        <f>B21</f>
        <v>办公集聚程度</v>
      </c>
      <c r="R21" s="489" t="s">
        <v>1299</v>
      </c>
      <c r="S21" s="490">
        <f>F21</f>
        <v>100</v>
      </c>
      <c r="T21" s="489" t="s">
        <v>1299</v>
      </c>
      <c r="U21" s="490">
        <f>H21</f>
        <v>100</v>
      </c>
      <c r="V21" s="489" t="s">
        <v>1299</v>
      </c>
      <c r="W21" s="490">
        <f>J21</f>
        <v>100</v>
      </c>
      <c r="X21" s="476"/>
      <c r="Y21" s="419"/>
      <c r="Z21" s="475" t="str">
        <f>Q21</f>
        <v>办公集聚程度</v>
      </c>
      <c r="AA21" s="495">
        <f t="shared" si="3"/>
        <v>1</v>
      </c>
      <c r="AB21" s="495">
        <f t="shared" si="4"/>
        <v>1</v>
      </c>
      <c r="AC21" s="495">
        <f t="shared" si="5"/>
        <v>1</v>
      </c>
    </row>
    <row r="22" ht="20.25" spans="1:29">
      <c r="A22" s="273"/>
      <c r="B22" s="285"/>
      <c r="C22" s="1760"/>
      <c r="D22" s="277"/>
      <c r="E22" s="584"/>
      <c r="F22" s="276"/>
      <c r="G22" s="583"/>
      <c r="H22" s="276"/>
      <c r="I22" s="584"/>
      <c r="J22" s="276"/>
      <c r="K22" s="1925"/>
      <c r="L22" s="415"/>
      <c r="M22" s="393"/>
      <c r="N22" s="393"/>
      <c r="O22" s="414"/>
      <c r="P22" s="419"/>
      <c r="Q22" s="407"/>
      <c r="R22" s="489"/>
      <c r="S22" s="490"/>
      <c r="T22" s="489"/>
      <c r="U22" s="490"/>
      <c r="V22" s="489"/>
      <c r="W22" s="490"/>
      <c r="X22" s="476"/>
      <c r="Y22" s="419"/>
      <c r="Z22" s="475"/>
      <c r="AA22" s="495">
        <v>1</v>
      </c>
      <c r="AB22" s="495">
        <v>1</v>
      </c>
      <c r="AC22" s="495">
        <v>1</v>
      </c>
    </row>
    <row r="23" ht="81" spans="1:29">
      <c r="A23" s="273"/>
      <c r="B23" s="547" t="s">
        <v>229</v>
      </c>
      <c r="C23" s="1761" t="str">
        <f>估价对象房地状况!C18</f>
        <v>估价对象周边道路状况、公共交通通达情况、停车便捷程度，综合评价交通便捷度较好</v>
      </c>
      <c r="D23" s="289">
        <v>100</v>
      </c>
      <c r="E23" s="290"/>
      <c r="F23" s="281">
        <f>SUMIF(96:96,E24,97:97)-SUMIF(96:96,C24,97:97)+100</f>
        <v>100</v>
      </c>
      <c r="G23" s="288"/>
      <c r="H23" s="278">
        <f>SUMIF(96:96,G24,97:97)-SUMIF(96:96,C24,97:97)+100</f>
        <v>100</v>
      </c>
      <c r="I23" s="290"/>
      <c r="J23" s="278">
        <f>SUMIF(96:96,I24,97:97)-SUMIF(96:96,C24,97:97)+100</f>
        <v>100</v>
      </c>
      <c r="K23" s="1926"/>
      <c r="L23" s="415"/>
      <c r="M23" s="393"/>
      <c r="N23" s="393"/>
      <c r="O23" s="414"/>
      <c r="P23" s="419"/>
      <c r="Q23" s="407" t="str">
        <f>B23</f>
        <v>交通便捷度</v>
      </c>
      <c r="R23" s="489" t="s">
        <v>1299</v>
      </c>
      <c r="S23" s="490">
        <f>F23</f>
        <v>100</v>
      </c>
      <c r="T23" s="489" t="s">
        <v>1299</v>
      </c>
      <c r="U23" s="490">
        <f>H23</f>
        <v>100</v>
      </c>
      <c r="V23" s="489" t="s">
        <v>1299</v>
      </c>
      <c r="W23" s="490">
        <f>J23</f>
        <v>100</v>
      </c>
      <c r="X23" s="476"/>
      <c r="Y23" s="419"/>
      <c r="Z23" s="475" t="str">
        <f>Q23</f>
        <v>交通便捷度</v>
      </c>
      <c r="AA23" s="495">
        <f t="shared" si="3"/>
        <v>1</v>
      </c>
      <c r="AB23" s="495">
        <f t="shared" si="4"/>
        <v>1</v>
      </c>
      <c r="AC23" s="495">
        <f t="shared" si="5"/>
        <v>1</v>
      </c>
    </row>
    <row r="24" ht="20.25" spans="1:29">
      <c r="A24" s="273"/>
      <c r="B24" s="291"/>
      <c r="C24" s="1760"/>
      <c r="D24" s="277"/>
      <c r="E24" s="584"/>
      <c r="F24" s="276"/>
      <c r="G24" s="583"/>
      <c r="H24" s="276"/>
      <c r="I24" s="584"/>
      <c r="J24" s="276"/>
      <c r="K24" s="1925"/>
      <c r="L24" s="415"/>
      <c r="M24" s="393"/>
      <c r="N24" s="393"/>
      <c r="O24" s="414"/>
      <c r="P24" s="419"/>
      <c r="Q24" s="407"/>
      <c r="R24" s="489"/>
      <c r="S24" s="490"/>
      <c r="T24" s="489"/>
      <c r="U24" s="490"/>
      <c r="V24" s="489"/>
      <c r="W24" s="490"/>
      <c r="X24" s="476"/>
      <c r="Y24" s="419"/>
      <c r="Z24" s="475"/>
      <c r="AA24" s="495">
        <v>1</v>
      </c>
      <c r="AB24" s="495">
        <v>1</v>
      </c>
      <c r="AC24" s="495">
        <v>1</v>
      </c>
    </row>
    <row r="25" ht="20.25" spans="1:29">
      <c r="A25" s="226"/>
      <c r="B25" s="1977" t="s">
        <v>230</v>
      </c>
      <c r="C25" s="1761">
        <f>估价对象房地状况!C19</f>
        <v>0</v>
      </c>
      <c r="D25" s="289">
        <v>100</v>
      </c>
      <c r="E25" s="290"/>
      <c r="F25" s="281">
        <f>SUMIF(98:98,E26,99:99)-SUMIF(98:98,C26,99:99)+100</f>
        <v>100</v>
      </c>
      <c r="G25" s="288"/>
      <c r="H25" s="278">
        <f>SUMIF(98:98,G26,99:99)-SUMIF(98:98,C26,99:99)+100</f>
        <v>100</v>
      </c>
      <c r="I25" s="290"/>
      <c r="J25" s="278">
        <f>SUMIF(98:98,I26,99:99)-SUMIF(98:98,C26,99:99)+100</f>
        <v>100</v>
      </c>
      <c r="K25" s="1926"/>
      <c r="L25" s="415"/>
      <c r="M25" s="393"/>
      <c r="N25" s="393"/>
      <c r="O25" s="414"/>
      <c r="P25" s="419"/>
      <c r="Q25" s="407" t="str">
        <f t="shared" ref="Q25:Q40" si="8">B25</f>
        <v>区域土地利用方向</v>
      </c>
      <c r="R25" s="489" t="s">
        <v>1299</v>
      </c>
      <c r="S25" s="490">
        <f>F25</f>
        <v>100</v>
      </c>
      <c r="T25" s="489" t="s">
        <v>1299</v>
      </c>
      <c r="U25" s="490">
        <f>H25</f>
        <v>100</v>
      </c>
      <c r="V25" s="489" t="s">
        <v>1299</v>
      </c>
      <c r="W25" s="490">
        <f>J25</f>
        <v>100</v>
      </c>
      <c r="X25" s="476"/>
      <c r="Y25" s="419"/>
      <c r="Z25" s="475" t="str">
        <f>Q25</f>
        <v>区域土地利用方向</v>
      </c>
      <c r="AA25" s="495">
        <f t="shared" si="3"/>
        <v>1</v>
      </c>
      <c r="AB25" s="495">
        <f t="shared" si="4"/>
        <v>1</v>
      </c>
      <c r="AC25" s="495">
        <f t="shared" si="5"/>
        <v>1</v>
      </c>
    </row>
    <row r="26" ht="20.25" spans="1:29">
      <c r="A26" s="226"/>
      <c r="B26" s="1978"/>
      <c r="C26" s="1760"/>
      <c r="D26" s="277"/>
      <c r="E26" s="584"/>
      <c r="F26" s="276"/>
      <c r="G26" s="583"/>
      <c r="H26" s="276"/>
      <c r="I26" s="584"/>
      <c r="J26" s="276"/>
      <c r="K26" s="1925"/>
      <c r="L26" s="415"/>
      <c r="M26" s="393"/>
      <c r="N26" s="393"/>
      <c r="O26" s="414"/>
      <c r="P26" s="419"/>
      <c r="Q26" s="407"/>
      <c r="R26" s="489"/>
      <c r="S26" s="490"/>
      <c r="T26" s="489"/>
      <c r="U26" s="490"/>
      <c r="V26" s="489"/>
      <c r="W26" s="490"/>
      <c r="X26" s="476"/>
      <c r="Y26" s="419"/>
      <c r="Z26" s="475"/>
      <c r="AA26" s="495"/>
      <c r="AB26" s="495"/>
      <c r="AC26" s="495"/>
    </row>
    <row r="27" ht="54" spans="1:29">
      <c r="A27" s="226"/>
      <c r="B27" s="291" t="s">
        <v>1311</v>
      </c>
      <c r="C27" s="1976" t="str">
        <f>估价对象房地状况!C20</f>
        <v>区域自然环境：；人文环境；综合评价环境状况一般</v>
      </c>
      <c r="D27" s="289">
        <v>100</v>
      </c>
      <c r="E27" s="290"/>
      <c r="F27" s="278">
        <f>SUMIF(100:100,E28,101:101)-SUMIF(100:100,C28,101:101)+100</f>
        <v>100</v>
      </c>
      <c r="G27" s="288"/>
      <c r="H27" s="278">
        <f>SUMIF(100:100,G28,101:101)-SUMIF(100:100,C28,101:101)+100</f>
        <v>100</v>
      </c>
      <c r="I27" s="290"/>
      <c r="J27" s="278">
        <f>SUMIF(100:100,I28,101:101)-SUMIF(100:100,C28,101:101)+100</f>
        <v>100</v>
      </c>
      <c r="K27" s="1926"/>
      <c r="L27" s="415"/>
      <c r="M27" s="393"/>
      <c r="N27" s="393"/>
      <c r="O27" s="414"/>
      <c r="P27" s="419"/>
      <c r="Q27" s="407" t="str">
        <f t="shared" si="8"/>
        <v>自然及人文环境状况</v>
      </c>
      <c r="R27" s="489" t="s">
        <v>1299</v>
      </c>
      <c r="S27" s="490">
        <f>F27</f>
        <v>100</v>
      </c>
      <c r="T27" s="489" t="s">
        <v>1299</v>
      </c>
      <c r="U27" s="490">
        <f>H27</f>
        <v>100</v>
      </c>
      <c r="V27" s="489" t="s">
        <v>1299</v>
      </c>
      <c r="W27" s="490">
        <f>J27</f>
        <v>100</v>
      </c>
      <c r="X27" s="476"/>
      <c r="Y27" s="419"/>
      <c r="Z27" s="475" t="str">
        <f>Q27</f>
        <v>自然及人文环境状况</v>
      </c>
      <c r="AA27" s="495">
        <f t="shared" si="3"/>
        <v>1</v>
      </c>
      <c r="AB27" s="495">
        <f t="shared" si="4"/>
        <v>1</v>
      </c>
      <c r="AC27" s="495">
        <f t="shared" si="5"/>
        <v>1</v>
      </c>
    </row>
    <row r="28" ht="20.25" spans="1:29">
      <c r="A28" s="226"/>
      <c r="B28" s="285"/>
      <c r="C28" s="1760"/>
      <c r="D28" s="277"/>
      <c r="E28" s="275"/>
      <c r="F28" s="276"/>
      <c r="G28" s="1760"/>
      <c r="H28" s="276"/>
      <c r="I28" s="275"/>
      <c r="J28" s="276"/>
      <c r="K28" s="1925"/>
      <c r="L28" s="415"/>
      <c r="M28" s="393"/>
      <c r="N28" s="393"/>
      <c r="O28" s="414"/>
      <c r="P28" s="419"/>
      <c r="Q28" s="407"/>
      <c r="R28" s="489"/>
      <c r="S28" s="490"/>
      <c r="T28" s="489"/>
      <c r="U28" s="490"/>
      <c r="V28" s="489"/>
      <c r="W28" s="490"/>
      <c r="X28" s="476"/>
      <c r="Y28" s="419"/>
      <c r="Z28" s="475"/>
      <c r="AA28" s="495">
        <v>1</v>
      </c>
      <c r="AB28" s="495">
        <v>1</v>
      </c>
      <c r="AC28" s="495">
        <v>1</v>
      </c>
    </row>
    <row r="29" s="196" customFormat="1" ht="40.5" spans="1:29">
      <c r="A29" s="549"/>
      <c r="B29" s="287" t="s">
        <v>231</v>
      </c>
      <c r="C29" s="1761" t="str">
        <f>估价对象房地状况!C21</f>
        <v>估价对象所在区域公共配套设施齐备情况</v>
      </c>
      <c r="D29" s="289">
        <v>100</v>
      </c>
      <c r="E29" s="290"/>
      <c r="F29" s="278">
        <f>SUMIF(102:102,E30,103:103)-SUMIF(102:102,C30,103:103)+100</f>
        <v>100</v>
      </c>
      <c r="G29" s="288"/>
      <c r="H29" s="278">
        <f>SUMIF(102:102,G30,103:103)-SUMIF(102:102,C30,103:103)+100</f>
        <v>100</v>
      </c>
      <c r="I29" s="290"/>
      <c r="J29" s="278">
        <f>SUMIF(102:102,I30,103:103)-SUMIF(102:102,C30,103:103)+100</f>
        <v>100</v>
      </c>
      <c r="K29" s="1926"/>
      <c r="L29" s="403"/>
      <c r="M29" s="393"/>
      <c r="N29" s="393"/>
      <c r="O29" s="406"/>
      <c r="P29" s="419"/>
      <c r="Q29" s="488" t="str">
        <f t="shared" si="8"/>
        <v>公共配套设施</v>
      </c>
      <c r="R29" s="484" t="s">
        <v>1299</v>
      </c>
      <c r="S29" s="485">
        <f>F29</f>
        <v>100</v>
      </c>
      <c r="T29" s="484" t="s">
        <v>1299</v>
      </c>
      <c r="U29" s="485">
        <f>H29</f>
        <v>100</v>
      </c>
      <c r="V29" s="484" t="s">
        <v>1299</v>
      </c>
      <c r="W29" s="485">
        <f>J29</f>
        <v>100</v>
      </c>
      <c r="X29" s="486"/>
      <c r="Y29" s="419"/>
      <c r="Z29" s="509" t="str">
        <f>Q29</f>
        <v>公共配套设施</v>
      </c>
      <c r="AA29" s="495">
        <f>D29/F29</f>
        <v>1</v>
      </c>
      <c r="AB29" s="495">
        <f>D29/H29</f>
        <v>1</v>
      </c>
      <c r="AC29" s="495">
        <f>D29/J29</f>
        <v>1</v>
      </c>
    </row>
    <row r="30" s="196" customFormat="1" ht="20.25" spans="1:29">
      <c r="A30" s="549"/>
      <c r="B30" s="285"/>
      <c r="C30" s="1867"/>
      <c r="D30" s="277"/>
      <c r="E30" s="275"/>
      <c r="F30" s="276"/>
      <c r="G30" s="1760"/>
      <c r="H30" s="276"/>
      <c r="I30" s="275"/>
      <c r="J30" s="276"/>
      <c r="K30" s="1925"/>
      <c r="L30" s="403"/>
      <c r="M30" s="393"/>
      <c r="N30" s="393"/>
      <c r="O30" s="406"/>
      <c r="P30" s="419"/>
      <c r="Q30" s="488"/>
      <c r="R30" s="484"/>
      <c r="S30" s="485"/>
      <c r="T30" s="484"/>
      <c r="U30" s="485"/>
      <c r="V30" s="484"/>
      <c r="W30" s="485"/>
      <c r="X30" s="486"/>
      <c r="Y30" s="419"/>
      <c r="Z30" s="509"/>
      <c r="AA30" s="495">
        <v>1</v>
      </c>
      <c r="AB30" s="495">
        <v>1</v>
      </c>
      <c r="AC30" s="495">
        <v>1</v>
      </c>
    </row>
    <row r="31" s="196" customFormat="1" ht="27" spans="1:29">
      <c r="A31" s="549"/>
      <c r="B31" s="287" t="s">
        <v>232</v>
      </c>
      <c r="C31" s="1761" t="str">
        <f>估价对象房地状况!C22</f>
        <v>估价对象所在区域基础设施水平</v>
      </c>
      <c r="D31" s="289">
        <v>100</v>
      </c>
      <c r="E31" s="290"/>
      <c r="F31" s="278">
        <f>SUMIF(104:104,E32,105:105)-SUMIF(104:104,C32,105:105)+100</f>
        <v>100</v>
      </c>
      <c r="G31" s="288"/>
      <c r="H31" s="278">
        <f>SUMIF(104:104,G32,105:105)-SUMIF(104:104,C32,105:105)+100</f>
        <v>100</v>
      </c>
      <c r="I31" s="290"/>
      <c r="J31" s="278">
        <f>SUMIF(104:104,I32,105:105)-SUMIF(104:104,C32,105:105)+100</f>
        <v>100</v>
      </c>
      <c r="K31" s="1926"/>
      <c r="L31" s="403"/>
      <c r="M31" s="393"/>
      <c r="N31" s="393"/>
      <c r="O31" s="406"/>
      <c r="P31" s="419"/>
      <c r="Q31" s="488" t="str">
        <f t="shared" ref="Q31" si="9">B31</f>
        <v>基础设施水平</v>
      </c>
      <c r="R31" s="484" t="s">
        <v>1299</v>
      </c>
      <c r="S31" s="485">
        <f>F31</f>
        <v>100</v>
      </c>
      <c r="T31" s="484" t="s">
        <v>1299</v>
      </c>
      <c r="U31" s="485">
        <f>H31</f>
        <v>100</v>
      </c>
      <c r="V31" s="484" t="s">
        <v>1299</v>
      </c>
      <c r="W31" s="485">
        <f>J31</f>
        <v>100</v>
      </c>
      <c r="X31" s="486"/>
      <c r="Y31" s="419"/>
      <c r="Z31" s="509" t="str">
        <f>Q31</f>
        <v>基础设施水平</v>
      </c>
      <c r="AA31" s="495">
        <f>D31/F31</f>
        <v>1</v>
      </c>
      <c r="AB31" s="495">
        <f>D31/H31</f>
        <v>1</v>
      </c>
      <c r="AC31" s="495">
        <f>D31/J31</f>
        <v>1</v>
      </c>
    </row>
    <row r="32" s="196" customFormat="1" ht="20.25" spans="1:29">
      <c r="A32" s="549"/>
      <c r="B32" s="285"/>
      <c r="C32" s="1867"/>
      <c r="D32" s="277"/>
      <c r="E32" s="1866"/>
      <c r="F32" s="276"/>
      <c r="G32" s="1867"/>
      <c r="H32" s="276"/>
      <c r="I32" s="1867"/>
      <c r="J32" s="276"/>
      <c r="K32" s="1925"/>
      <c r="L32" s="403"/>
      <c r="M32" s="393"/>
      <c r="N32" s="393"/>
      <c r="O32" s="406"/>
      <c r="P32" s="419"/>
      <c r="Q32" s="488"/>
      <c r="R32" s="484"/>
      <c r="S32" s="485"/>
      <c r="T32" s="484"/>
      <c r="U32" s="485"/>
      <c r="V32" s="484"/>
      <c r="W32" s="485"/>
      <c r="X32" s="486"/>
      <c r="Y32" s="419"/>
      <c r="Z32" s="509"/>
      <c r="AA32" s="495">
        <v>1</v>
      </c>
      <c r="AB32" s="495">
        <v>1</v>
      </c>
      <c r="AC32" s="495">
        <v>1</v>
      </c>
    </row>
    <row r="33" ht="20.25" spans="1:29">
      <c r="A33" s="273"/>
      <c r="B33" s="285" t="s">
        <v>234</v>
      </c>
      <c r="C33" s="1763"/>
      <c r="D33" s="295">
        <v>100</v>
      </c>
      <c r="E33" s="294"/>
      <c r="F33" s="265">
        <f>SUMIF(106:106,E33,107:107)-SUMIF(106:106,C33,107:107)+100</f>
        <v>100</v>
      </c>
      <c r="G33" s="1763"/>
      <c r="H33" s="265">
        <f>SUMIF(106:106,G33,107:107)-SUMIF(106:106,C33,107:107)+100</f>
        <v>100</v>
      </c>
      <c r="I33" s="1763"/>
      <c r="J33" s="265">
        <f>SUMIF(106:106,I33,107:107)-SUMIF(106:106,C33,107:107)+100</f>
        <v>100</v>
      </c>
      <c r="K33" s="1926"/>
      <c r="L33" s="415"/>
      <c r="M33" s="393"/>
      <c r="N33" s="393"/>
      <c r="O33" s="414"/>
      <c r="P33" s="419"/>
      <c r="Q33" s="407" t="str">
        <f t="shared" si="8"/>
        <v>临街状况</v>
      </c>
      <c r="R33" s="489" t="s">
        <v>1299</v>
      </c>
      <c r="S33" s="490">
        <f t="shared" ref="S33:S47" si="10">F33</f>
        <v>100</v>
      </c>
      <c r="T33" s="489" t="s">
        <v>1299</v>
      </c>
      <c r="U33" s="490">
        <f t="shared" ref="U33:U47" si="11">H33</f>
        <v>100</v>
      </c>
      <c r="V33" s="489" t="s">
        <v>1299</v>
      </c>
      <c r="W33" s="490">
        <f t="shared" ref="W33:W47" si="12">J33</f>
        <v>100</v>
      </c>
      <c r="X33" s="476"/>
      <c r="Y33" s="419"/>
      <c r="Z33" s="475" t="str">
        <f t="shared" ref="Z33:Z47" si="13">Q33</f>
        <v>临街状况</v>
      </c>
      <c r="AA33" s="495">
        <f t="shared" si="3"/>
        <v>1</v>
      </c>
      <c r="AB33" s="495">
        <f t="shared" si="4"/>
        <v>1</v>
      </c>
      <c r="AC33" s="495">
        <f t="shared" si="5"/>
        <v>1</v>
      </c>
    </row>
    <row r="34" ht="27" spans="1:29">
      <c r="A34" s="273"/>
      <c r="B34" s="291" t="s">
        <v>1312</v>
      </c>
      <c r="C34" s="288"/>
      <c r="D34" s="289">
        <v>100</v>
      </c>
      <c r="E34" s="290"/>
      <c r="F34" s="278">
        <f>SUMIF(108:108,E35,109:109)-SUMIF(108:108,C35,109:109)+100</f>
        <v>100</v>
      </c>
      <c r="G34" s="288"/>
      <c r="H34" s="278">
        <f>SUMIF(108:108,G35,109:109)-SUMIF(108:108,C35,109:109)+100</f>
        <v>100</v>
      </c>
      <c r="I34" s="290"/>
      <c r="J34" s="278">
        <f>SUMIF(108:108,I35,109:109)-SUMIF(108:108,C35,109:109)+100</f>
        <v>100</v>
      </c>
      <c r="K34" s="1926"/>
      <c r="L34" s="415"/>
      <c r="M34" s="393"/>
      <c r="N34" s="393"/>
      <c r="O34" s="414"/>
      <c r="P34" s="419"/>
      <c r="Q34" s="407" t="str">
        <f t="shared" si="8"/>
        <v>毗邻道路的类型与等级</v>
      </c>
      <c r="R34" s="489" t="s">
        <v>1299</v>
      </c>
      <c r="S34" s="490">
        <f t="shared" si="10"/>
        <v>100</v>
      </c>
      <c r="T34" s="489" t="s">
        <v>1299</v>
      </c>
      <c r="U34" s="490">
        <f t="shared" si="11"/>
        <v>100</v>
      </c>
      <c r="V34" s="489" t="s">
        <v>1299</v>
      </c>
      <c r="W34" s="490">
        <f t="shared" si="12"/>
        <v>100</v>
      </c>
      <c r="X34" s="476"/>
      <c r="Y34" s="419"/>
      <c r="Z34" s="475" t="str">
        <f t="shared" si="13"/>
        <v>毗邻道路的类型与等级</v>
      </c>
      <c r="AA34" s="495">
        <f t="shared" si="3"/>
        <v>1</v>
      </c>
      <c r="AB34" s="495">
        <f t="shared" si="4"/>
        <v>1</v>
      </c>
      <c r="AC34" s="495">
        <f t="shared" si="5"/>
        <v>1</v>
      </c>
    </row>
    <row r="35" ht="20.25" spans="1:29">
      <c r="A35" s="273"/>
      <c r="B35" s="285"/>
      <c r="C35" s="1760"/>
      <c r="D35" s="277"/>
      <c r="E35" s="275"/>
      <c r="F35" s="276"/>
      <c r="G35" s="1760"/>
      <c r="H35" s="276"/>
      <c r="I35" s="275"/>
      <c r="J35" s="276"/>
      <c r="K35" s="412"/>
      <c r="L35" s="415"/>
      <c r="M35" s="393"/>
      <c r="N35" s="393"/>
      <c r="O35" s="414"/>
      <c r="P35" s="419"/>
      <c r="Q35" s="407"/>
      <c r="R35" s="489"/>
      <c r="S35" s="490"/>
      <c r="T35" s="489"/>
      <c r="U35" s="490"/>
      <c r="V35" s="489"/>
      <c r="W35" s="490"/>
      <c r="X35" s="476"/>
      <c r="Y35" s="419"/>
      <c r="Z35" s="475"/>
      <c r="AA35" s="495">
        <v>1</v>
      </c>
      <c r="AB35" s="495">
        <v>1</v>
      </c>
      <c r="AC35" s="495">
        <v>1</v>
      </c>
    </row>
    <row r="36" ht="20.25" spans="1:29">
      <c r="A36" s="273"/>
      <c r="B36" s="557" t="s">
        <v>1313</v>
      </c>
      <c r="C36" s="1763"/>
      <c r="D36" s="295">
        <v>100</v>
      </c>
      <c r="E36" s="294"/>
      <c r="F36" s="265">
        <f>SUMIF(110:110,E36,111:111)-SUMIF(110:110,C36,111:111)+100</f>
        <v>100</v>
      </c>
      <c r="G36" s="1763"/>
      <c r="H36" s="265">
        <f>SUMIF(110:110,G36,111:111)-SUMIF(110:110,C36,111:111)+100</f>
        <v>100</v>
      </c>
      <c r="I36" s="294"/>
      <c r="J36" s="265">
        <f>SUMIF(110:110,I36,111:111)-SUMIF(110:110,C36,111:111)+100</f>
        <v>100</v>
      </c>
      <c r="K36" s="408"/>
      <c r="L36" s="415"/>
      <c r="M36" s="393"/>
      <c r="N36" s="393"/>
      <c r="O36" s="414"/>
      <c r="P36" s="419"/>
      <c r="Q36" s="407" t="str">
        <f t="shared" si="8"/>
        <v>土地级别</v>
      </c>
      <c r="R36" s="489" t="s">
        <v>1299</v>
      </c>
      <c r="S36" s="490">
        <f t="shared" si="10"/>
        <v>100</v>
      </c>
      <c r="T36" s="489" t="s">
        <v>1299</v>
      </c>
      <c r="U36" s="490">
        <f t="shared" si="11"/>
        <v>100</v>
      </c>
      <c r="V36" s="489" t="s">
        <v>1299</v>
      </c>
      <c r="W36" s="490">
        <f t="shared" si="12"/>
        <v>100</v>
      </c>
      <c r="X36" s="476"/>
      <c r="Y36" s="419"/>
      <c r="Z36" s="475" t="str">
        <f t="shared" si="13"/>
        <v>土地级别</v>
      </c>
      <c r="AA36" s="495">
        <f t="shared" si="3"/>
        <v>1</v>
      </c>
      <c r="AB36" s="495">
        <f t="shared" si="4"/>
        <v>1</v>
      </c>
      <c r="AC36" s="495">
        <f t="shared" si="5"/>
        <v>1</v>
      </c>
    </row>
    <row r="37" ht="20.25" spans="1:29">
      <c r="A37" s="226"/>
      <c r="B37" s="1765">
        <v>111</v>
      </c>
      <c r="C37" s="655"/>
      <c r="D37" s="295">
        <v>100</v>
      </c>
      <c r="E37" s="1865"/>
      <c r="F37" s="265">
        <f>SUMIF(112:112,E37,113:113)-SUMIF(112:112,C37,113:113)+100</f>
        <v>100</v>
      </c>
      <c r="G37" s="655"/>
      <c r="H37" s="265">
        <f>SUMIF(112:112,G37,113:113)-SUMIF(112:112,C37,113:113)+100</f>
        <v>100</v>
      </c>
      <c r="I37" s="1865"/>
      <c r="J37" s="265">
        <f>SUMIF(112:112,I37,113:113)-SUMIF(112:112,C37,113:113)+100</f>
        <v>100</v>
      </c>
      <c r="K37" s="412"/>
      <c r="L37" s="415"/>
      <c r="M37" s="393"/>
      <c r="N37" s="393"/>
      <c r="O37" s="414"/>
      <c r="P37" s="419"/>
      <c r="Q37" s="407">
        <f t="shared" si="8"/>
        <v>111</v>
      </c>
      <c r="R37" s="489" t="s">
        <v>1299</v>
      </c>
      <c r="S37" s="490">
        <f t="shared" si="10"/>
        <v>100</v>
      </c>
      <c r="T37" s="489" t="s">
        <v>1299</v>
      </c>
      <c r="U37" s="490">
        <f t="shared" si="11"/>
        <v>100</v>
      </c>
      <c r="V37" s="489" t="s">
        <v>1299</v>
      </c>
      <c r="W37" s="490">
        <f t="shared" si="12"/>
        <v>100</v>
      </c>
      <c r="X37" s="476"/>
      <c r="Y37" s="419"/>
      <c r="Z37" s="475">
        <f t="shared" si="13"/>
        <v>111</v>
      </c>
      <c r="AA37" s="495">
        <f t="shared" si="3"/>
        <v>1</v>
      </c>
      <c r="AB37" s="495">
        <f t="shared" si="4"/>
        <v>1</v>
      </c>
      <c r="AC37" s="495">
        <f t="shared" si="5"/>
        <v>1</v>
      </c>
    </row>
    <row r="38" ht="20.25" spans="1:29">
      <c r="A38" s="1870"/>
      <c r="B38" s="1979">
        <v>111</v>
      </c>
      <c r="C38" s="655"/>
      <c r="D38" s="295">
        <v>100</v>
      </c>
      <c r="E38" s="1865"/>
      <c r="F38" s="265">
        <f>SUMIF(114:114,E39,115:115)-SUMIF(114:114,C39,115:115)+100</f>
        <v>100</v>
      </c>
      <c r="G38" s="655"/>
      <c r="H38" s="265">
        <f>SUMIF(114:114,G38,115:115)-SUMIF(114:114,C38,115:115)+100</f>
        <v>100</v>
      </c>
      <c r="I38" s="1865"/>
      <c r="J38" s="265">
        <f>SUMIF(114:114,I38,115:115)-SUMIF(114:114,C38,115:115)+100</f>
        <v>100</v>
      </c>
      <c r="K38" s="412"/>
      <c r="L38" s="415"/>
      <c r="M38" s="393"/>
      <c r="N38" s="393"/>
      <c r="O38" s="414"/>
      <c r="P38" s="421" t="s">
        <v>1314</v>
      </c>
      <c r="Q38" s="407">
        <f t="shared" si="8"/>
        <v>111</v>
      </c>
      <c r="R38" s="489" t="s">
        <v>1299</v>
      </c>
      <c r="S38" s="490">
        <f t="shared" si="10"/>
        <v>100</v>
      </c>
      <c r="T38" s="489" t="s">
        <v>1299</v>
      </c>
      <c r="U38" s="490">
        <f t="shared" si="11"/>
        <v>100</v>
      </c>
      <c r="V38" s="489" t="s">
        <v>1299</v>
      </c>
      <c r="W38" s="490">
        <f t="shared" si="12"/>
        <v>100</v>
      </c>
      <c r="X38" s="476"/>
      <c r="Y38" s="424" t="s">
        <v>1314</v>
      </c>
      <c r="Z38" s="475">
        <f t="shared" si="13"/>
        <v>111</v>
      </c>
      <c r="AA38" s="495">
        <f t="shared" si="3"/>
        <v>1</v>
      </c>
      <c r="AB38" s="495">
        <f t="shared" si="4"/>
        <v>1</v>
      </c>
      <c r="AC38" s="495">
        <f t="shared" si="5"/>
        <v>1</v>
      </c>
    </row>
    <row r="39" s="198" customFormat="1" ht="21" spans="1:29">
      <c r="A39" s="1872"/>
      <c r="B39" s="1980">
        <v>111</v>
      </c>
      <c r="C39" s="1981"/>
      <c r="D39" s="1982">
        <v>100</v>
      </c>
      <c r="E39" s="1874"/>
      <c r="F39" s="318">
        <f>SUMIF(116:116,E39,117:117)-SUMIF(116:116,C39,117:117)+100</f>
        <v>100</v>
      </c>
      <c r="G39" s="1876"/>
      <c r="H39" s="318">
        <f>SUMIF(116:116,G39,117:117)-SUMIF(116:116,C39,117:117)+100</f>
        <v>100</v>
      </c>
      <c r="I39" s="1874"/>
      <c r="J39" s="318">
        <f>SUMIF(116:116,I39,117:117)-SUMIF(116:116,C39,117:117)+100</f>
        <v>100</v>
      </c>
      <c r="K39" s="412"/>
      <c r="L39" s="413"/>
      <c r="M39" s="393"/>
      <c r="N39" s="393"/>
      <c r="O39" s="423"/>
      <c r="P39" s="424"/>
      <c r="Q39" s="407">
        <f t="shared" si="8"/>
        <v>111</v>
      </c>
      <c r="R39" s="492" t="s">
        <v>1299</v>
      </c>
      <c r="S39" s="493">
        <f t="shared" si="10"/>
        <v>100</v>
      </c>
      <c r="T39" s="492" t="s">
        <v>1299</v>
      </c>
      <c r="U39" s="493">
        <f t="shared" si="11"/>
        <v>100</v>
      </c>
      <c r="V39" s="492" t="s">
        <v>1299</v>
      </c>
      <c r="W39" s="493">
        <f t="shared" si="12"/>
        <v>100</v>
      </c>
      <c r="X39" s="494"/>
      <c r="Y39" s="424"/>
      <c r="Z39" s="510">
        <f t="shared" si="13"/>
        <v>111</v>
      </c>
      <c r="AA39" s="495">
        <f t="shared" si="3"/>
        <v>1</v>
      </c>
      <c r="AB39" s="495">
        <f t="shared" si="4"/>
        <v>1</v>
      </c>
      <c r="AC39" s="495">
        <f t="shared" si="5"/>
        <v>1</v>
      </c>
    </row>
    <row r="40" ht="20.25" spans="1:29">
      <c r="A40" s="301" t="s">
        <v>1315</v>
      </c>
      <c r="B40" s="293" t="s">
        <v>1316</v>
      </c>
      <c r="C40" s="1877"/>
      <c r="D40" s="304">
        <v>100</v>
      </c>
      <c r="E40" s="1877"/>
      <c r="F40" s="304" t="e">
        <f>LOOKUP(E40,119:119,120:120)-LOOKUP(C40,119:119,120:120)+100</f>
        <v>#N/A</v>
      </c>
      <c r="G40" s="1877"/>
      <c r="H40" s="304" t="e">
        <f>LOOKUP(G40,119:119,120:120)-LOOKUP(C40,119:119,120:120)+100</f>
        <v>#N/A</v>
      </c>
      <c r="I40" s="372"/>
      <c r="J40" s="304" t="e">
        <f>LOOKUP(I40,119:119,120:120)-LOOKUP(C40,119:119,120:120)+100</f>
        <v>#N/A</v>
      </c>
      <c r="K40" s="412"/>
      <c r="L40" s="415"/>
      <c r="M40" s="393"/>
      <c r="N40" s="393"/>
      <c r="O40" s="414"/>
      <c r="P40" s="424"/>
      <c r="Q40" s="407" t="str">
        <f t="shared" si="8"/>
        <v>宗地面积</v>
      </c>
      <c r="R40" s="489" t="s">
        <v>1299</v>
      </c>
      <c r="S40" s="490" t="e">
        <f t="shared" si="10"/>
        <v>#N/A</v>
      </c>
      <c r="T40" s="489" t="s">
        <v>1299</v>
      </c>
      <c r="U40" s="490" t="e">
        <f t="shared" si="11"/>
        <v>#N/A</v>
      </c>
      <c r="V40" s="489" t="s">
        <v>1299</v>
      </c>
      <c r="W40" s="490" t="e">
        <f t="shared" si="12"/>
        <v>#N/A</v>
      </c>
      <c r="X40" s="476"/>
      <c r="Y40" s="424"/>
      <c r="Z40" s="475" t="str">
        <f t="shared" si="13"/>
        <v>宗地面积</v>
      </c>
      <c r="AA40" s="495" t="e">
        <f t="shared" si="3"/>
        <v>#N/A</v>
      </c>
      <c r="AB40" s="495" t="e">
        <f t="shared" si="4"/>
        <v>#N/A</v>
      </c>
      <c r="AC40" s="495" t="e">
        <f t="shared" si="5"/>
        <v>#N/A</v>
      </c>
    </row>
    <row r="41" ht="20.25" spans="1:29">
      <c r="A41" s="311"/>
      <c r="B41" s="307" t="s">
        <v>1317</v>
      </c>
      <c r="C41" s="622"/>
      <c r="D41" s="265">
        <v>100</v>
      </c>
      <c r="E41" s="622"/>
      <c r="F41" s="265">
        <f>SUMIF(121:121,E41,122:122)-SUMIF(121:121,C41,122:122)+100</f>
        <v>100</v>
      </c>
      <c r="G41" s="622"/>
      <c r="H41" s="265">
        <f>SUMIF(121:121,G41,122:122)-SUMIF(121:121,C41,122:122)+100</f>
        <v>100</v>
      </c>
      <c r="I41" s="622"/>
      <c r="J41" s="265">
        <f>SUMIF(121:121,I41,122:122)-SUMIF(121:121,C41,122:122)+100</f>
        <v>100</v>
      </c>
      <c r="K41" s="408"/>
      <c r="L41" s="415"/>
      <c r="M41" s="393"/>
      <c r="N41" s="393"/>
      <c r="O41" s="414"/>
      <c r="P41" s="424"/>
      <c r="Q41" s="407" t="str">
        <f t="shared" ref="Q41:Q47" si="14">B41</f>
        <v>宗地形状</v>
      </c>
      <c r="R41" s="489" t="s">
        <v>1299</v>
      </c>
      <c r="S41" s="490">
        <f t="shared" si="10"/>
        <v>100</v>
      </c>
      <c r="T41" s="489" t="s">
        <v>1299</v>
      </c>
      <c r="U41" s="490">
        <f t="shared" si="11"/>
        <v>100</v>
      </c>
      <c r="V41" s="489" t="s">
        <v>1299</v>
      </c>
      <c r="W41" s="490">
        <f t="shared" si="12"/>
        <v>100</v>
      </c>
      <c r="X41" s="476"/>
      <c r="Y41" s="424"/>
      <c r="Z41" s="475" t="str">
        <f t="shared" si="13"/>
        <v>宗地形状</v>
      </c>
      <c r="AA41" s="495">
        <f t="shared" si="3"/>
        <v>1</v>
      </c>
      <c r="AB41" s="495">
        <f t="shared" si="4"/>
        <v>1</v>
      </c>
      <c r="AC41" s="495">
        <f t="shared" si="5"/>
        <v>1</v>
      </c>
    </row>
    <row r="42" ht="20.25" spans="1:29">
      <c r="A42" s="311"/>
      <c r="B42" s="307" t="s">
        <v>1318</v>
      </c>
      <c r="C42" s="622"/>
      <c r="D42" s="265">
        <v>100</v>
      </c>
      <c r="E42" s="622"/>
      <c r="F42" s="265">
        <f>SUMIF(123:123,E42,124:124)-SUMIF(123:123,C42,124:124)+100</f>
        <v>100</v>
      </c>
      <c r="G42" s="622"/>
      <c r="H42" s="265">
        <f>SUMIF(123:123,G42,124:124)-SUMIF(123:123,C42,124:124)+100</f>
        <v>100</v>
      </c>
      <c r="I42" s="622"/>
      <c r="J42" s="265">
        <f>SUMIF(123:123,I42,124:124)-SUMIF(123:123,C42,124:124)+100</f>
        <v>100</v>
      </c>
      <c r="K42" s="408"/>
      <c r="L42" s="415"/>
      <c r="M42" s="393"/>
      <c r="N42" s="393"/>
      <c r="O42" s="414"/>
      <c r="P42" s="424"/>
      <c r="Q42" s="407" t="str">
        <f t="shared" si="14"/>
        <v>临街宽度及深度</v>
      </c>
      <c r="R42" s="489" t="s">
        <v>1299</v>
      </c>
      <c r="S42" s="490">
        <f t="shared" si="10"/>
        <v>100</v>
      </c>
      <c r="T42" s="489" t="s">
        <v>1299</v>
      </c>
      <c r="U42" s="490">
        <f t="shared" si="11"/>
        <v>100</v>
      </c>
      <c r="V42" s="489" t="s">
        <v>1299</v>
      </c>
      <c r="W42" s="490">
        <f t="shared" si="12"/>
        <v>100</v>
      </c>
      <c r="X42" s="476"/>
      <c r="Y42" s="424"/>
      <c r="Z42" s="475" t="str">
        <f t="shared" si="13"/>
        <v>临街宽度及深度</v>
      </c>
      <c r="AA42" s="495">
        <f t="shared" si="3"/>
        <v>1</v>
      </c>
      <c r="AB42" s="495">
        <f t="shared" si="4"/>
        <v>1</v>
      </c>
      <c r="AC42" s="495">
        <f t="shared" si="5"/>
        <v>1</v>
      </c>
    </row>
    <row r="43" s="196" customFormat="1" ht="20.25" spans="1:29">
      <c r="A43" s="314"/>
      <c r="B43" s="591" t="s">
        <v>1319</v>
      </c>
      <c r="C43" s="1878"/>
      <c r="D43" s="255">
        <v>100</v>
      </c>
      <c r="E43" s="1878"/>
      <c r="F43" s="265">
        <f>SUMIF(125:125,E43,126:126)-SUMIF(125:125,C43,126:126)+100</f>
        <v>100</v>
      </c>
      <c r="G43" s="1878"/>
      <c r="H43" s="265">
        <f>SUMIF(125:125,G43,126:126)-SUMIF(125:125,C43,126:126)+100</f>
        <v>100</v>
      </c>
      <c r="I43" s="1878"/>
      <c r="J43" s="265">
        <f>SUMIF(125:125,I43,126:126)-SUMIF(125:125,C43,126:126)+100</f>
        <v>100</v>
      </c>
      <c r="K43" s="408"/>
      <c r="L43" s="403"/>
      <c r="M43" s="393"/>
      <c r="N43" s="393"/>
      <c r="O43" s="406"/>
      <c r="P43" s="424"/>
      <c r="Q43" s="407" t="str">
        <f t="shared" si="14"/>
        <v>宗地开发程度</v>
      </c>
      <c r="R43" s="484" t="s">
        <v>1299</v>
      </c>
      <c r="S43" s="485">
        <f t="shared" si="10"/>
        <v>100</v>
      </c>
      <c r="T43" s="484" t="s">
        <v>1299</v>
      </c>
      <c r="U43" s="485">
        <f t="shared" si="11"/>
        <v>100</v>
      </c>
      <c r="V43" s="484" t="s">
        <v>1299</v>
      </c>
      <c r="W43" s="485">
        <f t="shared" si="12"/>
        <v>100</v>
      </c>
      <c r="X43" s="486"/>
      <c r="Y43" s="424"/>
      <c r="Z43" s="509" t="str">
        <f t="shared" si="13"/>
        <v>宗地开发程度</v>
      </c>
      <c r="AA43" s="508">
        <f t="shared" si="3"/>
        <v>1</v>
      </c>
      <c r="AB43" s="508">
        <f t="shared" si="4"/>
        <v>1</v>
      </c>
      <c r="AC43" s="508">
        <f t="shared" si="5"/>
        <v>1</v>
      </c>
    </row>
    <row r="44" ht="20.25" spans="1:29">
      <c r="A44" s="311"/>
      <c r="B44" s="307" t="s">
        <v>1320</v>
      </c>
      <c r="C44" s="622"/>
      <c r="D44" s="265">
        <v>100</v>
      </c>
      <c r="E44" s="622"/>
      <c r="F44" s="265">
        <f>SUMIF(127:127,E44,128:128)-SUMIF(127:127,C44,128:128)+100</f>
        <v>100</v>
      </c>
      <c r="G44" s="622"/>
      <c r="H44" s="265">
        <f>SUMIF(127:127,G44,128:128)-SUMIF(127:127,C44,128:128)+100</f>
        <v>100</v>
      </c>
      <c r="I44" s="622"/>
      <c r="J44" s="265">
        <f>SUMIF(127:127,I44,128:128)-SUMIF(127:127,C44,128:128)+100</f>
        <v>100</v>
      </c>
      <c r="K44" s="408"/>
      <c r="L44" s="415"/>
      <c r="M44" s="393"/>
      <c r="N44" s="393"/>
      <c r="O44" s="414"/>
      <c r="P44" s="424" t="s">
        <v>1314</v>
      </c>
      <c r="Q44" s="407" t="str">
        <f t="shared" si="14"/>
        <v>工程地质条件</v>
      </c>
      <c r="R44" s="489" t="s">
        <v>1299</v>
      </c>
      <c r="S44" s="490">
        <f t="shared" si="10"/>
        <v>100</v>
      </c>
      <c r="T44" s="489" t="s">
        <v>1299</v>
      </c>
      <c r="U44" s="490">
        <f t="shared" si="11"/>
        <v>100</v>
      </c>
      <c r="V44" s="489" t="s">
        <v>1299</v>
      </c>
      <c r="W44" s="490">
        <f t="shared" si="12"/>
        <v>100</v>
      </c>
      <c r="X44" s="476"/>
      <c r="Y44" s="424" t="s">
        <v>1314</v>
      </c>
      <c r="Z44" s="475" t="str">
        <f t="shared" si="13"/>
        <v>工程地质条件</v>
      </c>
      <c r="AA44" s="495">
        <f t="shared" si="3"/>
        <v>1</v>
      </c>
      <c r="AB44" s="495">
        <f t="shared" si="4"/>
        <v>1</v>
      </c>
      <c r="AC44" s="495">
        <f t="shared" si="5"/>
        <v>1</v>
      </c>
    </row>
    <row r="45" ht="20.25" spans="1:29">
      <c r="A45" s="311"/>
      <c r="B45" s="1871">
        <v>111</v>
      </c>
      <c r="C45" s="1865"/>
      <c r="D45" s="265">
        <v>100</v>
      </c>
      <c r="E45" s="1865"/>
      <c r="F45" s="265">
        <f>SUMIF(129:129,E45,130:130)-SUMIF(129:129,C45,130:130)+100</f>
        <v>100</v>
      </c>
      <c r="G45" s="1865"/>
      <c r="H45" s="265">
        <f>SUMIF(129:129,G45,130:130)-SUMIF(129:129,C45,130:130)+100</f>
        <v>100</v>
      </c>
      <c r="I45" s="381"/>
      <c r="J45" s="265">
        <f>SUMIF(129:129,I45,130:130)-SUMIF(129:129,C45,130:130)+100</f>
        <v>100</v>
      </c>
      <c r="K45" s="412"/>
      <c r="L45" s="415"/>
      <c r="M45" s="393"/>
      <c r="N45" s="393"/>
      <c r="O45" s="414"/>
      <c r="P45" s="424"/>
      <c r="Q45" s="407">
        <f t="shared" si="14"/>
        <v>111</v>
      </c>
      <c r="R45" s="489" t="s">
        <v>1299</v>
      </c>
      <c r="S45" s="490">
        <f t="shared" si="10"/>
        <v>100</v>
      </c>
      <c r="T45" s="489" t="s">
        <v>1299</v>
      </c>
      <c r="U45" s="490">
        <f t="shared" si="11"/>
        <v>100</v>
      </c>
      <c r="V45" s="489" t="s">
        <v>1299</v>
      </c>
      <c r="W45" s="490">
        <f t="shared" si="12"/>
        <v>100</v>
      </c>
      <c r="X45" s="476"/>
      <c r="Y45" s="424"/>
      <c r="Z45" s="475">
        <f t="shared" si="13"/>
        <v>111</v>
      </c>
      <c r="AA45" s="495">
        <f t="shared" si="3"/>
        <v>1</v>
      </c>
      <c r="AB45" s="495">
        <f t="shared" si="4"/>
        <v>1</v>
      </c>
      <c r="AC45" s="495">
        <f t="shared" si="5"/>
        <v>1</v>
      </c>
    </row>
    <row r="46" ht="20.25" spans="1:29">
      <c r="A46" s="311"/>
      <c r="B46" s="1871">
        <v>111</v>
      </c>
      <c r="C46" s="1865"/>
      <c r="D46" s="265">
        <v>100</v>
      </c>
      <c r="E46" s="1865"/>
      <c r="F46" s="265">
        <f>SUMIF(131:131,E46,132:132)-SUMIF(131:131,C46,132:132)+100</f>
        <v>100</v>
      </c>
      <c r="G46" s="1865"/>
      <c r="H46" s="265">
        <f>SUMIF(131:131,G46,132:132)-SUMIF(131:131,C46,132:132)+100</f>
        <v>100</v>
      </c>
      <c r="I46" s="381"/>
      <c r="J46" s="265">
        <f>SUMIF(131:131,I46,132:132)-SUMIF(131:131,C46,132:132)+100</f>
        <v>100</v>
      </c>
      <c r="K46" s="412"/>
      <c r="L46" s="415"/>
      <c r="M46" s="393"/>
      <c r="N46" s="393"/>
      <c r="O46" s="414"/>
      <c r="P46" s="424"/>
      <c r="Q46" s="407">
        <f t="shared" si="14"/>
        <v>111</v>
      </c>
      <c r="R46" s="489" t="s">
        <v>1299</v>
      </c>
      <c r="S46" s="490">
        <f t="shared" si="10"/>
        <v>100</v>
      </c>
      <c r="T46" s="489" t="s">
        <v>1299</v>
      </c>
      <c r="U46" s="490">
        <f t="shared" si="11"/>
        <v>100</v>
      </c>
      <c r="V46" s="489" t="s">
        <v>1299</v>
      </c>
      <c r="W46" s="490">
        <f t="shared" si="12"/>
        <v>100</v>
      </c>
      <c r="X46" s="476"/>
      <c r="Y46" s="424"/>
      <c r="Z46" s="475">
        <f t="shared" si="13"/>
        <v>111</v>
      </c>
      <c r="AA46" s="495">
        <f t="shared" si="3"/>
        <v>1</v>
      </c>
      <c r="AB46" s="495">
        <f t="shared" si="4"/>
        <v>1</v>
      </c>
      <c r="AC46" s="495">
        <f t="shared" si="5"/>
        <v>1</v>
      </c>
    </row>
    <row r="47" s="198" customFormat="1" ht="21" spans="1:29">
      <c r="A47" s="306"/>
      <c r="B47" s="1871">
        <v>111</v>
      </c>
      <c r="C47" s="1879"/>
      <c r="D47" s="1983">
        <v>100</v>
      </c>
      <c r="E47" s="1865"/>
      <c r="F47" s="318">
        <f>SUMIF(133:133,E47,134:134)-SUMIF(133:133,C47,134:134)+100</f>
        <v>100</v>
      </c>
      <c r="G47" s="1865"/>
      <c r="H47" s="318">
        <f>SUMIF(133:133,G47,134:134)-SUMIF(133:133,C47,134:134)+100</f>
        <v>100</v>
      </c>
      <c r="I47" s="1865"/>
      <c r="J47" s="318">
        <f>SUMIF(133:133,I47,134:134)-SUMIF(133:133,C47,134:134)+100</f>
        <v>100</v>
      </c>
      <c r="K47" s="1929"/>
      <c r="L47" s="413"/>
      <c r="M47" s="393"/>
      <c r="N47" s="393"/>
      <c r="O47" s="423"/>
      <c r="P47" s="424"/>
      <c r="Q47" s="407">
        <f t="shared" si="14"/>
        <v>111</v>
      </c>
      <c r="R47" s="492" t="s">
        <v>1299</v>
      </c>
      <c r="S47" s="493">
        <f t="shared" si="10"/>
        <v>100</v>
      </c>
      <c r="T47" s="492" t="s">
        <v>1299</v>
      </c>
      <c r="U47" s="493">
        <f t="shared" si="11"/>
        <v>100</v>
      </c>
      <c r="V47" s="492" t="s">
        <v>1299</v>
      </c>
      <c r="W47" s="493">
        <f t="shared" si="12"/>
        <v>100</v>
      </c>
      <c r="X47" s="494"/>
      <c r="Y47" s="424"/>
      <c r="Z47" s="510">
        <f t="shared" si="13"/>
        <v>111</v>
      </c>
      <c r="AA47" s="495">
        <f t="shared" si="3"/>
        <v>1</v>
      </c>
      <c r="AB47" s="495">
        <f t="shared" si="4"/>
        <v>1</v>
      </c>
      <c r="AC47" s="495">
        <f t="shared" si="5"/>
        <v>1</v>
      </c>
    </row>
    <row r="48" ht="20.25" spans="1:29">
      <c r="A48" s="321" t="s">
        <v>1321</v>
      </c>
      <c r="B48" s="1880" t="s">
        <v>1322</v>
      </c>
      <c r="C48" s="1881" t="s">
        <v>138</v>
      </c>
      <c r="D48" s="1882"/>
      <c r="E48" s="1883"/>
      <c r="F48" s="1884"/>
      <c r="G48" s="1885"/>
      <c r="H48" s="1886"/>
      <c r="I48" s="1883"/>
      <c r="J48" s="1886"/>
      <c r="K48" s="1930"/>
      <c r="L48" s="426"/>
      <c r="M48" s="393"/>
      <c r="N48" s="393"/>
      <c r="O48" s="349"/>
      <c r="P48" s="407" t="str">
        <f>A48</f>
        <v>成交单价</v>
      </c>
      <c r="Q48" s="407"/>
      <c r="R48" s="475">
        <f>E48</f>
        <v>0</v>
      </c>
      <c r="S48" s="475"/>
      <c r="T48" s="475">
        <f>G48</f>
        <v>0</v>
      </c>
      <c r="U48" s="475"/>
      <c r="V48" s="475">
        <f>I48</f>
        <v>0</v>
      </c>
      <c r="W48" s="475"/>
      <c r="X48" s="351"/>
      <c r="Y48" s="511"/>
      <c r="Z48" s="351"/>
      <c r="AA48" s="351"/>
      <c r="AB48" s="351"/>
      <c r="AC48" s="351"/>
    </row>
    <row r="49" ht="21" spans="1:29">
      <c r="A49" s="329" t="s">
        <v>1323</v>
      </c>
      <c r="B49" s="1887"/>
      <c r="C49" s="1888" t="e">
        <f ca="1">R50</f>
        <v>#DIV/0!</v>
      </c>
      <c r="D49" s="332" t="s">
        <v>1324</v>
      </c>
      <c r="E49" s="1888" t="e">
        <f ca="1">R49</f>
        <v>#DIV/0!</v>
      </c>
      <c r="F49" s="334"/>
      <c r="G49" s="1889" t="e">
        <f ca="1">T49</f>
        <v>#DIV/0!</v>
      </c>
      <c r="H49" s="334"/>
      <c r="I49" s="1888" t="e">
        <f ca="1">V49</f>
        <v>#DIV/0!</v>
      </c>
      <c r="J49" s="334"/>
      <c r="K49" s="1931">
        <f>F49+H49+J49</f>
        <v>0</v>
      </c>
      <c r="L49" s="426"/>
      <c r="M49" s="393"/>
      <c r="N49" s="393"/>
      <c r="O49" s="349"/>
      <c r="P49" s="407" t="str">
        <f>A49</f>
        <v>比较价格（元/平方米）</v>
      </c>
      <c r="Q49" s="407"/>
      <c r="R49" s="1942" t="e">
        <f ca="1">ROUND(PRODUCT(R48,AA9:AA47),0)</f>
        <v>#DIV/0!</v>
      </c>
      <c r="S49" s="1942"/>
      <c r="T49" s="1942" t="e">
        <f ca="1">ROUND(PRODUCT(T48,AB9:AB47),0)</f>
        <v>#DIV/0!</v>
      </c>
      <c r="U49" s="1942"/>
      <c r="V49" s="1942" t="e">
        <f ca="1">ROUND(PRODUCT(V48,AC9:AC47),0)</f>
        <v>#DIV/0!</v>
      </c>
      <c r="W49" s="1942"/>
      <c r="X49" s="351"/>
      <c r="Y49" s="351"/>
      <c r="Z49" s="351"/>
      <c r="AA49" s="351"/>
      <c r="AB49" s="351"/>
      <c r="AC49" s="351"/>
    </row>
    <row r="50" ht="21" spans="1:29">
      <c r="A50" s="335" t="s">
        <v>1325</v>
      </c>
      <c r="B50" s="336"/>
      <c r="C50" s="1890" t="e">
        <f ca="1">R50</f>
        <v>#DIV/0!</v>
      </c>
      <c r="D50" s="1890"/>
      <c r="E50" s="1890"/>
      <c r="F50" s="1890"/>
      <c r="G50" s="1890"/>
      <c r="H50" s="1890"/>
      <c r="I50" s="1890"/>
      <c r="J50" s="1890"/>
      <c r="K50" s="1932"/>
      <c r="L50" s="426"/>
      <c r="M50" s="393"/>
      <c r="N50" s="393"/>
      <c r="O50" s="349"/>
      <c r="P50" s="429" t="str">
        <f>A50</f>
        <v>估价对象XX用房的比较价格（楼面单价，元/平方米）</v>
      </c>
      <c r="Q50" s="496"/>
      <c r="R50" s="1993" t="e">
        <f ca="1">ROUND(IF(D49="简单平均",AVERAGE(R49:W49),R49*F49+T49*H49+V49*J49),0)</f>
        <v>#DIV/0!</v>
      </c>
      <c r="S50" s="1993"/>
      <c r="T50" s="1993"/>
      <c r="U50" s="1993"/>
      <c r="V50" s="1993"/>
      <c r="W50" s="1993"/>
      <c r="X50" s="351"/>
      <c r="Y50" s="351"/>
      <c r="Z50" s="351"/>
      <c r="AA50" s="351"/>
      <c r="AB50" s="351"/>
      <c r="AC50" s="351"/>
    </row>
    <row r="51" ht="20.25" spans="1:29">
      <c r="A51" s="338"/>
      <c r="B51" s="338"/>
      <c r="C51" s="338"/>
      <c r="D51" s="338"/>
      <c r="E51" s="338"/>
      <c r="F51" s="338"/>
      <c r="G51" s="339"/>
      <c r="H51" s="338"/>
      <c r="I51" s="338"/>
      <c r="J51" s="338"/>
      <c r="K51" s="430"/>
      <c r="L51" s="431"/>
      <c r="M51" s="393"/>
      <c r="N51" s="393"/>
      <c r="O51" s="349"/>
      <c r="P51" s="349"/>
      <c r="Q51" s="349"/>
      <c r="R51" s="349"/>
      <c r="S51" s="349"/>
      <c r="T51" s="349"/>
      <c r="U51" s="349"/>
      <c r="V51" s="349"/>
      <c r="W51" s="349"/>
      <c r="X51" s="349"/>
      <c r="Y51" s="349"/>
      <c r="Z51" s="349"/>
      <c r="AA51" s="349"/>
      <c r="AB51" s="349"/>
      <c r="AC51" s="349"/>
    </row>
    <row r="52" ht="20.25" spans="1:29">
      <c r="A52" s="338"/>
      <c r="B52" s="338"/>
      <c r="C52" s="338"/>
      <c r="D52" s="338"/>
      <c r="E52" s="338"/>
      <c r="F52" s="338"/>
      <c r="G52" s="338"/>
      <c r="H52" s="338"/>
      <c r="I52" s="338"/>
      <c r="J52" s="338"/>
      <c r="K52" s="430"/>
      <c r="L52" s="431"/>
      <c r="M52" s="393"/>
      <c r="N52" s="393"/>
      <c r="O52" s="349"/>
      <c r="P52" s="349"/>
      <c r="Q52" s="349"/>
      <c r="R52" s="349"/>
      <c r="S52" s="349"/>
      <c r="T52" s="349"/>
      <c r="U52" s="349"/>
      <c r="V52" s="349"/>
      <c r="W52" s="349"/>
      <c r="X52" s="349"/>
      <c r="Y52" s="349"/>
      <c r="Z52" s="349"/>
      <c r="AA52" s="349"/>
      <c r="AB52" s="349"/>
      <c r="AC52" s="349"/>
    </row>
    <row r="53" ht="13.5" customHeight="1" spans="1:29">
      <c r="A53" s="338"/>
      <c r="B53" s="338"/>
      <c r="C53" s="340" t="s">
        <v>1326</v>
      </c>
      <c r="D53" s="341"/>
      <c r="E53" s="342" t="e">
        <f ca="1">IF(E48&lt;E49,E49/E48-1,E48/E49-1)</f>
        <v>#DIV/0!</v>
      </c>
      <c r="F53" s="343" t="e">
        <f ca="1">IF(OR(E53&gt;=0.3,E53&lt;=-0.3),"超过30%","")</f>
        <v>#DIV/0!</v>
      </c>
      <c r="G53" s="342" t="e">
        <f ca="1">IF(G48&lt;G49,G49/G48-1,G48/G49-1)</f>
        <v>#DIV/0!</v>
      </c>
      <c r="H53" s="343" t="e">
        <f ca="1">IF(OR(G53&gt;=0.3,G53&lt;=-0.3),"超过30%","")</f>
        <v>#DIV/0!</v>
      </c>
      <c r="I53" s="342" t="e">
        <f ca="1">IF(I48&lt;I49,I49/I48-1,I48/I49-1)</f>
        <v>#DIV/0!</v>
      </c>
      <c r="J53" s="343" t="e">
        <f ca="1">IF(OR(I53&gt;=0.3,I53&lt;=-0.3),"超过30%","")</f>
        <v>#DIV/0!</v>
      </c>
      <c r="K53" s="430"/>
      <c r="L53" s="431"/>
      <c r="M53" s="393"/>
      <c r="N53" s="393"/>
      <c r="O53" s="349"/>
      <c r="P53" s="349"/>
      <c r="Q53" s="349"/>
      <c r="R53" s="349"/>
      <c r="S53" s="349"/>
      <c r="T53" s="349"/>
      <c r="U53" s="349"/>
      <c r="V53" s="349"/>
      <c r="W53" s="349"/>
      <c r="X53" s="349"/>
      <c r="Y53" s="349"/>
      <c r="Z53" s="349"/>
      <c r="AA53" s="349"/>
      <c r="AB53" s="349"/>
      <c r="AC53" s="349"/>
    </row>
    <row r="54" ht="13.5" customHeight="1" spans="1:29">
      <c r="A54" s="338"/>
      <c r="B54" s="338"/>
      <c r="C54" s="340" t="s">
        <v>1327</v>
      </c>
      <c r="D54" s="344"/>
      <c r="E54" s="342" t="e">
        <f ca="1">IF(E49&lt;G49,G49/E49-1,E49/G49-1)</f>
        <v>#DIV/0!</v>
      </c>
      <c r="F54" s="343" t="e">
        <f ca="1">IF(OR(E54&gt;=0.2,E54&lt;=-0.2),"超过20%","")</f>
        <v>#DIV/0!</v>
      </c>
      <c r="G54" s="342" t="e">
        <f ca="1">IF(G49&lt;I49,I49/G49-1,G49/I49-1)</f>
        <v>#DIV/0!</v>
      </c>
      <c r="H54" s="343" t="e">
        <f ca="1">IF(OR(G54&gt;=0.2,G54&lt;=-0.2),"超过20%","")</f>
        <v>#DIV/0!</v>
      </c>
      <c r="I54" s="342" t="e">
        <f ca="1">IF(I49&lt;E49,E49/I49-1,I49/E49-1)</f>
        <v>#DIV/0!</v>
      </c>
      <c r="J54" s="343" t="e">
        <f ca="1">IF(OR(I54&gt;=0.2,I54&lt;=-0.2),"超过20%","")</f>
        <v>#DIV/0!</v>
      </c>
      <c r="K54" s="430"/>
      <c r="L54" s="431"/>
      <c r="M54" s="393"/>
      <c r="N54" s="393"/>
      <c r="O54" s="349"/>
      <c r="P54" s="349"/>
      <c r="Q54" s="349"/>
      <c r="R54" s="349"/>
      <c r="S54" s="349"/>
      <c r="T54" s="349"/>
      <c r="U54" s="349"/>
      <c r="V54" s="349"/>
      <c r="W54" s="349"/>
      <c r="X54" s="349"/>
      <c r="Y54" s="349"/>
      <c r="Z54" s="349"/>
      <c r="AA54" s="349"/>
      <c r="AB54" s="349"/>
      <c r="AC54" s="349"/>
    </row>
    <row r="55" s="199" customFormat="1" ht="13.5" customHeight="1" spans="1:29">
      <c r="A55" s="345"/>
      <c r="B55" s="345"/>
      <c r="C55" s="340" t="s">
        <v>1328</v>
      </c>
      <c r="D55" s="344"/>
      <c r="E55" s="342" t="e">
        <f>IF(E48&lt;G48,G48/E48-1,E48/G48-1)</f>
        <v>#DIV/0!</v>
      </c>
      <c r="F55" s="343" t="e">
        <f>IF(OR(E55&gt;=0.3,E55&lt;=-0.3),"超过30%","")</f>
        <v>#DIV/0!</v>
      </c>
      <c r="G55" s="342" t="e">
        <f>IF(G48&lt;I48,I48/G48-1,G48/I48-1)</f>
        <v>#DIV/0!</v>
      </c>
      <c r="H55" s="343" t="e">
        <f>IF(OR(G55&gt;=0.3,G55&lt;=-0.3),"超过30%","")</f>
        <v>#DIV/0!</v>
      </c>
      <c r="I55" s="342" t="e">
        <f>IF(I48&lt;E48,E48/I48-1,I48/E48-1)</f>
        <v>#DIV/0!</v>
      </c>
      <c r="J55" s="343" t="e">
        <f>IF(OR(I55&gt;=0.3,I55&lt;=-0.3),"超过30%","")</f>
        <v>#DIV/0!</v>
      </c>
      <c r="K55" s="432"/>
      <c r="L55" s="433"/>
      <c r="M55" s="393"/>
      <c r="N55" s="393"/>
      <c r="O55" s="346"/>
      <c r="P55" s="346"/>
      <c r="Q55" s="346"/>
      <c r="R55" s="346"/>
      <c r="S55" s="346"/>
      <c r="T55" s="346"/>
      <c r="U55" s="346"/>
      <c r="V55" s="346"/>
      <c r="W55" s="346"/>
      <c r="X55" s="346"/>
      <c r="Y55" s="346"/>
      <c r="Z55" s="346"/>
      <c r="AA55" s="346"/>
      <c r="AB55" s="346"/>
      <c r="AC55" s="346"/>
    </row>
    <row r="56" s="199" customFormat="1" ht="21" spans="1:29">
      <c r="A56" s="346"/>
      <c r="B56" s="347"/>
      <c r="C56" s="348"/>
      <c r="D56" s="346"/>
      <c r="E56" s="346"/>
      <c r="F56" s="346"/>
      <c r="G56" s="346"/>
      <c r="H56" s="346"/>
      <c r="I56" s="346"/>
      <c r="J56" s="346"/>
      <c r="K56" s="432"/>
      <c r="L56" s="433"/>
      <c r="M56" s="393"/>
      <c r="N56" s="393"/>
      <c r="O56" s="346"/>
      <c r="P56" s="346"/>
      <c r="Q56" s="346"/>
      <c r="R56" s="346"/>
      <c r="S56" s="346"/>
      <c r="T56" s="346"/>
      <c r="U56" s="346"/>
      <c r="V56" s="346"/>
      <c r="W56" s="346"/>
      <c r="X56" s="346"/>
      <c r="Y56" s="346"/>
      <c r="Z56" s="346"/>
      <c r="AA56" s="346"/>
      <c r="AB56" s="346"/>
      <c r="AC56" s="346"/>
    </row>
    <row r="57" ht="26.25" customHeight="1" spans="1:29">
      <c r="A57" s="1892" t="s">
        <v>1329</v>
      </c>
      <c r="B57" s="1893" t="s">
        <v>1330</v>
      </c>
      <c r="C57" s="1894" t="s">
        <v>1331</v>
      </c>
      <c r="D57" s="1895" t="s">
        <v>1332</v>
      </c>
      <c r="E57" s="1896" t="s">
        <v>1333</v>
      </c>
      <c r="F57" s="1984" t="s">
        <v>1334</v>
      </c>
      <c r="G57" s="1985" t="s">
        <v>1335</v>
      </c>
      <c r="H57" s="1986"/>
      <c r="I57" s="1934" t="s">
        <v>363</v>
      </c>
      <c r="J57" s="1934">
        <f>项目基本情况!F41</f>
        <v>0</v>
      </c>
      <c r="K57" s="1935" t="s">
        <v>1336</v>
      </c>
      <c r="L57" s="431"/>
      <c r="M57" s="349"/>
      <c r="N57" s="349"/>
      <c r="O57" s="349"/>
      <c r="P57" s="349"/>
      <c r="Q57" s="349"/>
      <c r="R57" s="349"/>
      <c r="S57" s="349"/>
      <c r="T57" s="349"/>
      <c r="U57" s="349"/>
      <c r="V57" s="349"/>
      <c r="W57" s="349"/>
      <c r="X57" s="349"/>
      <c r="Y57" s="349"/>
      <c r="Z57" s="349"/>
      <c r="AA57" s="349"/>
      <c r="AB57" s="349"/>
      <c r="AC57" s="349"/>
    </row>
    <row r="58" s="1856" customFormat="1" ht="12.75" spans="1:29">
      <c r="A58" s="1900" t="s">
        <v>1337</v>
      </c>
      <c r="B58" s="1901" t="e">
        <f ca="1">C50</f>
        <v>#DIV/0!</v>
      </c>
      <c r="C58" s="1902">
        <v>1</v>
      </c>
      <c r="D58" s="1903">
        <v>1</v>
      </c>
      <c r="E58" s="1902">
        <f>'数据-汇总表'!E8+'数据-汇总表'!E9</f>
        <v>25022.71</v>
      </c>
      <c r="F58" s="1987" t="e">
        <f ca="1" t="shared" ref="F58:F67" si="15">ROUND(B58*E58/10000,0)</f>
        <v>#DIV/0!</v>
      </c>
      <c r="G58" s="1988"/>
      <c r="H58" s="1989"/>
      <c r="I58" s="1937">
        <v>1</v>
      </c>
      <c r="J58" s="1937">
        <v>1</v>
      </c>
      <c r="K58" s="1938"/>
      <c r="L58" s="1939"/>
      <c r="M58" s="1939"/>
      <c r="N58" s="1939"/>
      <c r="O58" s="1939"/>
      <c r="P58" s="1939"/>
      <c r="Q58" s="1939"/>
      <c r="R58" s="1939"/>
      <c r="S58" s="1939"/>
      <c r="T58" s="1939"/>
      <c r="U58" s="1939"/>
      <c r="V58" s="1939"/>
      <c r="W58" s="1939"/>
      <c r="X58" s="1939"/>
      <c r="Y58" s="1939"/>
      <c r="Z58" s="1939"/>
      <c r="AA58" s="1939"/>
      <c r="AB58" s="1939"/>
      <c r="AC58" s="1939"/>
    </row>
    <row r="59" s="1856" customFormat="1" ht="12.75" spans="1:29">
      <c r="A59" s="1907" t="s">
        <v>1338</v>
      </c>
      <c r="B59" s="1908" t="e">
        <f ca="1">ROUND($C$50*C59*D59,0)</f>
        <v>#DIV/0!</v>
      </c>
      <c r="C59" s="1555">
        <f t="shared" ref="C59:C67" si="16">IF($C$57="北京市系数",I59,J59)</f>
        <v>0</v>
      </c>
      <c r="D59" s="1909">
        <v>0.25</v>
      </c>
      <c r="E59" s="1910">
        <v>0</v>
      </c>
      <c r="F59" s="1987" t="e">
        <f ca="1" t="shared" si="15"/>
        <v>#DIV/0!</v>
      </c>
      <c r="G59" s="1990" t="s">
        <v>1339</v>
      </c>
      <c r="H59" s="1991">
        <f>项目基本情况!B43</f>
        <v>0</v>
      </c>
      <c r="I59" s="1937">
        <f>SUMIF(修正!$A$45:$A$56,H59,修正!B45:B56)</f>
        <v>0</v>
      </c>
      <c r="J59" s="1940"/>
      <c r="K59" s="1938"/>
      <c r="L59" s="1939"/>
      <c r="M59" s="1939"/>
      <c r="N59" s="1939"/>
      <c r="O59" s="1939"/>
      <c r="P59" s="1939"/>
      <c r="Q59" s="1939"/>
      <c r="R59" s="1939"/>
      <c r="S59" s="1939"/>
      <c r="T59" s="1939"/>
      <c r="U59" s="1939"/>
      <c r="V59" s="1939"/>
      <c r="W59" s="1939"/>
      <c r="X59" s="1939"/>
      <c r="Y59" s="1939"/>
      <c r="Z59" s="1939"/>
      <c r="AA59" s="1939"/>
      <c r="AB59" s="1939"/>
      <c r="AC59" s="1939"/>
    </row>
    <row r="60" s="1856" customFormat="1" ht="12.75" spans="1:29">
      <c r="A60" s="1907" t="s">
        <v>1340</v>
      </c>
      <c r="B60" s="1908" t="e">
        <f ca="1" t="shared" ref="B60:B67" si="17">ROUND($C$50*C60*D60,0)</f>
        <v>#DIV/0!</v>
      </c>
      <c r="C60" s="1555">
        <f t="shared" si="16"/>
        <v>0</v>
      </c>
      <c r="D60" s="1909">
        <v>0.25</v>
      </c>
      <c r="E60" s="1910">
        <v>0</v>
      </c>
      <c r="F60" s="1987" t="e">
        <f ca="1" t="shared" si="15"/>
        <v>#DIV/0!</v>
      </c>
      <c r="G60" s="1990"/>
      <c r="H60" s="1991">
        <f>项目基本情况!B43</f>
        <v>0</v>
      </c>
      <c r="I60" s="1937">
        <f>SUMIF(修正!$A$45:$A$56,H60,修正!C45:C56)</f>
        <v>0</v>
      </c>
      <c r="J60" s="1940"/>
      <c r="K60" s="1938"/>
      <c r="L60" s="1939"/>
      <c r="M60" s="1939"/>
      <c r="N60" s="1939"/>
      <c r="O60" s="1939"/>
      <c r="P60" s="1939"/>
      <c r="Q60" s="1939"/>
      <c r="R60" s="1939"/>
      <c r="S60" s="1939"/>
      <c r="T60" s="1939"/>
      <c r="U60" s="1939"/>
      <c r="V60" s="1939"/>
      <c r="W60" s="1939"/>
      <c r="X60" s="1939"/>
      <c r="Y60" s="1939"/>
      <c r="Z60" s="1939"/>
      <c r="AA60" s="1939"/>
      <c r="AB60" s="1939"/>
      <c r="AC60" s="1939"/>
    </row>
    <row r="61" s="1856" customFormat="1" ht="12.75" spans="1:29">
      <c r="A61" s="1907" t="s">
        <v>1341</v>
      </c>
      <c r="B61" s="1908" t="e">
        <f ca="1" t="shared" si="17"/>
        <v>#DIV/0!</v>
      </c>
      <c r="C61" s="1555">
        <f t="shared" si="16"/>
        <v>0</v>
      </c>
      <c r="D61" s="1909">
        <v>0.25</v>
      </c>
      <c r="E61" s="1910">
        <v>0</v>
      </c>
      <c r="F61" s="1987" t="e">
        <f ca="1" t="shared" si="15"/>
        <v>#DIV/0!</v>
      </c>
      <c r="G61" s="1990"/>
      <c r="H61" s="1991">
        <f>项目基本情况!B43</f>
        <v>0</v>
      </c>
      <c r="I61" s="1937">
        <f>SUMIF(修正!$A$45:$A$56,H61,修正!D45:D56)</f>
        <v>0</v>
      </c>
      <c r="J61" s="1940"/>
      <c r="K61" s="1938"/>
      <c r="L61" s="1939"/>
      <c r="M61" s="1939"/>
      <c r="N61" s="1939"/>
      <c r="O61" s="1939"/>
      <c r="P61" s="1939"/>
      <c r="Q61" s="1939"/>
      <c r="R61" s="1939"/>
      <c r="S61" s="1939"/>
      <c r="T61" s="1939"/>
      <c r="U61" s="1939"/>
      <c r="V61" s="1939"/>
      <c r="W61" s="1939"/>
      <c r="X61" s="1939"/>
      <c r="Y61" s="1939"/>
      <c r="Z61" s="1939"/>
      <c r="AA61" s="1939"/>
      <c r="AB61" s="1939"/>
      <c r="AC61" s="1939"/>
    </row>
    <row r="62" s="1856" customFormat="1" ht="12.75" spans="1:29">
      <c r="A62" s="1907" t="s">
        <v>1342</v>
      </c>
      <c r="B62" s="1908" t="e">
        <f ca="1" t="shared" si="17"/>
        <v>#DIV/0!</v>
      </c>
      <c r="C62" s="1555">
        <f t="shared" si="16"/>
        <v>0</v>
      </c>
      <c r="D62" s="1909">
        <v>0.25</v>
      </c>
      <c r="E62" s="1910">
        <v>0</v>
      </c>
      <c r="F62" s="1987" t="e">
        <f ca="1" t="shared" si="15"/>
        <v>#DIV/0!</v>
      </c>
      <c r="G62" s="1990"/>
      <c r="H62" s="1991">
        <f>项目基本情况!B43</f>
        <v>0</v>
      </c>
      <c r="I62" s="1937">
        <f>SUMIF(修正!$A$45:$A$56,H62,修正!E45:E56)</f>
        <v>0</v>
      </c>
      <c r="J62" s="1940"/>
      <c r="K62" s="1938"/>
      <c r="L62" s="1939"/>
      <c r="M62" s="1939"/>
      <c r="N62" s="1939"/>
      <c r="O62" s="1939"/>
      <c r="P62" s="1939"/>
      <c r="Q62" s="1939"/>
      <c r="R62" s="1939"/>
      <c r="S62" s="1939"/>
      <c r="T62" s="1939"/>
      <c r="U62" s="1939"/>
      <c r="V62" s="1939"/>
      <c r="W62" s="1939"/>
      <c r="X62" s="1939"/>
      <c r="Y62" s="1939"/>
      <c r="Z62" s="1939"/>
      <c r="AA62" s="1939"/>
      <c r="AB62" s="1939"/>
      <c r="AC62" s="1939"/>
    </row>
    <row r="63" s="1856" customFormat="1" ht="12.75" spans="1:29">
      <c r="A63" s="1914" t="s">
        <v>547</v>
      </c>
      <c r="B63" s="1908" t="e">
        <f ca="1" t="shared" si="17"/>
        <v>#DIV/0!</v>
      </c>
      <c r="C63" s="1555">
        <f t="shared" si="16"/>
        <v>0.2</v>
      </c>
      <c r="D63" s="1909">
        <v>0.25</v>
      </c>
      <c r="E63" s="1915">
        <f>'数据-汇总表'!E11</f>
        <v>26429.67</v>
      </c>
      <c r="F63" s="1987" t="e">
        <f ca="1" t="shared" si="15"/>
        <v>#DIV/0!</v>
      </c>
      <c r="G63" s="1990" t="s">
        <v>1343</v>
      </c>
      <c r="H63" s="1991" t="str">
        <f>项目基本情况!C43</f>
        <v>八级</v>
      </c>
      <c r="I63" s="1937">
        <f>SUMIF(修正!$A$45:$A$56,H63,修正!F45:F56)</f>
        <v>0.2</v>
      </c>
      <c r="J63" s="1940"/>
      <c r="K63" s="1938"/>
      <c r="L63" s="1939"/>
      <c r="M63" s="1939"/>
      <c r="N63" s="1939"/>
      <c r="O63" s="1939"/>
      <c r="P63" s="1939"/>
      <c r="Q63" s="1939"/>
      <c r="R63" s="1939"/>
      <c r="S63" s="1939"/>
      <c r="T63" s="1939"/>
      <c r="U63" s="1939"/>
      <c r="V63" s="1939"/>
      <c r="W63" s="1939"/>
      <c r="X63" s="1939"/>
      <c r="Y63" s="1939"/>
      <c r="Z63" s="1939"/>
      <c r="AA63" s="1939"/>
      <c r="AB63" s="1939"/>
      <c r="AC63" s="1939"/>
    </row>
    <row r="64" s="1856" customFormat="1" ht="12.75" spans="1:29">
      <c r="A64" s="1907" t="s">
        <v>1344</v>
      </c>
      <c r="B64" s="1908" t="e">
        <f ca="1" t="shared" si="17"/>
        <v>#DIV/0!</v>
      </c>
      <c r="C64" s="1555">
        <f t="shared" si="16"/>
        <v>0.2</v>
      </c>
      <c r="D64" s="1909">
        <v>0.25</v>
      </c>
      <c r="E64" s="1915">
        <f>'数据-汇总表'!E12</f>
        <v>0</v>
      </c>
      <c r="F64" s="1987" t="e">
        <f ca="1" t="shared" si="15"/>
        <v>#DIV/0!</v>
      </c>
      <c r="G64" s="1916" t="s">
        <v>377</v>
      </c>
      <c r="H64" s="1992" t="str">
        <f>IF(G64="商业",项目基本情况!B43,IF(G64="办公",项目基本情况!C43,IF(G64="住宅",项目基本情况!D43,项目基本情况!E43)))</f>
        <v>八级</v>
      </c>
      <c r="I64" s="1937">
        <f>SUMIF(修正!$A$45:$A$56,H64,修正!G45:G56)</f>
        <v>0.2</v>
      </c>
      <c r="J64" s="1940"/>
      <c r="K64" s="1938"/>
      <c r="L64" s="1939"/>
      <c r="M64" s="1939"/>
      <c r="N64" s="1939"/>
      <c r="O64" s="1939"/>
      <c r="P64" s="1939"/>
      <c r="Q64" s="1939"/>
      <c r="R64" s="1939"/>
      <c r="S64" s="1939"/>
      <c r="T64" s="1939"/>
      <c r="U64" s="1939"/>
      <c r="V64" s="1939"/>
      <c r="W64" s="1939"/>
      <c r="X64" s="1939"/>
      <c r="Y64" s="1939"/>
      <c r="Z64" s="1939"/>
      <c r="AA64" s="1939"/>
      <c r="AB64" s="1939"/>
      <c r="AC64" s="1939"/>
    </row>
    <row r="65" s="1856" customFormat="1" ht="12.75" spans="1:29">
      <c r="A65" s="1907" t="s">
        <v>1345</v>
      </c>
      <c r="B65" s="1908" t="e">
        <f ca="1" t="shared" si="17"/>
        <v>#DIV/0!</v>
      </c>
      <c r="C65" s="1555">
        <f t="shared" si="16"/>
        <v>0</v>
      </c>
      <c r="D65" s="1909">
        <v>0.25</v>
      </c>
      <c r="E65" s="1915">
        <f>'数据-汇总表'!E13</f>
        <v>2196.98</v>
      </c>
      <c r="F65" s="1987" t="e">
        <f ca="1" t="shared" si="15"/>
        <v>#DIV/0!</v>
      </c>
      <c r="G65" s="1916" t="s">
        <v>375</v>
      </c>
      <c r="H65" s="1992">
        <f>IF(G65="商业",项目基本情况!B43,IF(G65="办公",项目基本情况!C43,IF(G65="住宅",项目基本情况!D43,项目基本情况!E43)))</f>
        <v>0</v>
      </c>
      <c r="I65" s="1937">
        <f>SUMIF(修正!$A$45:$A$56,H65,修正!H45:H56)</f>
        <v>0</v>
      </c>
      <c r="J65" s="1940"/>
      <c r="K65" s="1938"/>
      <c r="L65" s="1939"/>
      <c r="M65" s="1939"/>
      <c r="N65" s="1939"/>
      <c r="O65" s="1939"/>
      <c r="P65" s="1939"/>
      <c r="Q65" s="1939"/>
      <c r="R65" s="1939"/>
      <c r="S65" s="1939"/>
      <c r="T65" s="1939"/>
      <c r="U65" s="1939"/>
      <c r="V65" s="1939"/>
      <c r="W65" s="1939"/>
      <c r="X65" s="1939"/>
      <c r="Y65" s="1939"/>
      <c r="Z65" s="1939"/>
      <c r="AA65" s="1939"/>
      <c r="AB65" s="1939"/>
      <c r="AC65" s="1939"/>
    </row>
    <row r="66" s="1856" customFormat="1" ht="12.75" spans="1:29">
      <c r="A66" s="1907" t="s">
        <v>1346</v>
      </c>
      <c r="B66" s="1908" t="e">
        <f ca="1" t="shared" si="17"/>
        <v>#DIV/0!</v>
      </c>
      <c r="C66" s="1555">
        <f t="shared" si="16"/>
        <v>0</v>
      </c>
      <c r="D66" s="1909">
        <v>0.25</v>
      </c>
      <c r="E66" s="1915">
        <f>'数据-汇总表'!E14</f>
        <v>0</v>
      </c>
      <c r="F66" s="1987" t="e">
        <f ca="1" t="shared" si="15"/>
        <v>#DIV/0!</v>
      </c>
      <c r="G66" s="1990" t="s">
        <v>1339</v>
      </c>
      <c r="H66" s="1991">
        <f>项目基本情况!B43</f>
        <v>0</v>
      </c>
      <c r="I66" s="1937">
        <f>SUMIF(修正!$A$45:$A$56,H66,修正!H45:H56)</f>
        <v>0</v>
      </c>
      <c r="J66" s="1940"/>
      <c r="K66" s="1938"/>
      <c r="L66" s="1939"/>
      <c r="M66" s="1939"/>
      <c r="N66" s="1939"/>
      <c r="O66" s="1939"/>
      <c r="P66" s="1939"/>
      <c r="Q66" s="1939"/>
      <c r="R66" s="1939"/>
      <c r="S66" s="1939"/>
      <c r="T66" s="1939"/>
      <c r="U66" s="1939"/>
      <c r="V66" s="1939"/>
      <c r="W66" s="1939"/>
      <c r="X66" s="1939"/>
      <c r="Y66" s="1939"/>
      <c r="Z66" s="1939"/>
      <c r="AA66" s="1939"/>
      <c r="AB66" s="1939"/>
      <c r="AC66" s="1939"/>
    </row>
    <row r="67" s="1856" customFormat="1" ht="13.5" spans="1:29">
      <c r="A67" s="1907" t="s">
        <v>1347</v>
      </c>
      <c r="B67" s="1908" t="e">
        <f ca="1" t="shared" si="17"/>
        <v>#DIV/0!</v>
      </c>
      <c r="C67" s="1555">
        <f t="shared" si="16"/>
        <v>0.15</v>
      </c>
      <c r="D67" s="1909">
        <v>0.25</v>
      </c>
      <c r="E67" s="1915">
        <f>'数据-汇总表'!E15</f>
        <v>0</v>
      </c>
      <c r="F67" s="1987" t="e">
        <f ca="1" t="shared" si="15"/>
        <v>#DIV/0!</v>
      </c>
      <c r="G67" s="1995" t="s">
        <v>1343</v>
      </c>
      <c r="H67" s="1996" t="str">
        <f>项目基本情况!C43</f>
        <v>八级</v>
      </c>
      <c r="I67" s="1937">
        <f>SUMIF(修正!$A$45:$A$56,H67,修正!H45:H56)</f>
        <v>0.15</v>
      </c>
      <c r="J67" s="1940"/>
      <c r="K67" s="1938"/>
      <c r="L67" s="1939"/>
      <c r="M67" s="1939"/>
      <c r="N67" s="1939"/>
      <c r="O67" s="1939"/>
      <c r="P67" s="1939"/>
      <c r="Q67" s="1939"/>
      <c r="R67" s="1939"/>
      <c r="S67" s="1939"/>
      <c r="T67" s="1939"/>
      <c r="U67" s="1939"/>
      <c r="V67" s="1939"/>
      <c r="W67" s="1939"/>
      <c r="X67" s="1939"/>
      <c r="Y67" s="1939"/>
      <c r="Z67" s="1939"/>
      <c r="AA67" s="1939"/>
      <c r="AB67" s="1939"/>
      <c r="AC67" s="1939"/>
    </row>
    <row r="68" s="1856" customFormat="1" ht="13.5" spans="1:29">
      <c r="A68" s="1919" t="s">
        <v>1348</v>
      </c>
      <c r="B68" s="1920" t="s">
        <v>1349</v>
      </c>
      <c r="C68" s="1920" t="s">
        <v>1349</v>
      </c>
      <c r="D68" s="1920" t="s">
        <v>1349</v>
      </c>
      <c r="E68" s="1920">
        <f>IF(B48="楼面地价",SUM(E58:E67),'数据-汇总表'!D3)</f>
        <v>20468.06</v>
      </c>
      <c r="F68" s="1921" t="e">
        <f ca="1">IF(B48="楼面地价",SUM(F58:F67),ROUND(C50*E68/10000,0))</f>
        <v>#DIV/0!</v>
      </c>
      <c r="G68" s="1922"/>
      <c r="H68" s="1922"/>
      <c r="I68" s="1922"/>
      <c r="J68" s="1922"/>
      <c r="K68" s="1922"/>
      <c r="L68" s="1939"/>
      <c r="M68" s="1939"/>
      <c r="N68" s="1939"/>
      <c r="O68" s="1939"/>
      <c r="P68" s="1939"/>
      <c r="Q68" s="1939"/>
      <c r="R68" s="1939"/>
      <c r="S68" s="1939"/>
      <c r="T68" s="1939"/>
      <c r="U68" s="1939"/>
      <c r="V68" s="1939"/>
      <c r="W68" s="1939"/>
      <c r="X68" s="1939"/>
      <c r="Y68" s="1939"/>
      <c r="Z68" s="1939"/>
      <c r="AA68" s="1939"/>
      <c r="AB68" s="1939"/>
      <c r="AC68" s="1939"/>
    </row>
    <row r="69" spans="1:29">
      <c r="A69" s="349"/>
      <c r="B69" s="347"/>
      <c r="C69" s="348"/>
      <c r="D69" s="349"/>
      <c r="E69" s="349"/>
      <c r="F69" s="349"/>
      <c r="G69" s="349"/>
      <c r="H69" s="349"/>
      <c r="I69" s="349"/>
      <c r="J69" s="349"/>
      <c r="K69" s="435"/>
      <c r="L69" s="431"/>
      <c r="M69" s="349"/>
      <c r="N69" s="349"/>
      <c r="O69" s="349"/>
      <c r="P69" s="349"/>
      <c r="Q69" s="349"/>
      <c r="R69" s="349"/>
      <c r="S69" s="349"/>
      <c r="T69" s="349"/>
      <c r="U69" s="349"/>
      <c r="V69" s="349"/>
      <c r="W69" s="349"/>
      <c r="X69" s="349"/>
      <c r="Y69" s="349"/>
      <c r="Z69" s="349"/>
      <c r="AA69" s="349"/>
      <c r="AB69" s="349"/>
      <c r="AC69" s="349"/>
    </row>
    <row r="70" spans="1:29">
      <c r="A70" s="349"/>
      <c r="B70" s="347"/>
      <c r="C70" s="1945" t="str">
        <f>YEAR(C9)&amp;"-"&amp;MONTH(C9)&amp;"-1"</f>
        <v>2021-11-1</v>
      </c>
      <c r="D70" s="1945">
        <f>EDATE(C70,-3)</f>
        <v>44409</v>
      </c>
      <c r="E70" s="1945">
        <f t="shared" ref="E70:N70" si="18">EDATE(D70,-3)</f>
        <v>44317</v>
      </c>
      <c r="F70" s="1945">
        <f t="shared" si="18"/>
        <v>44228</v>
      </c>
      <c r="G70" s="1945">
        <f t="shared" si="18"/>
        <v>44136</v>
      </c>
      <c r="H70" s="1945">
        <f t="shared" si="18"/>
        <v>44044</v>
      </c>
      <c r="I70" s="1945">
        <f t="shared" si="18"/>
        <v>43952</v>
      </c>
      <c r="J70" s="1945">
        <f t="shared" si="18"/>
        <v>43862</v>
      </c>
      <c r="K70" s="1945">
        <f t="shared" si="18"/>
        <v>43770</v>
      </c>
      <c r="L70" s="1945">
        <f t="shared" si="18"/>
        <v>43678</v>
      </c>
      <c r="M70" s="1945">
        <f t="shared" si="18"/>
        <v>43586</v>
      </c>
      <c r="N70" s="1945">
        <f t="shared" si="18"/>
        <v>43497</v>
      </c>
      <c r="O70" s="349"/>
      <c r="P70" s="349"/>
      <c r="Q70" s="349"/>
      <c r="R70" s="349"/>
      <c r="S70" s="349"/>
      <c r="T70" s="349"/>
      <c r="U70" s="349"/>
      <c r="V70" s="349"/>
      <c r="W70" s="349"/>
      <c r="X70" s="349"/>
      <c r="Y70" s="349"/>
      <c r="Z70" s="349"/>
      <c r="AA70" s="349"/>
      <c r="AB70" s="349"/>
      <c r="AC70" s="349"/>
    </row>
    <row r="71" ht="21" spans="1:29">
      <c r="A71" s="350" t="s">
        <v>1350</v>
      </c>
      <c r="B71" s="351"/>
      <c r="C71" s="352"/>
      <c r="D71" s="352"/>
      <c r="E71" s="352"/>
      <c r="F71" s="353"/>
      <c r="G71" s="353"/>
      <c r="H71" s="352"/>
      <c r="I71" s="352"/>
      <c r="J71" s="352"/>
      <c r="K71" s="436"/>
      <c r="L71" s="437"/>
      <c r="M71" s="352"/>
      <c r="N71" s="352"/>
      <c r="O71" s="438"/>
      <c r="P71" s="438"/>
      <c r="Q71" s="442"/>
      <c r="R71" s="349"/>
      <c r="S71" s="349"/>
      <c r="T71" s="349"/>
      <c r="U71" s="349"/>
      <c r="V71" s="349"/>
      <c r="W71" s="349"/>
      <c r="X71" s="349"/>
      <c r="Y71" s="349"/>
      <c r="Z71" s="349"/>
      <c r="AA71" s="349"/>
      <c r="AB71" s="349"/>
      <c r="AC71" s="349"/>
    </row>
    <row r="72" s="200" customFormat="1" ht="15" spans="1:29">
      <c r="A72" s="1946" t="s">
        <v>1351</v>
      </c>
      <c r="B72" s="1997"/>
      <c r="C72" s="1947" t="str">
        <f>YEAR(C70)&amp;"-"&amp;ROUNDUP(MONTH(C70)/3,0)</f>
        <v>2021-4</v>
      </c>
      <c r="D72" s="1947" t="str">
        <f>YEAR(D70)&amp;"-"&amp;ROUNDUP(MONTH(D70)/3,0)</f>
        <v>2021-3</v>
      </c>
      <c r="E72" s="1947" t="str">
        <f t="shared" ref="E72:N72" si="19">YEAR(E70)&amp;"-"&amp;ROUNDUP(MONTH(E70)/3,0)</f>
        <v>2021-2</v>
      </c>
      <c r="F72" s="1947" t="str">
        <f t="shared" si="19"/>
        <v>2021-1</v>
      </c>
      <c r="G72" s="1947" t="str">
        <f t="shared" si="19"/>
        <v>2020-4</v>
      </c>
      <c r="H72" s="1947" t="str">
        <f t="shared" si="19"/>
        <v>2020-3</v>
      </c>
      <c r="I72" s="1947" t="str">
        <f t="shared" si="19"/>
        <v>2020-2</v>
      </c>
      <c r="J72" s="1947" t="str">
        <f t="shared" si="19"/>
        <v>2020-1</v>
      </c>
      <c r="K72" s="1947" t="str">
        <f t="shared" si="19"/>
        <v>2019-4</v>
      </c>
      <c r="L72" s="1947" t="str">
        <f t="shared" si="19"/>
        <v>2019-3</v>
      </c>
      <c r="M72" s="1947" t="str">
        <f t="shared" si="19"/>
        <v>2019-2</v>
      </c>
      <c r="N72" s="1947" t="str">
        <f t="shared" si="19"/>
        <v>2019-1</v>
      </c>
      <c r="O72" s="1955"/>
      <c r="P72" s="439"/>
      <c r="Q72" s="498"/>
      <c r="R72" s="498"/>
      <c r="S72" s="498"/>
      <c r="T72" s="498"/>
      <c r="U72" s="498"/>
      <c r="V72" s="498"/>
      <c r="W72" s="498"/>
      <c r="X72" s="498"/>
      <c r="Y72" s="498"/>
      <c r="Z72" s="498"/>
      <c r="AA72" s="498"/>
      <c r="AB72" s="498"/>
      <c r="AC72" s="498"/>
    </row>
    <row r="73" s="196" customFormat="1" ht="27" customHeight="1" spans="1:29">
      <c r="A73" s="1998" t="s">
        <v>916</v>
      </c>
      <c r="B73" s="1949" t="str">
        <f>"北京市平均增长率"&amp;TEXT(SUMIF(基准地价!N21:N25,A73,基准地价!P21:P25),"0.00%")</f>
        <v>北京市平均增长率1.66%</v>
      </c>
      <c r="C73" s="517">
        <v>100</v>
      </c>
      <c r="D73" s="520"/>
      <c r="E73" s="520"/>
      <c r="F73" s="520"/>
      <c r="G73" s="520"/>
      <c r="H73" s="520"/>
      <c r="I73" s="520"/>
      <c r="J73" s="520"/>
      <c r="K73" s="520"/>
      <c r="L73" s="520"/>
      <c r="M73" s="1956"/>
      <c r="N73" s="1957"/>
      <c r="O73" s="447"/>
      <c r="P73" s="442"/>
      <c r="Q73" s="499"/>
      <c r="R73" s="499"/>
      <c r="S73" s="499"/>
      <c r="T73" s="499"/>
      <c r="U73" s="499"/>
      <c r="V73" s="499"/>
      <c r="W73" s="499"/>
      <c r="X73" s="499"/>
      <c r="Y73" s="499"/>
      <c r="Z73" s="499"/>
      <c r="AA73" s="499"/>
      <c r="AB73" s="499"/>
      <c r="AC73" s="499"/>
    </row>
    <row r="74" s="196" customFormat="1" ht="15" customHeight="1" spans="1:29">
      <c r="A74" s="1999" t="s">
        <v>1352</v>
      </c>
      <c r="B74" s="2000"/>
      <c r="C74" s="1950"/>
      <c r="D74" s="1951"/>
      <c r="E74" s="1951"/>
      <c r="F74" s="1951"/>
      <c r="G74" s="1951"/>
      <c r="H74" s="1951"/>
      <c r="I74" s="1951"/>
      <c r="J74" s="1951"/>
      <c r="K74" s="1951"/>
      <c r="L74" s="1951"/>
      <c r="M74" s="1951"/>
      <c r="N74" s="1951"/>
      <c r="O74" s="447"/>
      <c r="P74" s="442"/>
      <c r="Q74" s="442"/>
      <c r="R74" s="499"/>
      <c r="S74" s="499"/>
      <c r="T74" s="499"/>
      <c r="U74" s="499"/>
      <c r="V74" s="499"/>
      <c r="W74" s="499"/>
      <c r="X74" s="499"/>
      <c r="Y74" s="499"/>
      <c r="Z74" s="499"/>
      <c r="AA74" s="499"/>
      <c r="AB74" s="499"/>
      <c r="AC74" s="499"/>
    </row>
    <row r="75" s="196" customFormat="1" ht="15" spans="1:29">
      <c r="A75" s="366" t="s">
        <v>1300</v>
      </c>
      <c r="B75" s="359"/>
      <c r="C75" s="367" t="s">
        <v>1301</v>
      </c>
      <c r="D75" s="368"/>
      <c r="E75" s="368"/>
      <c r="F75" s="368"/>
      <c r="G75" s="368"/>
      <c r="H75" s="368"/>
      <c r="I75" s="368"/>
      <c r="J75" s="368"/>
      <c r="K75" s="368"/>
      <c r="L75" s="445"/>
      <c r="M75" s="446"/>
      <c r="N75" s="447"/>
      <c r="O75" s="447"/>
      <c r="P75" s="448"/>
      <c r="Q75" s="442"/>
      <c r="R75" s="499"/>
      <c r="S75" s="499"/>
      <c r="T75" s="499"/>
      <c r="U75" s="499"/>
      <c r="V75" s="499"/>
      <c r="W75" s="499"/>
      <c r="X75" s="499"/>
      <c r="Y75" s="499"/>
      <c r="Z75" s="499"/>
      <c r="AA75" s="499"/>
      <c r="AB75" s="499"/>
      <c r="AC75" s="499"/>
    </row>
    <row r="76" s="196" customFormat="1" ht="15.75" spans="1:29">
      <c r="A76" s="366"/>
      <c r="B76" s="359"/>
      <c r="C76" s="360">
        <v>100</v>
      </c>
      <c r="D76" s="361"/>
      <c r="E76" s="361"/>
      <c r="F76" s="361"/>
      <c r="G76" s="361"/>
      <c r="H76" s="361"/>
      <c r="I76" s="361"/>
      <c r="J76" s="361"/>
      <c r="K76" s="361"/>
      <c r="L76" s="361"/>
      <c r="M76" s="441"/>
      <c r="N76" s="447"/>
      <c r="O76" s="447"/>
      <c r="P76" s="442"/>
      <c r="Q76" s="442"/>
      <c r="R76" s="499"/>
      <c r="S76" s="499"/>
      <c r="T76" s="499"/>
      <c r="U76" s="499"/>
      <c r="V76" s="499"/>
      <c r="W76" s="499"/>
      <c r="X76" s="499"/>
      <c r="Y76" s="499"/>
      <c r="Z76" s="499"/>
      <c r="AA76" s="499"/>
      <c r="AB76" s="499"/>
      <c r="AC76" s="499"/>
    </row>
    <row r="77" spans="1:29">
      <c r="A77" s="369" t="s">
        <v>1353</v>
      </c>
      <c r="B77" s="370" t="s">
        <v>1354</v>
      </c>
      <c r="C77" s="372"/>
      <c r="D77" s="372"/>
      <c r="E77" s="372"/>
      <c r="F77" s="372"/>
      <c r="G77" s="372"/>
      <c r="H77" s="372"/>
      <c r="I77" s="372"/>
      <c r="J77" s="372"/>
      <c r="K77" s="449"/>
      <c r="L77" s="450"/>
      <c r="M77" s="451"/>
      <c r="N77" s="452"/>
      <c r="O77" s="452"/>
      <c r="P77" s="453"/>
      <c r="Q77" s="442"/>
      <c r="R77" s="349"/>
      <c r="S77" s="349"/>
      <c r="T77" s="349"/>
      <c r="U77" s="349"/>
      <c r="V77" s="349"/>
      <c r="W77" s="349"/>
      <c r="X77" s="349"/>
      <c r="Y77" s="349"/>
      <c r="Z77" s="349"/>
      <c r="AA77" s="349"/>
      <c r="AB77" s="349"/>
      <c r="AC77" s="349"/>
    </row>
    <row r="78" ht="15.75" spans="1:29">
      <c r="A78" s="373"/>
      <c r="B78" s="374"/>
      <c r="C78" s="375"/>
      <c r="D78" s="375"/>
      <c r="E78" s="375"/>
      <c r="F78" s="375"/>
      <c r="G78" s="375"/>
      <c r="H78" s="375"/>
      <c r="I78" s="375"/>
      <c r="J78" s="375"/>
      <c r="K78" s="375"/>
      <c r="L78" s="375"/>
      <c r="M78" s="454"/>
      <c r="N78" s="455"/>
      <c r="O78" s="455"/>
      <c r="P78" s="453"/>
      <c r="Q78" s="442"/>
      <c r="R78" s="349"/>
      <c r="S78" s="349"/>
      <c r="T78" s="349"/>
      <c r="U78" s="349"/>
      <c r="V78" s="349"/>
      <c r="W78" s="349"/>
      <c r="X78" s="349"/>
      <c r="Y78" s="349"/>
      <c r="Z78" s="349"/>
      <c r="AA78" s="349"/>
      <c r="AB78" s="349"/>
      <c r="AC78" s="349"/>
    </row>
    <row r="79" ht="27.75" spans="1:29">
      <c r="A79" s="373"/>
      <c r="B79" s="376" t="s">
        <v>1355</v>
      </c>
      <c r="C79" s="377"/>
      <c r="D79" s="377"/>
      <c r="E79" s="377"/>
      <c r="F79" s="377"/>
      <c r="G79" s="377"/>
      <c r="H79" s="377"/>
      <c r="I79" s="377"/>
      <c r="J79" s="377"/>
      <c r="K79" s="456"/>
      <c r="L79" s="457"/>
      <c r="M79" s="458"/>
      <c r="N79" s="452"/>
      <c r="O79" s="452"/>
      <c r="P79" s="453"/>
      <c r="Q79" s="442"/>
      <c r="R79" s="349"/>
      <c r="S79" s="349"/>
      <c r="T79" s="349"/>
      <c r="U79" s="349"/>
      <c r="V79" s="349"/>
      <c r="W79" s="349"/>
      <c r="X79" s="349"/>
      <c r="Y79" s="349"/>
      <c r="Z79" s="349"/>
      <c r="AA79" s="349"/>
      <c r="AB79" s="349"/>
      <c r="AC79" s="349"/>
    </row>
    <row r="80" ht="15.75" spans="1:29">
      <c r="A80" s="373"/>
      <c r="B80" s="378"/>
      <c r="C80" s="379"/>
      <c r="D80" s="379"/>
      <c r="E80" s="379"/>
      <c r="F80" s="379"/>
      <c r="G80" s="379"/>
      <c r="H80" s="379"/>
      <c r="I80" s="379"/>
      <c r="J80" s="379"/>
      <c r="K80" s="379"/>
      <c r="L80" s="379"/>
      <c r="M80" s="459"/>
      <c r="N80" s="455"/>
      <c r="O80" s="455"/>
      <c r="P80" s="453"/>
      <c r="Q80" s="442"/>
      <c r="R80" s="349"/>
      <c r="S80" s="349"/>
      <c r="T80" s="349"/>
      <c r="U80" s="349"/>
      <c r="V80" s="349"/>
      <c r="W80" s="349"/>
      <c r="X80" s="349"/>
      <c r="Y80" s="349"/>
      <c r="Z80" s="349"/>
      <c r="AA80" s="349"/>
      <c r="AB80" s="349"/>
      <c r="AC80" s="349"/>
    </row>
    <row r="81" ht="15.75" spans="1:29">
      <c r="A81" s="373"/>
      <c r="B81" s="514" t="s">
        <v>1356</v>
      </c>
      <c r="C81" s="592" t="str">
        <f>C82&amp;"（含）"&amp;"-"&amp;D82</f>
        <v>（含）-</v>
      </c>
      <c r="D81" s="592" t="str">
        <f t="shared" ref="D81:L81" si="20">D82&amp;"（含）"&amp;"-"&amp;E82</f>
        <v>（含）-</v>
      </c>
      <c r="E81" s="592" t="str">
        <f t="shared" si="20"/>
        <v>（含）-</v>
      </c>
      <c r="F81" s="592" t="str">
        <f t="shared" si="20"/>
        <v>（含）-</v>
      </c>
      <c r="G81" s="592" t="str">
        <f t="shared" si="20"/>
        <v>（含）-</v>
      </c>
      <c r="H81" s="592" t="str">
        <f t="shared" si="20"/>
        <v>（含）-</v>
      </c>
      <c r="I81" s="592" t="str">
        <f t="shared" si="20"/>
        <v>（含）-</v>
      </c>
      <c r="J81" s="592" t="str">
        <f t="shared" si="20"/>
        <v>（含）-</v>
      </c>
      <c r="K81" s="592" t="str">
        <f t="shared" si="20"/>
        <v>（含）-</v>
      </c>
      <c r="L81" s="592" t="str">
        <f t="shared" si="20"/>
        <v>（含）-</v>
      </c>
      <c r="M81" s="276" t="str">
        <f>M82&amp;"（含）"&amp;"-"&amp;P82</f>
        <v>（含）-</v>
      </c>
      <c r="N81" s="455"/>
      <c r="O81" s="455"/>
      <c r="P81" s="453"/>
      <c r="Q81" s="442"/>
      <c r="R81" s="349"/>
      <c r="S81" s="349"/>
      <c r="T81" s="349"/>
      <c r="U81" s="349"/>
      <c r="V81" s="349"/>
      <c r="W81" s="349"/>
      <c r="X81" s="349"/>
      <c r="Y81" s="349"/>
      <c r="Z81" s="349"/>
      <c r="AA81" s="349"/>
      <c r="AB81" s="349"/>
      <c r="AC81" s="349"/>
    </row>
    <row r="82" ht="15" spans="1:29">
      <c r="A82" s="373"/>
      <c r="B82" s="593"/>
      <c r="C82" s="381"/>
      <c r="D82" s="381"/>
      <c r="E82" s="381"/>
      <c r="F82" s="381"/>
      <c r="G82" s="381"/>
      <c r="H82" s="381"/>
      <c r="I82" s="381"/>
      <c r="J82" s="381"/>
      <c r="K82" s="460"/>
      <c r="L82" s="461"/>
      <c r="M82" s="462"/>
      <c r="N82" s="452"/>
      <c r="O82" s="452"/>
      <c r="P82" s="453"/>
      <c r="Q82" s="442"/>
      <c r="R82" s="349"/>
      <c r="S82" s="349"/>
      <c r="T82" s="349"/>
      <c r="U82" s="349"/>
      <c r="V82" s="349"/>
      <c r="W82" s="349"/>
      <c r="X82" s="349"/>
      <c r="Y82" s="349"/>
      <c r="Z82" s="349"/>
      <c r="AA82" s="349"/>
      <c r="AB82" s="349"/>
      <c r="AC82" s="349"/>
    </row>
    <row r="83" ht="15.75" spans="1:29">
      <c r="A83" s="373"/>
      <c r="B83" s="374"/>
      <c r="C83" s="379">
        <v>100</v>
      </c>
      <c r="D83" s="379">
        <f>IF($B$48="单位面积地价",C83+$K13,C83-$K13)</f>
        <v>100</v>
      </c>
      <c r="E83" s="379">
        <f t="shared" ref="E83:M83" si="21">IF($B$48="单位面积地价",D83+$K13,D83-$K13)</f>
        <v>100</v>
      </c>
      <c r="F83" s="379">
        <f t="shared" si="21"/>
        <v>100</v>
      </c>
      <c r="G83" s="379">
        <f t="shared" si="21"/>
        <v>100</v>
      </c>
      <c r="H83" s="379">
        <f t="shared" si="21"/>
        <v>100</v>
      </c>
      <c r="I83" s="379">
        <f t="shared" si="21"/>
        <v>100</v>
      </c>
      <c r="J83" s="379">
        <f t="shared" si="21"/>
        <v>100</v>
      </c>
      <c r="K83" s="379">
        <f t="shared" si="21"/>
        <v>100</v>
      </c>
      <c r="L83" s="379">
        <f t="shared" si="21"/>
        <v>100</v>
      </c>
      <c r="M83" s="379">
        <f t="shared" si="21"/>
        <v>100</v>
      </c>
      <c r="N83" s="455"/>
      <c r="O83" s="455"/>
      <c r="P83" s="453"/>
      <c r="Q83" s="442"/>
      <c r="R83" s="349"/>
      <c r="S83" s="349"/>
      <c r="T83" s="349"/>
      <c r="U83" s="349"/>
      <c r="V83" s="349"/>
      <c r="W83" s="349"/>
      <c r="X83" s="349"/>
      <c r="Y83" s="349"/>
      <c r="Z83" s="349"/>
      <c r="AA83" s="349"/>
      <c r="AB83" s="349"/>
      <c r="AC83" s="349"/>
    </row>
    <row r="84" s="198" customFormat="1" ht="15.75" spans="1:29">
      <c r="A84" s="383"/>
      <c r="B84" s="376" t="str">
        <f>B14</f>
        <v>配建</v>
      </c>
      <c r="C84" s="384"/>
      <c r="D84" s="1953"/>
      <c r="E84" s="2001"/>
      <c r="F84" s="384"/>
      <c r="G84" s="384"/>
      <c r="H84" s="385"/>
      <c r="I84" s="385"/>
      <c r="J84" s="385"/>
      <c r="K84" s="385"/>
      <c r="L84" s="463"/>
      <c r="M84" s="464"/>
      <c r="N84" s="465"/>
      <c r="O84" s="465"/>
      <c r="P84" s="466"/>
      <c r="Q84" s="500"/>
      <c r="R84" s="501"/>
      <c r="S84" s="501"/>
      <c r="T84" s="501"/>
      <c r="U84" s="501"/>
      <c r="V84" s="501"/>
      <c r="W84" s="501"/>
      <c r="X84" s="501"/>
      <c r="Y84" s="501"/>
      <c r="Z84" s="501"/>
      <c r="AA84" s="501"/>
      <c r="AB84" s="501"/>
      <c r="AC84" s="501"/>
    </row>
    <row r="85" s="198" customFormat="1" ht="15.75" spans="1:29">
      <c r="A85" s="383"/>
      <c r="B85" s="378"/>
      <c r="C85" s="382"/>
      <c r="D85" s="375"/>
      <c r="E85" s="375"/>
      <c r="F85" s="375"/>
      <c r="G85" s="375"/>
      <c r="H85" s="375"/>
      <c r="I85" s="375"/>
      <c r="J85" s="375"/>
      <c r="K85" s="375"/>
      <c r="L85" s="375"/>
      <c r="M85" s="454"/>
      <c r="N85" s="455"/>
      <c r="O85" s="455"/>
      <c r="P85" s="466"/>
      <c r="Q85" s="500"/>
      <c r="R85" s="501"/>
      <c r="S85" s="501"/>
      <c r="T85" s="501"/>
      <c r="U85" s="501"/>
      <c r="V85" s="501"/>
      <c r="W85" s="501"/>
      <c r="X85" s="501"/>
      <c r="Y85" s="501"/>
      <c r="Z85" s="501"/>
      <c r="AA85" s="501"/>
      <c r="AB85" s="501"/>
      <c r="AC85" s="501"/>
    </row>
    <row r="86" s="198" customFormat="1" ht="15.75" spans="1:29">
      <c r="A86" s="383"/>
      <c r="B86" s="376">
        <f>B15</f>
        <v>111</v>
      </c>
      <c r="C86" s="384"/>
      <c r="D86" s="384"/>
      <c r="E86" s="384"/>
      <c r="F86" s="384"/>
      <c r="G86" s="384"/>
      <c r="H86" s="385"/>
      <c r="I86" s="385"/>
      <c r="J86" s="385"/>
      <c r="K86" s="385"/>
      <c r="L86" s="463"/>
      <c r="M86" s="464"/>
      <c r="N86" s="465"/>
      <c r="O86" s="465"/>
      <c r="P86" s="422"/>
      <c r="Q86" s="502"/>
      <c r="R86" s="501"/>
      <c r="S86" s="501"/>
      <c r="T86" s="501"/>
      <c r="U86" s="501"/>
      <c r="V86" s="501"/>
      <c r="W86" s="501"/>
      <c r="X86" s="501"/>
      <c r="Y86" s="501"/>
      <c r="Z86" s="501"/>
      <c r="AA86" s="501"/>
      <c r="AB86" s="501"/>
      <c r="AC86" s="501"/>
    </row>
    <row r="87" s="198" customFormat="1" ht="15.75" spans="1:29">
      <c r="A87" s="383"/>
      <c r="B87" s="378"/>
      <c r="C87" s="382"/>
      <c r="D87" s="382"/>
      <c r="E87" s="382"/>
      <c r="F87" s="382"/>
      <c r="G87" s="382"/>
      <c r="H87" s="386"/>
      <c r="I87" s="386"/>
      <c r="J87" s="386"/>
      <c r="K87" s="386"/>
      <c r="L87" s="386"/>
      <c r="M87" s="467"/>
      <c r="N87" s="465"/>
      <c r="O87" s="465"/>
      <c r="P87" s="466"/>
      <c r="Q87" s="500"/>
      <c r="R87" s="501"/>
      <c r="S87" s="501"/>
      <c r="T87" s="501"/>
      <c r="U87" s="501"/>
      <c r="V87" s="501"/>
      <c r="W87" s="501"/>
      <c r="X87" s="501"/>
      <c r="Y87" s="501"/>
      <c r="Z87" s="501"/>
      <c r="AA87" s="501"/>
      <c r="AB87" s="501"/>
      <c r="AC87" s="501"/>
    </row>
    <row r="88" s="198" customFormat="1" ht="15.75" spans="1:29">
      <c r="A88" s="383"/>
      <c r="B88" s="514">
        <f>B16</f>
        <v>111</v>
      </c>
      <c r="C88" s="368"/>
      <c r="D88" s="368"/>
      <c r="E88" s="368"/>
      <c r="F88" s="368"/>
      <c r="G88" s="368"/>
      <c r="H88" s="595"/>
      <c r="I88" s="595"/>
      <c r="J88" s="595"/>
      <c r="K88" s="595"/>
      <c r="L88" s="604"/>
      <c r="M88" s="605"/>
      <c r="N88" s="465"/>
      <c r="O88" s="465"/>
      <c r="P88" s="606"/>
      <c r="Q88" s="500"/>
      <c r="R88" s="501"/>
      <c r="S88" s="501"/>
      <c r="T88" s="501"/>
      <c r="U88" s="501"/>
      <c r="V88" s="501"/>
      <c r="W88" s="501"/>
      <c r="X88" s="501"/>
      <c r="Y88" s="501"/>
      <c r="Z88" s="501"/>
      <c r="AA88" s="501"/>
      <c r="AB88" s="501"/>
      <c r="AC88" s="501"/>
    </row>
    <row r="89" s="198" customFormat="1" ht="15.75" spans="1:29">
      <c r="A89" s="596"/>
      <c r="B89" s="597"/>
      <c r="C89" s="598"/>
      <c r="D89" s="598"/>
      <c r="E89" s="598"/>
      <c r="F89" s="598"/>
      <c r="G89" s="598"/>
      <c r="H89" s="599"/>
      <c r="I89" s="599"/>
      <c r="J89" s="599"/>
      <c r="K89" s="599"/>
      <c r="L89" s="599"/>
      <c r="M89" s="607"/>
      <c r="N89" s="465"/>
      <c r="O89" s="465"/>
      <c r="P89" s="466"/>
      <c r="Q89" s="500"/>
      <c r="R89" s="501"/>
      <c r="S89" s="501"/>
      <c r="T89" s="501"/>
      <c r="U89" s="501"/>
      <c r="V89" s="501"/>
      <c r="W89" s="501"/>
      <c r="X89" s="501"/>
      <c r="Y89" s="501"/>
      <c r="Z89" s="501"/>
      <c r="AA89" s="501"/>
      <c r="AB89" s="501"/>
      <c r="AC89" s="501"/>
    </row>
    <row r="90" spans="1:29">
      <c r="A90" s="369" t="s">
        <v>1357</v>
      </c>
      <c r="B90" s="370" t="s">
        <v>225</v>
      </c>
      <c r="C90" s="387" t="s">
        <v>246</v>
      </c>
      <c r="D90" s="387" t="s">
        <v>258</v>
      </c>
      <c r="E90" s="387" t="s">
        <v>269</v>
      </c>
      <c r="F90" s="387" t="s">
        <v>279</v>
      </c>
      <c r="G90" s="387" t="s">
        <v>287</v>
      </c>
      <c r="H90" s="371"/>
      <c r="I90" s="371"/>
      <c r="J90" s="371"/>
      <c r="K90" s="468"/>
      <c r="L90" s="469"/>
      <c r="M90" s="470"/>
      <c r="N90" s="452"/>
      <c r="O90" s="452"/>
      <c r="P90" s="471"/>
      <c r="Q90" s="442"/>
      <c r="R90" s="349"/>
      <c r="S90" s="349"/>
      <c r="T90" s="349"/>
      <c r="U90" s="349"/>
      <c r="V90" s="349"/>
      <c r="W90" s="349"/>
      <c r="X90" s="349"/>
      <c r="Y90" s="349"/>
      <c r="Z90" s="349"/>
      <c r="AA90" s="349"/>
      <c r="AB90" s="349"/>
      <c r="AC90" s="349"/>
    </row>
    <row r="91" ht="15.75" spans="1:29">
      <c r="A91" s="373"/>
      <c r="B91" s="378"/>
      <c r="C91" s="379">
        <v>100</v>
      </c>
      <c r="D91" s="379">
        <f>C91-$K17</f>
        <v>100</v>
      </c>
      <c r="E91" s="379">
        <f>D91-$K17</f>
        <v>100</v>
      </c>
      <c r="F91" s="379">
        <f>E91-$K17</f>
        <v>100</v>
      </c>
      <c r="G91" s="379">
        <f>F91-$K17</f>
        <v>100</v>
      </c>
      <c r="H91" s="379"/>
      <c r="I91" s="379"/>
      <c r="J91" s="379"/>
      <c r="K91" s="379"/>
      <c r="L91" s="379"/>
      <c r="M91" s="459"/>
      <c r="N91" s="455"/>
      <c r="O91" s="455"/>
      <c r="P91" s="453"/>
      <c r="Q91" s="442"/>
      <c r="R91" s="349"/>
      <c r="S91" s="349"/>
      <c r="T91" s="349"/>
      <c r="U91" s="349"/>
      <c r="V91" s="349"/>
      <c r="W91" s="349"/>
      <c r="X91" s="349"/>
      <c r="Y91" s="349"/>
      <c r="Z91" s="349"/>
      <c r="AA91" s="349"/>
      <c r="AB91" s="349"/>
      <c r="AC91" s="349"/>
    </row>
    <row r="92" ht="15.75" spans="1:29">
      <c r="A92" s="373"/>
      <c r="B92" s="376" t="s">
        <v>226</v>
      </c>
      <c r="C92" s="389" t="s">
        <v>246</v>
      </c>
      <c r="D92" s="389" t="s">
        <v>258</v>
      </c>
      <c r="E92" s="389" t="s">
        <v>269</v>
      </c>
      <c r="F92" s="389" t="s">
        <v>279</v>
      </c>
      <c r="G92" s="389" t="s">
        <v>287</v>
      </c>
      <c r="H92" s="377"/>
      <c r="I92" s="377"/>
      <c r="J92" s="377"/>
      <c r="K92" s="456"/>
      <c r="L92" s="457"/>
      <c r="M92" s="458"/>
      <c r="N92" s="452"/>
      <c r="O92" s="452"/>
      <c r="P92" s="453"/>
      <c r="Q92" s="442"/>
      <c r="R92" s="349"/>
      <c r="S92" s="349"/>
      <c r="T92" s="349"/>
      <c r="U92" s="349"/>
      <c r="V92" s="349"/>
      <c r="W92" s="349"/>
      <c r="X92" s="349"/>
      <c r="Y92" s="349"/>
      <c r="Z92" s="349"/>
      <c r="AA92" s="349"/>
      <c r="AB92" s="349"/>
      <c r="AC92" s="349"/>
    </row>
    <row r="93" ht="15.75" spans="1:29">
      <c r="A93" s="373"/>
      <c r="B93" s="378"/>
      <c r="C93" s="379">
        <v>100</v>
      </c>
      <c r="D93" s="379">
        <f>C93-$K19</f>
        <v>100</v>
      </c>
      <c r="E93" s="379">
        <f>D93-$K19</f>
        <v>100</v>
      </c>
      <c r="F93" s="379">
        <f>E93-$K19</f>
        <v>100</v>
      </c>
      <c r="G93" s="379">
        <f>F93-$K19</f>
        <v>100</v>
      </c>
      <c r="H93" s="379"/>
      <c r="I93" s="379"/>
      <c r="J93" s="379"/>
      <c r="K93" s="379"/>
      <c r="L93" s="379"/>
      <c r="M93" s="459"/>
      <c r="N93" s="455"/>
      <c r="O93" s="455"/>
      <c r="P93" s="453"/>
      <c r="Q93" s="442"/>
      <c r="R93" s="349"/>
      <c r="S93" s="349"/>
      <c r="T93" s="349"/>
      <c r="U93" s="349"/>
      <c r="V93" s="349"/>
      <c r="W93" s="349"/>
      <c r="X93" s="349"/>
      <c r="Y93" s="349"/>
      <c r="Z93" s="349"/>
      <c r="AA93" s="349"/>
      <c r="AB93" s="349"/>
      <c r="AC93" s="349"/>
    </row>
    <row r="94" ht="15.75" spans="1:29">
      <c r="A94" s="373"/>
      <c r="B94" s="376" t="s">
        <v>227</v>
      </c>
      <c r="C94" s="389" t="s">
        <v>246</v>
      </c>
      <c r="D94" s="389" t="s">
        <v>258</v>
      </c>
      <c r="E94" s="389" t="s">
        <v>269</v>
      </c>
      <c r="F94" s="389" t="s">
        <v>279</v>
      </c>
      <c r="G94" s="389" t="s">
        <v>287</v>
      </c>
      <c r="H94" s="377"/>
      <c r="I94" s="377"/>
      <c r="J94" s="377"/>
      <c r="K94" s="456"/>
      <c r="L94" s="457"/>
      <c r="M94" s="458"/>
      <c r="N94" s="452"/>
      <c r="O94" s="452"/>
      <c r="P94" s="453"/>
      <c r="Q94" s="442"/>
      <c r="R94" s="349"/>
      <c r="S94" s="349"/>
      <c r="T94" s="349"/>
      <c r="U94" s="349"/>
      <c r="V94" s="349"/>
      <c r="W94" s="349"/>
      <c r="X94" s="349"/>
      <c r="Y94" s="349"/>
      <c r="Z94" s="349"/>
      <c r="AA94" s="349"/>
      <c r="AB94" s="349"/>
      <c r="AC94" s="349"/>
    </row>
    <row r="95" ht="15.75" spans="1:29">
      <c r="A95" s="373"/>
      <c r="B95" s="378"/>
      <c r="C95" s="379">
        <v>100</v>
      </c>
      <c r="D95" s="379">
        <f>C95-$K21</f>
        <v>100</v>
      </c>
      <c r="E95" s="379">
        <f>D95-$K21</f>
        <v>100</v>
      </c>
      <c r="F95" s="379">
        <f>E95-$K21</f>
        <v>100</v>
      </c>
      <c r="G95" s="379">
        <f>F95-$K21</f>
        <v>100</v>
      </c>
      <c r="H95" s="379"/>
      <c r="I95" s="379"/>
      <c r="J95" s="379"/>
      <c r="K95" s="379"/>
      <c r="L95" s="379"/>
      <c r="M95" s="459"/>
      <c r="N95" s="455"/>
      <c r="O95" s="455"/>
      <c r="P95" s="453"/>
      <c r="Q95" s="442"/>
      <c r="R95" s="349"/>
      <c r="S95" s="349"/>
      <c r="T95" s="349"/>
      <c r="U95" s="349"/>
      <c r="V95" s="349"/>
      <c r="W95" s="349"/>
      <c r="X95" s="349"/>
      <c r="Y95" s="349"/>
      <c r="Z95" s="349"/>
      <c r="AA95" s="349"/>
      <c r="AB95" s="349"/>
      <c r="AC95" s="349"/>
    </row>
    <row r="96" ht="15.75" spans="1:29">
      <c r="A96" s="373"/>
      <c r="B96" s="376" t="s">
        <v>229</v>
      </c>
      <c r="C96" s="389" t="s">
        <v>246</v>
      </c>
      <c r="D96" s="389" t="s">
        <v>258</v>
      </c>
      <c r="E96" s="389" t="s">
        <v>269</v>
      </c>
      <c r="F96" s="389" t="s">
        <v>279</v>
      </c>
      <c r="G96" s="389" t="s">
        <v>287</v>
      </c>
      <c r="H96" s="377"/>
      <c r="I96" s="377"/>
      <c r="J96" s="377"/>
      <c r="K96" s="456"/>
      <c r="L96" s="457"/>
      <c r="M96" s="458"/>
      <c r="N96" s="452"/>
      <c r="O96" s="452"/>
      <c r="P96" s="453"/>
      <c r="Q96" s="442"/>
      <c r="R96" s="349"/>
      <c r="S96" s="349"/>
      <c r="T96" s="349"/>
      <c r="U96" s="349"/>
      <c r="V96" s="349"/>
      <c r="W96" s="349"/>
      <c r="X96" s="349"/>
      <c r="Y96" s="349"/>
      <c r="Z96" s="349"/>
      <c r="AA96" s="349"/>
      <c r="AB96" s="349"/>
      <c r="AC96" s="349"/>
    </row>
    <row r="97" ht="15.75" spans="1:29">
      <c r="A97" s="373"/>
      <c r="B97" s="378"/>
      <c r="C97" s="379">
        <v>100</v>
      </c>
      <c r="D97" s="379">
        <f>C97-$K23</f>
        <v>100</v>
      </c>
      <c r="E97" s="379">
        <f>D97-$K23</f>
        <v>100</v>
      </c>
      <c r="F97" s="379">
        <f>E97-$K23</f>
        <v>100</v>
      </c>
      <c r="G97" s="379">
        <f>F97-$K23</f>
        <v>100</v>
      </c>
      <c r="H97" s="379"/>
      <c r="I97" s="379"/>
      <c r="J97" s="379"/>
      <c r="K97" s="379"/>
      <c r="L97" s="379"/>
      <c r="M97" s="459"/>
      <c r="N97" s="455"/>
      <c r="O97" s="455"/>
      <c r="P97" s="453"/>
      <c r="Q97" s="442"/>
      <c r="R97" s="349"/>
      <c r="S97" s="349"/>
      <c r="T97" s="349"/>
      <c r="U97" s="349"/>
      <c r="V97" s="349"/>
      <c r="W97" s="349"/>
      <c r="X97" s="349"/>
      <c r="Y97" s="349"/>
      <c r="Z97" s="349"/>
      <c r="AA97" s="349"/>
      <c r="AB97" s="349"/>
      <c r="AC97" s="349"/>
    </row>
    <row r="98" s="196" customFormat="1" ht="15.75" spans="1:29">
      <c r="A98" s="516"/>
      <c r="B98" s="376" t="s">
        <v>230</v>
      </c>
      <c r="C98" s="389" t="s">
        <v>246</v>
      </c>
      <c r="D98" s="389" t="s">
        <v>258</v>
      </c>
      <c r="E98" s="389" t="s">
        <v>269</v>
      </c>
      <c r="F98" s="389" t="s">
        <v>279</v>
      </c>
      <c r="G98" s="389" t="s">
        <v>287</v>
      </c>
      <c r="H98" s="389"/>
      <c r="I98" s="389"/>
      <c r="J98" s="389"/>
      <c r="K98" s="389"/>
      <c r="L98" s="1962"/>
      <c r="M98" s="533"/>
      <c r="N98" s="447"/>
      <c r="O98" s="447"/>
      <c r="P98" s="453"/>
      <c r="Q98" s="442"/>
      <c r="R98" s="499"/>
      <c r="S98" s="499"/>
      <c r="T98" s="499"/>
      <c r="U98" s="499"/>
      <c r="V98" s="499"/>
      <c r="W98" s="499"/>
      <c r="X98" s="499"/>
      <c r="Y98" s="499"/>
      <c r="Z98" s="499"/>
      <c r="AA98" s="499"/>
      <c r="AB98" s="499"/>
      <c r="AC98" s="499"/>
    </row>
    <row r="99" s="196" customFormat="1" ht="15.75" spans="1:29">
      <c r="A99" s="516"/>
      <c r="B99" s="378"/>
      <c r="C99" s="518">
        <v>100</v>
      </c>
      <c r="D99" s="379">
        <f>C99-$K25</f>
        <v>100</v>
      </c>
      <c r="E99" s="379">
        <f>D99-$K25</f>
        <v>100</v>
      </c>
      <c r="F99" s="379">
        <f>E99-$K25</f>
        <v>100</v>
      </c>
      <c r="G99" s="379">
        <f>F99-$K25</f>
        <v>100</v>
      </c>
      <c r="H99" s="379"/>
      <c r="I99" s="379"/>
      <c r="J99" s="379"/>
      <c r="K99" s="379"/>
      <c r="L99" s="379"/>
      <c r="M99" s="459"/>
      <c r="N99" s="455"/>
      <c r="O99" s="455"/>
      <c r="P99" s="453"/>
      <c r="Q99" s="442"/>
      <c r="R99" s="499"/>
      <c r="S99" s="499"/>
      <c r="T99" s="499"/>
      <c r="U99" s="499"/>
      <c r="V99" s="499"/>
      <c r="W99" s="499"/>
      <c r="X99" s="499"/>
      <c r="Y99" s="499"/>
      <c r="Z99" s="499"/>
      <c r="AA99" s="499"/>
      <c r="AB99" s="499"/>
      <c r="AC99" s="499"/>
    </row>
    <row r="100" s="196" customFormat="1" ht="27.75" spans="1:29">
      <c r="A100" s="516"/>
      <c r="B100" s="376" t="s">
        <v>1311</v>
      </c>
      <c r="C100" s="387" t="s">
        <v>246</v>
      </c>
      <c r="D100" s="387" t="s">
        <v>258</v>
      </c>
      <c r="E100" s="387" t="s">
        <v>269</v>
      </c>
      <c r="F100" s="387" t="s">
        <v>279</v>
      </c>
      <c r="G100" s="387" t="s">
        <v>287</v>
      </c>
      <c r="H100" s="389"/>
      <c r="I100" s="389"/>
      <c r="J100" s="389"/>
      <c r="K100" s="389"/>
      <c r="L100" s="389"/>
      <c r="M100" s="533"/>
      <c r="N100" s="447"/>
      <c r="O100" s="447"/>
      <c r="P100" s="453"/>
      <c r="Q100" s="442"/>
      <c r="R100" s="499"/>
      <c r="S100" s="499"/>
      <c r="T100" s="499"/>
      <c r="U100" s="499"/>
      <c r="V100" s="499"/>
      <c r="W100" s="499"/>
      <c r="X100" s="499"/>
      <c r="Y100" s="499"/>
      <c r="Z100" s="499"/>
      <c r="AA100" s="499"/>
      <c r="AB100" s="499"/>
      <c r="AC100" s="499"/>
    </row>
    <row r="101" s="196" customFormat="1" ht="15.75" spans="1:29">
      <c r="A101" s="516"/>
      <c r="B101" s="378"/>
      <c r="C101" s="379">
        <v>100</v>
      </c>
      <c r="D101" s="379">
        <f>C101-$K27</f>
        <v>100</v>
      </c>
      <c r="E101" s="379">
        <f>D101-$K27</f>
        <v>100</v>
      </c>
      <c r="F101" s="379">
        <f>E101-$K27</f>
        <v>100</v>
      </c>
      <c r="G101" s="379">
        <f>F101-$K27</f>
        <v>100</v>
      </c>
      <c r="H101" s="379"/>
      <c r="I101" s="379"/>
      <c r="J101" s="379"/>
      <c r="K101" s="379"/>
      <c r="L101" s="379"/>
      <c r="M101" s="459"/>
      <c r="N101" s="455"/>
      <c r="O101" s="455"/>
      <c r="P101" s="453"/>
      <c r="Q101" s="442"/>
      <c r="R101" s="499"/>
      <c r="S101" s="499"/>
      <c r="T101" s="499"/>
      <c r="U101" s="499"/>
      <c r="V101" s="499"/>
      <c r="W101" s="499"/>
      <c r="X101" s="499"/>
      <c r="Y101" s="499"/>
      <c r="Z101" s="499"/>
      <c r="AA101" s="499"/>
      <c r="AB101" s="499"/>
      <c r="AC101" s="499"/>
    </row>
    <row r="102" s="198" customFormat="1" ht="15.75" spans="1:29">
      <c r="A102" s="383"/>
      <c r="B102" s="388" t="s">
        <v>231</v>
      </c>
      <c r="C102" s="387" t="s">
        <v>246</v>
      </c>
      <c r="D102" s="387" t="s">
        <v>258</v>
      </c>
      <c r="E102" s="387" t="s">
        <v>269</v>
      </c>
      <c r="F102" s="387" t="s">
        <v>279</v>
      </c>
      <c r="G102" s="387" t="s">
        <v>287</v>
      </c>
      <c r="H102" s="662"/>
      <c r="I102" s="662"/>
      <c r="J102" s="662"/>
      <c r="K102" s="662"/>
      <c r="L102" s="663"/>
      <c r="M102" s="664"/>
      <c r="N102" s="465"/>
      <c r="O102" s="465"/>
      <c r="P102" s="466"/>
      <c r="Q102" s="500"/>
      <c r="R102" s="501"/>
      <c r="S102" s="501"/>
      <c r="T102" s="501"/>
      <c r="U102" s="501"/>
      <c r="V102" s="501"/>
      <c r="W102" s="501"/>
      <c r="X102" s="501"/>
      <c r="Y102" s="501"/>
      <c r="Z102" s="501"/>
      <c r="AA102" s="501"/>
      <c r="AB102" s="501"/>
      <c r="AC102" s="501"/>
    </row>
    <row r="103" s="198" customFormat="1" ht="15.75" spans="1:29">
      <c r="A103" s="383"/>
      <c r="B103" s="378"/>
      <c r="C103" s="379">
        <v>100</v>
      </c>
      <c r="D103" s="379">
        <f>C103-$K29</f>
        <v>100</v>
      </c>
      <c r="E103" s="379">
        <f>D103-$K29</f>
        <v>100</v>
      </c>
      <c r="F103" s="379">
        <f>E103-$K29</f>
        <v>100</v>
      </c>
      <c r="G103" s="379">
        <f>F103-$K29</f>
        <v>100</v>
      </c>
      <c r="H103" s="668"/>
      <c r="I103" s="668"/>
      <c r="J103" s="668"/>
      <c r="K103" s="668"/>
      <c r="L103" s="668"/>
      <c r="M103" s="669"/>
      <c r="N103" s="465"/>
      <c r="O103" s="465"/>
      <c r="P103" s="466"/>
      <c r="Q103" s="500"/>
      <c r="R103" s="501"/>
      <c r="S103" s="501"/>
      <c r="T103" s="501"/>
      <c r="U103" s="501"/>
      <c r="V103" s="501"/>
      <c r="W103" s="501"/>
      <c r="X103" s="501"/>
      <c r="Y103" s="501"/>
      <c r="Z103" s="501"/>
      <c r="AA103" s="501"/>
      <c r="AB103" s="501"/>
      <c r="AC103" s="501"/>
    </row>
    <row r="104" s="198" customFormat="1" ht="15.75" spans="1:29">
      <c r="A104" s="383"/>
      <c r="B104" s="512" t="s">
        <v>232</v>
      </c>
      <c r="C104" s="513" t="s">
        <v>247</v>
      </c>
      <c r="D104" s="513" t="s">
        <v>259</v>
      </c>
      <c r="E104" s="513" t="s">
        <v>270</v>
      </c>
      <c r="F104" s="513" t="s">
        <v>280</v>
      </c>
      <c r="G104" s="513" t="s">
        <v>288</v>
      </c>
      <c r="H104" s="662"/>
      <c r="I104" s="662"/>
      <c r="J104" s="662"/>
      <c r="K104" s="662"/>
      <c r="L104" s="662"/>
      <c r="M104" s="664"/>
      <c r="N104" s="465"/>
      <c r="O104" s="465"/>
      <c r="P104" s="466"/>
      <c r="Q104" s="500"/>
      <c r="R104" s="501"/>
      <c r="S104" s="501"/>
      <c r="T104" s="501"/>
      <c r="U104" s="501"/>
      <c r="V104" s="501"/>
      <c r="W104" s="501"/>
      <c r="X104" s="501"/>
      <c r="Y104" s="501"/>
      <c r="Z104" s="501"/>
      <c r="AA104" s="501"/>
      <c r="AB104" s="501"/>
      <c r="AC104" s="501"/>
    </row>
    <row r="105" s="198" customFormat="1" ht="15.75" spans="1:29">
      <c r="A105" s="383"/>
      <c r="B105" s="514"/>
      <c r="C105" s="379">
        <v>100</v>
      </c>
      <c r="D105" s="379">
        <f>C105-$K31</f>
        <v>100</v>
      </c>
      <c r="E105" s="379">
        <f>D105-$K31</f>
        <v>100</v>
      </c>
      <c r="F105" s="379">
        <f>E105-$K31</f>
        <v>100</v>
      </c>
      <c r="G105" s="379">
        <f>F105-$K31</f>
        <v>100</v>
      </c>
      <c r="H105" s="593"/>
      <c r="I105" s="593"/>
      <c r="J105" s="593"/>
      <c r="K105" s="593"/>
      <c r="L105" s="593"/>
      <c r="M105" s="1963"/>
      <c r="N105" s="465"/>
      <c r="O105" s="465"/>
      <c r="P105" s="466"/>
      <c r="Q105" s="500"/>
      <c r="R105" s="501"/>
      <c r="S105" s="501"/>
      <c r="T105" s="501"/>
      <c r="U105" s="501"/>
      <c r="V105" s="501"/>
      <c r="W105" s="501"/>
      <c r="X105" s="501"/>
      <c r="Y105" s="501"/>
      <c r="Z105" s="501"/>
      <c r="AA105" s="501"/>
      <c r="AB105" s="501"/>
      <c r="AC105" s="501"/>
    </row>
    <row r="106" ht="15.75" spans="1:29">
      <c r="A106" s="373"/>
      <c r="B106" s="376" t="str">
        <f>B33</f>
        <v>临街状况</v>
      </c>
      <c r="C106" s="377" t="s">
        <v>1358</v>
      </c>
      <c r="D106" s="377" t="s">
        <v>1359</v>
      </c>
      <c r="E106" s="377" t="s">
        <v>1360</v>
      </c>
      <c r="F106" s="377" t="s">
        <v>1361</v>
      </c>
      <c r="G106" s="377"/>
      <c r="H106" s="377"/>
      <c r="I106" s="377"/>
      <c r="J106" s="377"/>
      <c r="K106" s="456"/>
      <c r="L106" s="457"/>
      <c r="M106" s="458"/>
      <c r="N106" s="452"/>
      <c r="O106" s="452"/>
      <c r="P106" s="453"/>
      <c r="Q106" s="442"/>
      <c r="R106" s="349"/>
      <c r="S106" s="349"/>
      <c r="T106" s="349"/>
      <c r="U106" s="349"/>
      <c r="V106" s="349"/>
      <c r="W106" s="349"/>
      <c r="X106" s="349"/>
      <c r="Y106" s="349"/>
      <c r="Z106" s="349"/>
      <c r="AA106" s="349"/>
      <c r="AB106" s="349"/>
      <c r="AC106" s="349"/>
    </row>
    <row r="107" ht="15.75" spans="1:29">
      <c r="A107" s="373"/>
      <c r="B107" s="378"/>
      <c r="C107" s="379">
        <v>100</v>
      </c>
      <c r="D107" s="379">
        <f>C107-$K33</f>
        <v>100</v>
      </c>
      <c r="E107" s="379">
        <f t="shared" ref="E107:M107" si="22">D107-$K33</f>
        <v>100</v>
      </c>
      <c r="F107" s="379">
        <f t="shared" si="22"/>
        <v>100</v>
      </c>
      <c r="G107" s="379">
        <f t="shared" si="22"/>
        <v>100</v>
      </c>
      <c r="H107" s="379">
        <f t="shared" si="22"/>
        <v>100</v>
      </c>
      <c r="I107" s="379">
        <f t="shared" si="22"/>
        <v>100</v>
      </c>
      <c r="J107" s="379">
        <f t="shared" si="22"/>
        <v>100</v>
      </c>
      <c r="K107" s="379">
        <f t="shared" si="22"/>
        <v>100</v>
      </c>
      <c r="L107" s="379">
        <f t="shared" si="22"/>
        <v>100</v>
      </c>
      <c r="M107" s="379">
        <f t="shared" si="22"/>
        <v>100</v>
      </c>
      <c r="N107" s="455"/>
      <c r="O107" s="455"/>
      <c r="P107" s="453"/>
      <c r="Q107" s="442"/>
      <c r="R107" s="349"/>
      <c r="S107" s="349"/>
      <c r="T107" s="349"/>
      <c r="U107" s="349"/>
      <c r="V107" s="349"/>
      <c r="W107" s="349"/>
      <c r="X107" s="349"/>
      <c r="Y107" s="349"/>
      <c r="Z107" s="349"/>
      <c r="AA107" s="349"/>
      <c r="AB107" s="349"/>
      <c r="AC107" s="349"/>
    </row>
    <row r="108" ht="27.75" spans="1:29">
      <c r="A108" s="373"/>
      <c r="B108" s="376" t="s">
        <v>1312</v>
      </c>
      <c r="C108" s="384"/>
      <c r="D108" s="384"/>
      <c r="E108" s="384"/>
      <c r="F108" s="384"/>
      <c r="G108" s="384"/>
      <c r="H108" s="515"/>
      <c r="I108" s="515"/>
      <c r="J108" s="515"/>
      <c r="K108" s="525"/>
      <c r="L108" s="526"/>
      <c r="M108" s="527"/>
      <c r="N108" s="452"/>
      <c r="O108" s="452"/>
      <c r="P108" s="453"/>
      <c r="Q108" s="442"/>
      <c r="R108" s="349"/>
      <c r="S108" s="349"/>
      <c r="T108" s="349"/>
      <c r="U108" s="349"/>
      <c r="V108" s="349"/>
      <c r="W108" s="349"/>
      <c r="X108" s="349"/>
      <c r="Y108" s="349"/>
      <c r="Z108" s="349"/>
      <c r="AA108" s="349"/>
      <c r="AB108" s="349"/>
      <c r="AC108" s="349"/>
    </row>
    <row r="109" ht="15.75" spans="1:29">
      <c r="A109" s="373"/>
      <c r="B109" s="378"/>
      <c r="C109" s="379">
        <v>100</v>
      </c>
      <c r="D109" s="379">
        <f>C109-$K34</f>
        <v>100</v>
      </c>
      <c r="E109" s="379">
        <f t="shared" ref="E109:M109" si="23">D109-$K34</f>
        <v>100</v>
      </c>
      <c r="F109" s="379">
        <f t="shared" si="23"/>
        <v>100</v>
      </c>
      <c r="G109" s="379">
        <f t="shared" si="23"/>
        <v>100</v>
      </c>
      <c r="H109" s="379">
        <f t="shared" si="23"/>
        <v>100</v>
      </c>
      <c r="I109" s="379">
        <f t="shared" si="23"/>
        <v>100</v>
      </c>
      <c r="J109" s="379">
        <f t="shared" si="23"/>
        <v>100</v>
      </c>
      <c r="K109" s="379">
        <f t="shared" si="23"/>
        <v>100</v>
      </c>
      <c r="L109" s="379">
        <f t="shared" si="23"/>
        <v>100</v>
      </c>
      <c r="M109" s="379">
        <f t="shared" si="23"/>
        <v>100</v>
      </c>
      <c r="N109" s="455"/>
      <c r="O109" s="455"/>
      <c r="P109" s="453"/>
      <c r="Q109" s="442"/>
      <c r="R109" s="349"/>
      <c r="S109" s="349"/>
      <c r="T109" s="349"/>
      <c r="U109" s="349"/>
      <c r="V109" s="349"/>
      <c r="W109" s="349"/>
      <c r="X109" s="349"/>
      <c r="Y109" s="349"/>
      <c r="Z109" s="349"/>
      <c r="AA109" s="349"/>
      <c r="AB109" s="349"/>
      <c r="AC109" s="349"/>
    </row>
    <row r="110" ht="15.75" spans="1:29">
      <c r="A110" s="373"/>
      <c r="B110" s="376" t="s">
        <v>1313</v>
      </c>
      <c r="C110" s="515"/>
      <c r="D110" s="515"/>
      <c r="E110" s="515"/>
      <c r="F110" s="515"/>
      <c r="G110" s="515"/>
      <c r="H110" s="515"/>
      <c r="I110" s="515"/>
      <c r="J110" s="515"/>
      <c r="K110" s="525"/>
      <c r="L110" s="526"/>
      <c r="M110" s="527"/>
      <c r="N110" s="452"/>
      <c r="O110" s="452"/>
      <c r="P110" s="453"/>
      <c r="Q110" s="442"/>
      <c r="R110" s="349"/>
      <c r="S110" s="349"/>
      <c r="T110" s="349"/>
      <c r="U110" s="349"/>
      <c r="V110" s="349"/>
      <c r="W110" s="349"/>
      <c r="X110" s="349"/>
      <c r="Y110" s="349"/>
      <c r="Z110" s="349"/>
      <c r="AA110" s="349"/>
      <c r="AB110" s="349"/>
      <c r="AC110" s="349"/>
    </row>
    <row r="111" ht="15.75" spans="1:29">
      <c r="A111" s="373"/>
      <c r="B111" s="378"/>
      <c r="C111" s="379">
        <v>100</v>
      </c>
      <c r="D111" s="379">
        <f>C111-$K36</f>
        <v>100</v>
      </c>
      <c r="E111" s="379">
        <f t="shared" ref="E111:M111" si="24">D111-$K36</f>
        <v>100</v>
      </c>
      <c r="F111" s="379">
        <f t="shared" si="24"/>
        <v>100</v>
      </c>
      <c r="G111" s="379">
        <f t="shared" si="24"/>
        <v>100</v>
      </c>
      <c r="H111" s="379">
        <f t="shared" si="24"/>
        <v>100</v>
      </c>
      <c r="I111" s="379">
        <f t="shared" si="24"/>
        <v>100</v>
      </c>
      <c r="J111" s="379">
        <f t="shared" si="24"/>
        <v>100</v>
      </c>
      <c r="K111" s="379">
        <f t="shared" si="24"/>
        <v>100</v>
      </c>
      <c r="L111" s="379">
        <f t="shared" si="24"/>
        <v>100</v>
      </c>
      <c r="M111" s="379">
        <f t="shared" si="24"/>
        <v>100</v>
      </c>
      <c r="N111" s="455"/>
      <c r="O111" s="455"/>
      <c r="P111" s="453"/>
      <c r="Q111" s="442"/>
      <c r="R111" s="349"/>
      <c r="S111" s="349"/>
      <c r="T111" s="349"/>
      <c r="U111" s="349"/>
      <c r="V111" s="349"/>
      <c r="W111" s="349"/>
      <c r="X111" s="349"/>
      <c r="Y111" s="349"/>
      <c r="Z111" s="349"/>
      <c r="AA111" s="349"/>
      <c r="AB111" s="349"/>
      <c r="AC111" s="349"/>
    </row>
    <row r="112" ht="15.75" spans="1:29">
      <c r="A112" s="373"/>
      <c r="B112" s="514">
        <f>B37</f>
        <v>111</v>
      </c>
      <c r="C112" s="384"/>
      <c r="D112" s="384"/>
      <c r="E112" s="384"/>
      <c r="F112" s="384"/>
      <c r="G112" s="600"/>
      <c r="H112" s="600"/>
      <c r="I112" s="600"/>
      <c r="J112" s="600"/>
      <c r="K112" s="608"/>
      <c r="L112" s="609"/>
      <c r="M112" s="610"/>
      <c r="N112" s="452"/>
      <c r="O112" s="452"/>
      <c r="P112" s="453"/>
      <c r="Q112" s="442"/>
      <c r="R112" s="349"/>
      <c r="S112" s="349"/>
      <c r="T112" s="349"/>
      <c r="U112" s="349"/>
      <c r="V112" s="349"/>
      <c r="W112" s="349"/>
      <c r="X112" s="349"/>
      <c r="Y112" s="349"/>
      <c r="Z112" s="349"/>
      <c r="AA112" s="349"/>
      <c r="AB112" s="349"/>
      <c r="AC112" s="349"/>
    </row>
    <row r="113" ht="15.75" spans="1:29">
      <c r="A113" s="373"/>
      <c r="B113" s="597"/>
      <c r="C113" s="382"/>
      <c r="D113" s="382"/>
      <c r="E113" s="382"/>
      <c r="F113" s="382"/>
      <c r="G113" s="602"/>
      <c r="H113" s="602"/>
      <c r="I113" s="602"/>
      <c r="J113" s="602"/>
      <c r="K113" s="602"/>
      <c r="L113" s="602"/>
      <c r="M113" s="611"/>
      <c r="N113" s="455"/>
      <c r="O113" s="455"/>
      <c r="P113" s="453"/>
      <c r="Q113" s="442"/>
      <c r="R113" s="349"/>
      <c r="S113" s="349"/>
      <c r="T113" s="349"/>
      <c r="U113" s="349"/>
      <c r="V113" s="349"/>
      <c r="W113" s="349"/>
      <c r="X113" s="349"/>
      <c r="Y113" s="349"/>
      <c r="Z113" s="349"/>
      <c r="AA113" s="349"/>
      <c r="AB113" s="349"/>
      <c r="AC113" s="349"/>
    </row>
    <row r="114" ht="15" spans="1:29">
      <c r="A114" s="1870"/>
      <c r="B114" s="376">
        <f>B38</f>
        <v>111</v>
      </c>
      <c r="C114" s="368"/>
      <c r="D114" s="368"/>
      <c r="E114" s="368"/>
      <c r="F114" s="368"/>
      <c r="G114" s="515"/>
      <c r="H114" s="515"/>
      <c r="I114" s="515"/>
      <c r="J114" s="515"/>
      <c r="K114" s="525"/>
      <c r="L114" s="526"/>
      <c r="M114" s="527"/>
      <c r="N114" s="452"/>
      <c r="O114" s="452"/>
      <c r="P114" s="453"/>
      <c r="Q114" s="442"/>
      <c r="R114" s="349"/>
      <c r="S114" s="349"/>
      <c r="T114" s="349"/>
      <c r="U114" s="349"/>
      <c r="V114" s="349"/>
      <c r="W114" s="349"/>
      <c r="X114" s="349"/>
      <c r="Y114" s="349"/>
      <c r="Z114" s="349"/>
      <c r="AA114" s="349"/>
      <c r="AB114" s="349"/>
      <c r="AC114" s="349"/>
    </row>
    <row r="115" ht="15.75" spans="1:29">
      <c r="A115" s="373"/>
      <c r="B115" s="378"/>
      <c r="C115" s="598"/>
      <c r="D115" s="598"/>
      <c r="E115" s="598"/>
      <c r="F115" s="598"/>
      <c r="G115" s="375"/>
      <c r="H115" s="375"/>
      <c r="I115" s="375"/>
      <c r="J115" s="375"/>
      <c r="K115" s="375"/>
      <c r="L115" s="375"/>
      <c r="M115" s="454"/>
      <c r="N115" s="455"/>
      <c r="O115" s="455"/>
      <c r="P115" s="453"/>
      <c r="Q115" s="442"/>
      <c r="R115" s="349"/>
      <c r="S115" s="349"/>
      <c r="T115" s="349"/>
      <c r="U115" s="349"/>
      <c r="V115" s="349"/>
      <c r="W115" s="349"/>
      <c r="X115" s="349"/>
      <c r="Y115" s="349"/>
      <c r="Z115" s="349"/>
      <c r="AA115" s="349"/>
      <c r="AB115" s="349"/>
      <c r="AC115" s="349"/>
    </row>
    <row r="116" s="198" customFormat="1" ht="15.75" spans="1:29">
      <c r="A116" s="521"/>
      <c r="B116" s="603">
        <f>B39</f>
        <v>111</v>
      </c>
      <c r="C116" s="520"/>
      <c r="D116" s="520"/>
      <c r="E116" s="520"/>
      <c r="F116" s="520"/>
      <c r="G116" s="520"/>
      <c r="H116" s="520"/>
      <c r="I116" s="520"/>
      <c r="J116" s="534"/>
      <c r="K116" s="534"/>
      <c r="L116" s="535"/>
      <c r="M116" s="536"/>
      <c r="N116" s="465"/>
      <c r="O116" s="465"/>
      <c r="P116" s="466"/>
      <c r="Q116" s="500"/>
      <c r="R116" s="501"/>
      <c r="S116" s="501"/>
      <c r="T116" s="501"/>
      <c r="U116" s="501"/>
      <c r="V116" s="501"/>
      <c r="W116" s="501"/>
      <c r="X116" s="501"/>
      <c r="Y116" s="501"/>
      <c r="Z116" s="501"/>
      <c r="AA116" s="501"/>
      <c r="AB116" s="501"/>
      <c r="AC116" s="501"/>
    </row>
    <row r="117" s="198" customFormat="1" ht="15.75" spans="1:29">
      <c r="A117" s="383"/>
      <c r="B117" s="514"/>
      <c r="C117" s="361"/>
      <c r="D117" s="1952"/>
      <c r="E117" s="1952"/>
      <c r="F117" s="1952"/>
      <c r="G117" s="1952"/>
      <c r="H117" s="1952"/>
      <c r="I117" s="1952"/>
      <c r="J117" s="1952"/>
      <c r="K117" s="1952"/>
      <c r="L117" s="1952"/>
      <c r="M117" s="1964"/>
      <c r="N117" s="455"/>
      <c r="O117" s="455"/>
      <c r="P117" s="466"/>
      <c r="Q117" s="500"/>
      <c r="R117" s="501"/>
      <c r="S117" s="501"/>
      <c r="T117" s="501"/>
      <c r="U117" s="501"/>
      <c r="V117" s="501"/>
      <c r="W117" s="501"/>
      <c r="X117" s="501"/>
      <c r="Y117" s="501"/>
      <c r="Z117" s="501"/>
      <c r="AA117" s="501"/>
      <c r="AB117" s="501"/>
      <c r="AC117" s="501"/>
    </row>
    <row r="118" spans="1:29">
      <c r="A118" s="369" t="s">
        <v>1362</v>
      </c>
      <c r="B118" s="370" t="s">
        <v>1316</v>
      </c>
      <c r="C118" s="371" t="str">
        <f t="shared" ref="C118:L118" si="25">C119&amp;"(含)"&amp;"-"&amp;D119</f>
        <v>(含)-</v>
      </c>
      <c r="D118" s="371" t="str">
        <f t="shared" si="25"/>
        <v>(含)-</v>
      </c>
      <c r="E118" s="371" t="str">
        <f t="shared" si="25"/>
        <v>(含)-</v>
      </c>
      <c r="F118" s="371" t="str">
        <f t="shared" si="25"/>
        <v>(含)-</v>
      </c>
      <c r="G118" s="371" t="str">
        <f t="shared" si="25"/>
        <v>(含)-</v>
      </c>
      <c r="H118" s="371" t="str">
        <f t="shared" si="25"/>
        <v>(含)-</v>
      </c>
      <c r="I118" s="371" t="str">
        <f t="shared" si="25"/>
        <v>(含)-</v>
      </c>
      <c r="J118" s="1965" t="str">
        <f t="shared" si="25"/>
        <v>(含)-</v>
      </c>
      <c r="K118" s="1965" t="str">
        <f t="shared" si="25"/>
        <v>(含)-</v>
      </c>
      <c r="L118" s="1966" t="str">
        <f t="shared" si="25"/>
        <v>(含)-</v>
      </c>
      <c r="M118" s="1967" t="str">
        <f>M119&amp;"(含)"&amp;"-"&amp;P119</f>
        <v>(含)-</v>
      </c>
      <c r="N118" s="452"/>
      <c r="O118" s="452"/>
      <c r="P118" s="453"/>
      <c r="Q118" s="442"/>
      <c r="R118" s="349"/>
      <c r="S118" s="349"/>
      <c r="T118" s="349"/>
      <c r="U118" s="349"/>
      <c r="V118" s="349"/>
      <c r="W118" s="349"/>
      <c r="X118" s="349"/>
      <c r="Y118" s="349"/>
      <c r="Z118" s="349"/>
      <c r="AA118" s="349"/>
      <c r="AB118" s="349"/>
      <c r="AC118" s="349"/>
    </row>
    <row r="119" ht="15" spans="1:29">
      <c r="A119" s="373"/>
      <c r="B119" s="514"/>
      <c r="C119" s="520"/>
      <c r="D119" s="520"/>
      <c r="E119" s="520"/>
      <c r="F119" s="520"/>
      <c r="G119" s="520"/>
      <c r="H119" s="520"/>
      <c r="I119" s="520"/>
      <c r="J119" s="2002"/>
      <c r="K119" s="2002"/>
      <c r="L119" s="2003"/>
      <c r="M119" s="2004"/>
      <c r="N119" s="452"/>
      <c r="O119" s="452"/>
      <c r="P119" s="453"/>
      <c r="Q119" s="442"/>
      <c r="R119" s="349"/>
      <c r="S119" s="349"/>
      <c r="T119" s="349"/>
      <c r="U119" s="349"/>
      <c r="V119" s="349"/>
      <c r="W119" s="349"/>
      <c r="X119" s="349"/>
      <c r="Y119" s="349"/>
      <c r="Z119" s="349"/>
      <c r="AA119" s="349"/>
      <c r="AB119" s="349"/>
      <c r="AC119" s="349"/>
    </row>
    <row r="120" ht="15.75" spans="1:29">
      <c r="A120" s="373"/>
      <c r="B120" s="378"/>
      <c r="C120" s="598"/>
      <c r="D120" s="602"/>
      <c r="E120" s="602"/>
      <c r="F120" s="602"/>
      <c r="G120" s="602"/>
      <c r="H120" s="602"/>
      <c r="I120" s="602"/>
      <c r="J120" s="602"/>
      <c r="K120" s="602"/>
      <c r="L120" s="602"/>
      <c r="M120" s="611"/>
      <c r="N120" s="455"/>
      <c r="O120" s="455"/>
      <c r="P120" s="453"/>
      <c r="Q120" s="442"/>
      <c r="R120" s="349"/>
      <c r="S120" s="349"/>
      <c r="T120" s="349"/>
      <c r="U120" s="349"/>
      <c r="V120" s="349"/>
      <c r="W120" s="349"/>
      <c r="X120" s="349"/>
      <c r="Y120" s="349"/>
      <c r="Z120" s="349"/>
      <c r="AA120" s="349"/>
      <c r="AB120" s="349"/>
      <c r="AC120" s="349"/>
    </row>
    <row r="121" ht="15.75" spans="1:29">
      <c r="A121" s="519"/>
      <c r="B121" s="376" t="s">
        <v>1317</v>
      </c>
      <c r="C121" s="515"/>
      <c r="D121" s="515"/>
      <c r="E121" s="515"/>
      <c r="F121" s="515"/>
      <c r="G121" s="515"/>
      <c r="H121" s="515"/>
      <c r="I121" s="515"/>
      <c r="J121" s="515"/>
      <c r="K121" s="525"/>
      <c r="L121" s="526"/>
      <c r="M121" s="527"/>
      <c r="N121" s="452"/>
      <c r="O121" s="452"/>
      <c r="P121" s="453"/>
      <c r="Q121" s="442"/>
      <c r="R121" s="349"/>
      <c r="S121" s="349"/>
      <c r="T121" s="349"/>
      <c r="U121" s="349"/>
      <c r="V121" s="349"/>
      <c r="W121" s="349"/>
      <c r="X121" s="349"/>
      <c r="Y121" s="349"/>
      <c r="Z121" s="349"/>
      <c r="AA121" s="349"/>
      <c r="AB121" s="349"/>
      <c r="AC121" s="349"/>
    </row>
    <row r="122" ht="15.75" spans="1:29">
      <c r="A122" s="373"/>
      <c r="B122" s="378"/>
      <c r="C122" s="379">
        <v>100</v>
      </c>
      <c r="D122" s="379">
        <f t="shared" ref="D122:M122" si="26">C122-$K41</f>
        <v>100</v>
      </c>
      <c r="E122" s="379">
        <f t="shared" si="26"/>
        <v>100</v>
      </c>
      <c r="F122" s="379">
        <f t="shared" si="26"/>
        <v>100</v>
      </c>
      <c r="G122" s="379">
        <f t="shared" si="26"/>
        <v>100</v>
      </c>
      <c r="H122" s="379">
        <f t="shared" si="26"/>
        <v>100</v>
      </c>
      <c r="I122" s="379">
        <f t="shared" si="26"/>
        <v>100</v>
      </c>
      <c r="J122" s="379">
        <f t="shared" si="26"/>
        <v>100</v>
      </c>
      <c r="K122" s="379">
        <f t="shared" si="26"/>
        <v>100</v>
      </c>
      <c r="L122" s="379">
        <f t="shared" si="26"/>
        <v>100</v>
      </c>
      <c r="M122" s="459">
        <f t="shared" si="26"/>
        <v>100</v>
      </c>
      <c r="N122" s="455"/>
      <c r="O122" s="455"/>
      <c r="P122" s="453"/>
      <c r="Q122" s="442"/>
      <c r="R122" s="349"/>
      <c r="S122" s="349"/>
      <c r="T122" s="349"/>
      <c r="U122" s="349"/>
      <c r="V122" s="349"/>
      <c r="W122" s="349"/>
      <c r="X122" s="349"/>
      <c r="Y122" s="349"/>
      <c r="Z122" s="349"/>
      <c r="AA122" s="349"/>
      <c r="AB122" s="349"/>
      <c r="AC122" s="349"/>
    </row>
    <row r="123" ht="15.75" spans="1:29">
      <c r="A123" s="519"/>
      <c r="B123" s="376" t="s">
        <v>1318</v>
      </c>
      <c r="C123" s="384"/>
      <c r="D123" s="384"/>
      <c r="E123" s="384"/>
      <c r="F123" s="515"/>
      <c r="G123" s="515"/>
      <c r="H123" s="515"/>
      <c r="I123" s="515"/>
      <c r="J123" s="515"/>
      <c r="K123" s="525"/>
      <c r="L123" s="526"/>
      <c r="M123" s="527"/>
      <c r="N123" s="452"/>
      <c r="O123" s="452"/>
      <c r="P123" s="453"/>
      <c r="Q123" s="442"/>
      <c r="R123" s="349"/>
      <c r="S123" s="349"/>
      <c r="T123" s="349"/>
      <c r="U123" s="349"/>
      <c r="V123" s="349"/>
      <c r="W123" s="349"/>
      <c r="X123" s="349"/>
      <c r="Y123" s="349"/>
      <c r="Z123" s="349"/>
      <c r="AA123" s="349"/>
      <c r="AB123" s="349"/>
      <c r="AC123" s="349"/>
    </row>
    <row r="124" ht="15.75" spans="1:29">
      <c r="A124" s="373"/>
      <c r="B124" s="378"/>
      <c r="C124" s="379">
        <v>100</v>
      </c>
      <c r="D124" s="379">
        <f t="shared" ref="D124:M124" si="27">C124-$K42</f>
        <v>100</v>
      </c>
      <c r="E124" s="379">
        <f t="shared" si="27"/>
        <v>100</v>
      </c>
      <c r="F124" s="379">
        <f t="shared" si="27"/>
        <v>100</v>
      </c>
      <c r="G124" s="379">
        <f t="shared" si="27"/>
        <v>100</v>
      </c>
      <c r="H124" s="379">
        <f t="shared" si="27"/>
        <v>100</v>
      </c>
      <c r="I124" s="379">
        <f t="shared" si="27"/>
        <v>100</v>
      </c>
      <c r="J124" s="379">
        <f t="shared" si="27"/>
        <v>100</v>
      </c>
      <c r="K124" s="379">
        <f t="shared" si="27"/>
        <v>100</v>
      </c>
      <c r="L124" s="379">
        <f t="shared" si="27"/>
        <v>100</v>
      </c>
      <c r="M124" s="459">
        <f t="shared" si="27"/>
        <v>100</v>
      </c>
      <c r="N124" s="455"/>
      <c r="O124" s="455"/>
      <c r="P124" s="453"/>
      <c r="Q124" s="442"/>
      <c r="R124" s="349"/>
      <c r="S124" s="349"/>
      <c r="T124" s="349"/>
      <c r="U124" s="349"/>
      <c r="V124" s="349"/>
      <c r="W124" s="349"/>
      <c r="X124" s="349"/>
      <c r="Y124" s="349"/>
      <c r="Z124" s="349"/>
      <c r="AA124" s="349"/>
      <c r="AB124" s="349"/>
      <c r="AC124" s="349"/>
    </row>
    <row r="125" s="198" customFormat="1" ht="15.75" spans="1:29">
      <c r="A125" s="521"/>
      <c r="B125" s="388" t="s">
        <v>1319</v>
      </c>
      <c r="C125" s="1953"/>
      <c r="D125" s="1953"/>
      <c r="E125" s="1953"/>
      <c r="F125" s="1953"/>
      <c r="G125" s="1953"/>
      <c r="H125" s="515"/>
      <c r="I125" s="515"/>
      <c r="J125" s="515"/>
      <c r="K125" s="525"/>
      <c r="L125" s="526"/>
      <c r="M125" s="527"/>
      <c r="N125" s="465"/>
      <c r="O125" s="465"/>
      <c r="P125" s="466"/>
      <c r="Q125" s="500"/>
      <c r="R125" s="501"/>
      <c r="S125" s="501"/>
      <c r="T125" s="501"/>
      <c r="U125" s="501"/>
      <c r="V125" s="501"/>
      <c r="W125" s="501"/>
      <c r="X125" s="501"/>
      <c r="Y125" s="501"/>
      <c r="Z125" s="501"/>
      <c r="AA125" s="501"/>
      <c r="AB125" s="501"/>
      <c r="AC125" s="501"/>
    </row>
    <row r="126" s="198" customFormat="1" ht="15.75" spans="1:29">
      <c r="A126" s="383"/>
      <c r="B126" s="378"/>
      <c r="C126" s="379">
        <v>100</v>
      </c>
      <c r="D126" s="379">
        <f>C126-$K43</f>
        <v>100</v>
      </c>
      <c r="E126" s="379">
        <f t="shared" ref="E126:M126" si="28">D126-$K43</f>
        <v>100</v>
      </c>
      <c r="F126" s="379">
        <f t="shared" si="28"/>
        <v>100</v>
      </c>
      <c r="G126" s="379">
        <f t="shared" si="28"/>
        <v>100</v>
      </c>
      <c r="H126" s="379">
        <f t="shared" si="28"/>
        <v>100</v>
      </c>
      <c r="I126" s="379">
        <f t="shared" si="28"/>
        <v>100</v>
      </c>
      <c r="J126" s="379">
        <f t="shared" si="28"/>
        <v>100</v>
      </c>
      <c r="K126" s="379">
        <f t="shared" si="28"/>
        <v>100</v>
      </c>
      <c r="L126" s="379">
        <f t="shared" si="28"/>
        <v>100</v>
      </c>
      <c r="M126" s="459">
        <f t="shared" si="28"/>
        <v>100</v>
      </c>
      <c r="N126" s="465"/>
      <c r="O126" s="465"/>
      <c r="P126" s="466"/>
      <c r="Q126" s="500"/>
      <c r="R126" s="501"/>
      <c r="S126" s="501"/>
      <c r="T126" s="501"/>
      <c r="U126" s="501"/>
      <c r="V126" s="501"/>
      <c r="W126" s="501"/>
      <c r="X126" s="501"/>
      <c r="Y126" s="501"/>
      <c r="Z126" s="501"/>
      <c r="AA126" s="501"/>
      <c r="AB126" s="501"/>
      <c r="AC126" s="501"/>
    </row>
    <row r="127" ht="15.75" spans="1:29">
      <c r="A127" s="519"/>
      <c r="B127" s="376" t="s">
        <v>1320</v>
      </c>
      <c r="C127" s="384"/>
      <c r="D127" s="384"/>
      <c r="E127" s="515"/>
      <c r="F127" s="515"/>
      <c r="G127" s="515"/>
      <c r="H127" s="515"/>
      <c r="I127" s="515"/>
      <c r="J127" s="515"/>
      <c r="K127" s="525"/>
      <c r="L127" s="526"/>
      <c r="M127" s="527"/>
      <c r="N127" s="452"/>
      <c r="O127" s="452"/>
      <c r="P127" s="453"/>
      <c r="Q127" s="442"/>
      <c r="R127" s="349"/>
      <c r="S127" s="349"/>
      <c r="T127" s="349"/>
      <c r="U127" s="349"/>
      <c r="V127" s="349"/>
      <c r="W127" s="349"/>
      <c r="X127" s="349"/>
      <c r="Y127" s="349"/>
      <c r="Z127" s="349"/>
      <c r="AA127" s="349"/>
      <c r="AB127" s="349"/>
      <c r="AC127" s="349"/>
    </row>
    <row r="128" ht="15.75" spans="1:29">
      <c r="A128" s="373"/>
      <c r="B128" s="378"/>
      <c r="C128" s="379">
        <v>100</v>
      </c>
      <c r="D128" s="379">
        <f t="shared" ref="D128:M128" si="29">C128-$K44</f>
        <v>100</v>
      </c>
      <c r="E128" s="379">
        <f t="shared" si="29"/>
        <v>100</v>
      </c>
      <c r="F128" s="379">
        <f t="shared" si="29"/>
        <v>100</v>
      </c>
      <c r="G128" s="379">
        <f t="shared" si="29"/>
        <v>100</v>
      </c>
      <c r="H128" s="379">
        <f t="shared" si="29"/>
        <v>100</v>
      </c>
      <c r="I128" s="379">
        <f t="shared" si="29"/>
        <v>100</v>
      </c>
      <c r="J128" s="379">
        <f t="shared" si="29"/>
        <v>100</v>
      </c>
      <c r="K128" s="379">
        <f t="shared" si="29"/>
        <v>100</v>
      </c>
      <c r="L128" s="379">
        <f t="shared" si="29"/>
        <v>100</v>
      </c>
      <c r="M128" s="459">
        <f t="shared" si="29"/>
        <v>100</v>
      </c>
      <c r="N128" s="455"/>
      <c r="O128" s="455"/>
      <c r="P128" s="453"/>
      <c r="Q128" s="442"/>
      <c r="R128" s="349"/>
      <c r="S128" s="349"/>
      <c r="T128" s="349"/>
      <c r="U128" s="349"/>
      <c r="V128" s="349"/>
      <c r="W128" s="349"/>
      <c r="X128" s="349"/>
      <c r="Y128" s="349"/>
      <c r="Z128" s="349"/>
      <c r="AA128" s="349"/>
      <c r="AB128" s="349"/>
      <c r="AC128" s="349"/>
    </row>
    <row r="129" ht="15.75" spans="1:29">
      <c r="A129" s="519"/>
      <c r="B129" s="376">
        <f>B45</f>
        <v>111</v>
      </c>
      <c r="C129" s="384"/>
      <c r="D129" s="384"/>
      <c r="E129" s="384"/>
      <c r="F129" s="384"/>
      <c r="G129" s="384"/>
      <c r="H129" s="515"/>
      <c r="I129" s="515"/>
      <c r="J129" s="515"/>
      <c r="K129" s="525"/>
      <c r="L129" s="526"/>
      <c r="M129" s="527"/>
      <c r="N129" s="452"/>
      <c r="O129" s="452"/>
      <c r="P129" s="453"/>
      <c r="Q129" s="442"/>
      <c r="R129" s="349"/>
      <c r="S129" s="349"/>
      <c r="T129" s="349"/>
      <c r="U129" s="349"/>
      <c r="V129" s="349"/>
      <c r="W129" s="349"/>
      <c r="X129" s="349"/>
      <c r="Y129" s="349"/>
      <c r="Z129" s="349"/>
      <c r="AA129" s="349"/>
      <c r="AB129" s="349"/>
      <c r="AC129" s="349"/>
    </row>
    <row r="130" ht="15.75" spans="1:29">
      <c r="A130" s="373"/>
      <c r="B130" s="378"/>
      <c r="C130" s="382"/>
      <c r="D130" s="382"/>
      <c r="E130" s="382"/>
      <c r="F130" s="382"/>
      <c r="G130" s="375"/>
      <c r="H130" s="375"/>
      <c r="I130" s="375"/>
      <c r="J130" s="375"/>
      <c r="K130" s="375"/>
      <c r="L130" s="375"/>
      <c r="M130" s="454"/>
      <c r="N130" s="455"/>
      <c r="O130" s="455"/>
      <c r="P130" s="453"/>
      <c r="Q130" s="442"/>
      <c r="R130" s="349"/>
      <c r="S130" s="349"/>
      <c r="T130" s="349"/>
      <c r="U130" s="349"/>
      <c r="V130" s="349"/>
      <c r="W130" s="349"/>
      <c r="X130" s="349"/>
      <c r="Y130" s="349"/>
      <c r="Z130" s="349"/>
      <c r="AA130" s="349"/>
      <c r="AB130" s="349"/>
      <c r="AC130" s="349"/>
    </row>
    <row r="131" ht="15.75" spans="1:29">
      <c r="A131" s="519"/>
      <c r="B131" s="376">
        <f>B46</f>
        <v>111</v>
      </c>
      <c r="C131" s="368"/>
      <c r="D131" s="368"/>
      <c r="E131" s="368"/>
      <c r="F131" s="368"/>
      <c r="G131" s="515"/>
      <c r="H131" s="515"/>
      <c r="I131" s="515"/>
      <c r="J131" s="515"/>
      <c r="K131" s="525"/>
      <c r="L131" s="526"/>
      <c r="M131" s="527"/>
      <c r="N131" s="452"/>
      <c r="O131" s="452"/>
      <c r="P131" s="453"/>
      <c r="Q131" s="442"/>
      <c r="R131" s="349"/>
      <c r="S131" s="349"/>
      <c r="T131" s="349"/>
      <c r="U131" s="349"/>
      <c r="V131" s="349"/>
      <c r="W131" s="349"/>
      <c r="X131" s="349"/>
      <c r="Y131" s="349"/>
      <c r="Z131" s="349"/>
      <c r="AA131" s="349"/>
      <c r="AB131" s="349"/>
      <c r="AC131" s="349"/>
    </row>
    <row r="132" ht="15.75" spans="1:29">
      <c r="A132" s="373"/>
      <c r="B132" s="378"/>
      <c r="C132" s="598"/>
      <c r="D132" s="598"/>
      <c r="E132" s="598"/>
      <c r="F132" s="598"/>
      <c r="G132" s="375"/>
      <c r="H132" s="375"/>
      <c r="I132" s="375"/>
      <c r="J132" s="375"/>
      <c r="K132" s="375"/>
      <c r="L132" s="375"/>
      <c r="M132" s="454"/>
      <c r="N132" s="455"/>
      <c r="O132" s="455"/>
      <c r="P132" s="453"/>
      <c r="Q132" s="442"/>
      <c r="R132" s="349"/>
      <c r="S132" s="349"/>
      <c r="T132" s="349"/>
      <c r="U132" s="349"/>
      <c r="V132" s="349"/>
      <c r="W132" s="349"/>
      <c r="X132" s="349"/>
      <c r="Y132" s="349"/>
      <c r="Z132" s="349"/>
      <c r="AA132" s="349"/>
      <c r="AB132" s="349"/>
      <c r="AC132" s="349"/>
    </row>
    <row r="133" s="198" customFormat="1" ht="15.75" spans="1:29">
      <c r="A133" s="521"/>
      <c r="B133" s="376">
        <f>B47</f>
        <v>111</v>
      </c>
      <c r="C133" s="368"/>
      <c r="D133" s="368"/>
      <c r="E133" s="368"/>
      <c r="F133" s="368"/>
      <c r="G133" s="385"/>
      <c r="H133" s="385"/>
      <c r="I133" s="385"/>
      <c r="J133" s="385"/>
      <c r="K133" s="385"/>
      <c r="L133" s="463"/>
      <c r="M133" s="464"/>
      <c r="N133" s="465"/>
      <c r="O133" s="465"/>
      <c r="P133" s="466"/>
      <c r="Q133" s="500"/>
      <c r="R133" s="501"/>
      <c r="S133" s="501"/>
      <c r="T133" s="501"/>
      <c r="U133" s="501"/>
      <c r="V133" s="501"/>
      <c r="W133" s="501"/>
      <c r="X133" s="501"/>
      <c r="Y133" s="501"/>
      <c r="Z133" s="501"/>
      <c r="AA133" s="501"/>
      <c r="AB133" s="501"/>
      <c r="AC133" s="501"/>
    </row>
    <row r="134" s="198" customFormat="1" ht="15.75" spans="1:29">
      <c r="A134" s="596"/>
      <c r="B134" s="1954"/>
      <c r="C134" s="598"/>
      <c r="D134" s="598"/>
      <c r="E134" s="598"/>
      <c r="F134" s="598"/>
      <c r="G134" s="602"/>
      <c r="H134" s="602"/>
      <c r="I134" s="602"/>
      <c r="J134" s="602"/>
      <c r="K134" s="602"/>
      <c r="L134" s="602"/>
      <c r="M134" s="611"/>
      <c r="N134" s="465"/>
      <c r="O134" s="465"/>
      <c r="P134" s="466"/>
      <c r="Q134" s="500"/>
      <c r="R134" s="501"/>
      <c r="S134" s="501"/>
      <c r="T134" s="501"/>
      <c r="U134" s="501"/>
      <c r="V134" s="501"/>
      <c r="W134" s="501"/>
      <c r="X134" s="501"/>
      <c r="Y134" s="501"/>
      <c r="Z134" s="501"/>
      <c r="AA134" s="501"/>
      <c r="AB134" s="501"/>
      <c r="AC134" s="501"/>
    </row>
    <row r="135" s="1968" customFormat="1" spans="1:29">
      <c r="A135" s="2005"/>
      <c r="B135" s="2005"/>
      <c r="C135" s="2005"/>
      <c r="D135" s="2005"/>
      <c r="E135" s="2005"/>
      <c r="F135" s="2005"/>
      <c r="G135" s="2005"/>
      <c r="H135" s="2005"/>
      <c r="I135" s="2005"/>
      <c r="J135" s="2005"/>
      <c r="K135" s="2006"/>
      <c r="L135" s="2007"/>
      <c r="M135" s="2005"/>
      <c r="N135" s="2005"/>
      <c r="O135" s="2005"/>
      <c r="P135" s="2005"/>
      <c r="Q135" s="2005"/>
      <c r="R135" s="2005"/>
      <c r="S135" s="2005"/>
      <c r="T135" s="2005"/>
      <c r="U135" s="2005"/>
      <c r="V135" s="2005"/>
      <c r="W135" s="2005"/>
      <c r="X135" s="2005"/>
      <c r="Y135" s="2005"/>
      <c r="Z135" s="2005"/>
      <c r="AA135" s="2005"/>
      <c r="AB135" s="2005"/>
      <c r="AC135" s="2005"/>
    </row>
    <row r="136" s="1968" customFormat="1" spans="1:29">
      <c r="A136" s="2005"/>
      <c r="B136" s="2005"/>
      <c r="C136" s="2005"/>
      <c r="D136" s="2005"/>
      <c r="E136" s="2005"/>
      <c r="F136" s="2005"/>
      <c r="G136" s="2005"/>
      <c r="H136" s="2005"/>
      <c r="I136" s="2005"/>
      <c r="J136" s="2005"/>
      <c r="K136" s="2006"/>
      <c r="L136" s="2007"/>
      <c r="M136" s="2005"/>
      <c r="N136" s="2005"/>
      <c r="O136" s="2005"/>
      <c r="P136" s="2005"/>
      <c r="Q136" s="2005"/>
      <c r="R136" s="2005"/>
      <c r="S136" s="2005"/>
      <c r="T136" s="2005"/>
      <c r="U136" s="2005"/>
      <c r="V136" s="2005"/>
      <c r="W136" s="2005"/>
      <c r="X136" s="2005"/>
      <c r="Y136" s="2005"/>
      <c r="Z136" s="2005"/>
      <c r="AA136" s="2005"/>
      <c r="AB136" s="2005"/>
      <c r="AC136" s="2005"/>
    </row>
    <row r="137" s="1968" customFormat="1" spans="1:29">
      <c r="A137" s="2005"/>
      <c r="B137" s="2005"/>
      <c r="C137" s="2005"/>
      <c r="D137" s="2005"/>
      <c r="E137" s="2005"/>
      <c r="F137" s="2005"/>
      <c r="G137" s="2005"/>
      <c r="H137" s="2005"/>
      <c r="I137" s="2005"/>
      <c r="J137" s="2005"/>
      <c r="K137" s="2006"/>
      <c r="L137" s="2007"/>
      <c r="M137" s="2005"/>
      <c r="N137" s="2005"/>
      <c r="O137" s="2005"/>
      <c r="P137" s="2005"/>
      <c r="Q137" s="2005"/>
      <c r="R137" s="2005"/>
      <c r="S137" s="2005"/>
      <c r="T137" s="2005"/>
      <c r="U137" s="2005"/>
      <c r="V137" s="2005"/>
      <c r="W137" s="2005"/>
      <c r="X137" s="2005"/>
      <c r="Y137" s="2005"/>
      <c r="Z137" s="2005"/>
      <c r="AA137" s="2005"/>
      <c r="AB137" s="2005"/>
      <c r="AC137" s="2005"/>
    </row>
    <row r="138" s="1968" customFormat="1" spans="1:29">
      <c r="A138" s="2005"/>
      <c r="B138" s="2005"/>
      <c r="C138" s="2005"/>
      <c r="D138" s="2005"/>
      <c r="E138" s="2005"/>
      <c r="F138" s="2005"/>
      <c r="G138" s="2005"/>
      <c r="H138" s="2005"/>
      <c r="I138" s="2005"/>
      <c r="J138" s="2005"/>
      <c r="K138" s="2006"/>
      <c r="L138" s="2007"/>
      <c r="M138" s="2005"/>
      <c r="N138" s="2005"/>
      <c r="O138" s="2005"/>
      <c r="P138" s="2005"/>
      <c r="Q138" s="2005"/>
      <c r="R138" s="2005"/>
      <c r="S138" s="2005"/>
      <c r="T138" s="2005"/>
      <c r="U138" s="2005"/>
      <c r="V138" s="2005"/>
      <c r="W138" s="2005"/>
      <c r="X138" s="2005"/>
      <c r="Y138" s="2005"/>
      <c r="Z138" s="2005"/>
      <c r="AA138" s="2005"/>
      <c r="AB138" s="2005"/>
      <c r="AC138" s="2005"/>
    </row>
    <row r="139" s="1968" customFormat="1" spans="1:29">
      <c r="A139" s="2005"/>
      <c r="B139" s="2005"/>
      <c r="C139" s="2005"/>
      <c r="D139" s="2005"/>
      <c r="E139" s="2005"/>
      <c r="F139" s="2005"/>
      <c r="G139" s="2005"/>
      <c r="H139" s="2005"/>
      <c r="I139" s="2005"/>
      <c r="J139" s="2005"/>
      <c r="K139" s="2006"/>
      <c r="L139" s="2007"/>
      <c r="M139" s="2005"/>
      <c r="N139" s="2005"/>
      <c r="O139" s="2005"/>
      <c r="P139" s="2005"/>
      <c r="Q139" s="2005"/>
      <c r="R139" s="2005"/>
      <c r="S139" s="2005"/>
      <c r="T139" s="2005"/>
      <c r="U139" s="2005"/>
      <c r="V139" s="2005"/>
      <c r="W139" s="2005"/>
      <c r="X139" s="2005"/>
      <c r="Y139" s="2005"/>
      <c r="Z139" s="2005"/>
      <c r="AA139" s="2005"/>
      <c r="AB139" s="2005"/>
      <c r="AC139" s="2005"/>
    </row>
    <row r="140" s="1968" customFormat="1" spans="1:29">
      <c r="A140" s="2005"/>
      <c r="B140" s="2005"/>
      <c r="C140" s="2005"/>
      <c r="D140" s="2005"/>
      <c r="E140" s="2005"/>
      <c r="F140" s="2005"/>
      <c r="G140" s="2005"/>
      <c r="H140" s="2005"/>
      <c r="I140" s="2005"/>
      <c r="J140" s="2005"/>
      <c r="K140" s="2006"/>
      <c r="L140" s="2007"/>
      <c r="M140" s="2005"/>
      <c r="N140" s="2005"/>
      <c r="O140" s="2005"/>
      <c r="P140" s="2005"/>
      <c r="Q140" s="2005"/>
      <c r="R140" s="2005"/>
      <c r="S140" s="2005"/>
      <c r="T140" s="2005"/>
      <c r="U140" s="2005"/>
      <c r="V140" s="2005"/>
      <c r="W140" s="2005"/>
      <c r="X140" s="2005"/>
      <c r="Y140" s="2005"/>
      <c r="Z140" s="2005"/>
      <c r="AA140" s="2005"/>
      <c r="AB140" s="2005"/>
      <c r="AC140" s="2005"/>
    </row>
    <row r="141" s="1968" customFormat="1" spans="1:29">
      <c r="A141" s="2005"/>
      <c r="B141" s="2005"/>
      <c r="C141" s="2005"/>
      <c r="D141" s="2005"/>
      <c r="E141" s="2005"/>
      <c r="F141" s="2005"/>
      <c r="G141" s="2005"/>
      <c r="H141" s="2005"/>
      <c r="I141" s="2005"/>
      <c r="J141" s="2005"/>
      <c r="K141" s="2006"/>
      <c r="L141" s="2007"/>
      <c r="M141" s="2005"/>
      <c r="N141" s="2005"/>
      <c r="O141" s="2005"/>
      <c r="P141" s="2005"/>
      <c r="Q141" s="2005"/>
      <c r="R141" s="2005"/>
      <c r="S141" s="2005"/>
      <c r="T141" s="2005"/>
      <c r="U141" s="2005"/>
      <c r="V141" s="2005"/>
      <c r="W141" s="2005"/>
      <c r="X141" s="2005"/>
      <c r="Y141" s="2005"/>
      <c r="Z141" s="2005"/>
      <c r="AA141" s="2005"/>
      <c r="AB141" s="2005"/>
      <c r="AC141" s="2005"/>
    </row>
    <row r="142" s="1968" customFormat="1" spans="1:29">
      <c r="A142" s="2005"/>
      <c r="B142" s="2005"/>
      <c r="C142" s="2005"/>
      <c r="D142" s="2005"/>
      <c r="E142" s="2005"/>
      <c r="F142" s="2005"/>
      <c r="G142" s="2005"/>
      <c r="H142" s="2005"/>
      <c r="I142" s="2005"/>
      <c r="J142" s="2005"/>
      <c r="K142" s="2006"/>
      <c r="L142" s="2007"/>
      <c r="M142" s="2005"/>
      <c r="N142" s="2005"/>
      <c r="O142" s="2005"/>
      <c r="P142" s="2005"/>
      <c r="Q142" s="2005"/>
      <c r="R142" s="2005"/>
      <c r="S142" s="2005"/>
      <c r="T142" s="2005"/>
      <c r="U142" s="2005"/>
      <c r="V142" s="2005"/>
      <c r="W142" s="2005"/>
      <c r="X142" s="2005"/>
      <c r="Y142" s="2005"/>
      <c r="Z142" s="2005"/>
      <c r="AA142" s="2005"/>
      <c r="AB142" s="2005"/>
      <c r="AC142" s="2005"/>
    </row>
    <row r="143" s="1968" customFormat="1" spans="1:29">
      <c r="A143" s="2005"/>
      <c r="B143" s="2005"/>
      <c r="C143" s="2005"/>
      <c r="D143" s="2005"/>
      <c r="E143" s="2005"/>
      <c r="F143" s="2005"/>
      <c r="G143" s="2005"/>
      <c r="H143" s="2005"/>
      <c r="I143" s="2005"/>
      <c r="J143" s="2005"/>
      <c r="K143" s="2006"/>
      <c r="L143" s="2007"/>
      <c r="M143" s="2005"/>
      <c r="N143" s="2005"/>
      <c r="O143" s="2005"/>
      <c r="P143" s="2005"/>
      <c r="Q143" s="2005"/>
      <c r="R143" s="2005"/>
      <c r="S143" s="2005"/>
      <c r="T143" s="2005"/>
      <c r="U143" s="2005"/>
      <c r="V143" s="2005"/>
      <c r="W143" s="2005"/>
      <c r="X143" s="2005"/>
      <c r="Y143" s="2005"/>
      <c r="Z143" s="2005"/>
      <c r="AA143" s="2005"/>
      <c r="AB143" s="2005"/>
      <c r="AC143" s="2005"/>
    </row>
    <row r="144" s="1968" customFormat="1" spans="1:29">
      <c r="A144" s="2005"/>
      <c r="B144" s="2005"/>
      <c r="C144" s="2005"/>
      <c r="D144" s="2005"/>
      <c r="E144" s="2005"/>
      <c r="F144" s="2005"/>
      <c r="G144" s="2005"/>
      <c r="H144" s="2005"/>
      <c r="I144" s="2005"/>
      <c r="J144" s="2005"/>
      <c r="K144" s="2006"/>
      <c r="L144" s="2007"/>
      <c r="M144" s="2005"/>
      <c r="N144" s="2005"/>
      <c r="O144" s="2005"/>
      <c r="P144" s="2005"/>
      <c r="Q144" s="2005"/>
      <c r="R144" s="2005"/>
      <c r="S144" s="2005"/>
      <c r="T144" s="2005"/>
      <c r="U144" s="2005"/>
      <c r="V144" s="2005"/>
      <c r="W144" s="2005"/>
      <c r="X144" s="2005"/>
      <c r="Y144" s="2005"/>
      <c r="Z144" s="2005"/>
      <c r="AA144" s="2005"/>
      <c r="AB144" s="2005"/>
      <c r="AC144" s="2005"/>
    </row>
    <row r="145" s="1968" customFormat="1" spans="1:29">
      <c r="A145" s="2005"/>
      <c r="B145" s="2005"/>
      <c r="C145" s="2005"/>
      <c r="D145" s="2005"/>
      <c r="E145" s="2005"/>
      <c r="F145" s="2005"/>
      <c r="G145" s="2005"/>
      <c r="H145" s="2005"/>
      <c r="I145" s="2005"/>
      <c r="J145" s="2005"/>
      <c r="K145" s="2006"/>
      <c r="L145" s="2007"/>
      <c r="M145" s="2005"/>
      <c r="N145" s="2005"/>
      <c r="O145" s="2005"/>
      <c r="P145" s="2005"/>
      <c r="Q145" s="2005"/>
      <c r="R145" s="2005"/>
      <c r="S145" s="2005"/>
      <c r="T145" s="2005"/>
      <c r="U145" s="2005"/>
      <c r="V145" s="2005"/>
      <c r="W145" s="2005"/>
      <c r="X145" s="2005"/>
      <c r="Y145" s="2005"/>
      <c r="Z145" s="2005"/>
      <c r="AA145" s="2005"/>
      <c r="AB145" s="2005"/>
      <c r="AC145" s="2005"/>
    </row>
    <row r="146" s="1968" customFormat="1" spans="1:29">
      <c r="A146" s="2005"/>
      <c r="B146" s="2005"/>
      <c r="C146" s="2005"/>
      <c r="D146" s="2005"/>
      <c r="E146" s="2005"/>
      <c r="F146" s="2005"/>
      <c r="G146" s="2005"/>
      <c r="H146" s="2005"/>
      <c r="I146" s="2005"/>
      <c r="J146" s="2005"/>
      <c r="K146" s="2006"/>
      <c r="L146" s="2007"/>
      <c r="M146" s="2005"/>
      <c r="N146" s="2005"/>
      <c r="O146" s="2005"/>
      <c r="P146" s="2005"/>
      <c r="Q146" s="2005"/>
      <c r="R146" s="2005"/>
      <c r="S146" s="2005"/>
      <c r="T146" s="2005"/>
      <c r="U146" s="2005"/>
      <c r="V146" s="2005"/>
      <c r="W146" s="2005"/>
      <c r="X146" s="2005"/>
      <c r="Y146" s="2005"/>
      <c r="Z146" s="2005"/>
      <c r="AA146" s="2005"/>
      <c r="AB146" s="2005"/>
      <c r="AC146" s="2005"/>
    </row>
    <row r="147" s="1968" customFormat="1" spans="1:29">
      <c r="A147" s="2005"/>
      <c r="B147" s="2005"/>
      <c r="C147" s="2005"/>
      <c r="D147" s="2005"/>
      <c r="E147" s="2005"/>
      <c r="F147" s="2005"/>
      <c r="G147" s="2005"/>
      <c r="H147" s="2005"/>
      <c r="I147" s="2005"/>
      <c r="J147" s="2005"/>
      <c r="K147" s="2006"/>
      <c r="L147" s="2007"/>
      <c r="M147" s="2005"/>
      <c r="N147" s="2005"/>
      <c r="O147" s="2005"/>
      <c r="P147" s="2005"/>
      <c r="Q147" s="2005"/>
      <c r="R147" s="2005"/>
      <c r="S147" s="2005"/>
      <c r="T147" s="2005"/>
      <c r="U147" s="2005"/>
      <c r="V147" s="2005"/>
      <c r="W147" s="2005"/>
      <c r="X147" s="2005"/>
      <c r="Y147" s="2005"/>
      <c r="Z147" s="2005"/>
      <c r="AA147" s="2005"/>
      <c r="AB147" s="2005"/>
      <c r="AC147" s="2005"/>
    </row>
    <row r="148" s="1968" customFormat="1" spans="1:29">
      <c r="A148" s="2005"/>
      <c r="B148" s="2005"/>
      <c r="C148" s="2005"/>
      <c r="D148" s="2005"/>
      <c r="E148" s="2005"/>
      <c r="F148" s="2005"/>
      <c r="G148" s="2005"/>
      <c r="H148" s="2005"/>
      <c r="I148" s="2005"/>
      <c r="J148" s="2005"/>
      <c r="K148" s="2006"/>
      <c r="L148" s="2007"/>
      <c r="M148" s="2005"/>
      <c r="N148" s="2005"/>
      <c r="O148" s="2005"/>
      <c r="P148" s="2005"/>
      <c r="Q148" s="2005"/>
      <c r="R148" s="2005"/>
      <c r="S148" s="2005"/>
      <c r="T148" s="2005"/>
      <c r="U148" s="2005"/>
      <c r="V148" s="2005"/>
      <c r="W148" s="2005"/>
      <c r="X148" s="2005"/>
      <c r="Y148" s="2005"/>
      <c r="Z148" s="2005"/>
      <c r="AA148" s="2005"/>
      <c r="AB148" s="2005"/>
      <c r="AC148" s="2005"/>
    </row>
    <row r="149" s="1968" customFormat="1" spans="1:29">
      <c r="A149" s="2005"/>
      <c r="B149" s="2005"/>
      <c r="C149" s="2005"/>
      <c r="D149" s="2005"/>
      <c r="E149" s="2005"/>
      <c r="F149" s="2005"/>
      <c r="G149" s="2005"/>
      <c r="H149" s="2005"/>
      <c r="I149" s="2005"/>
      <c r="J149" s="2005"/>
      <c r="K149" s="2006"/>
      <c r="L149" s="2007"/>
      <c r="M149" s="2005"/>
      <c r="N149" s="2005"/>
      <c r="O149" s="2005"/>
      <c r="P149" s="2005"/>
      <c r="Q149" s="2005"/>
      <c r="R149" s="2005"/>
      <c r="S149" s="2005"/>
      <c r="T149" s="2005"/>
      <c r="U149" s="2005"/>
      <c r="V149" s="2005"/>
      <c r="W149" s="2005"/>
      <c r="X149" s="2005"/>
      <c r="Y149" s="2005"/>
      <c r="Z149" s="2005"/>
      <c r="AA149" s="2005"/>
      <c r="AB149" s="2005"/>
      <c r="AC149" s="2005"/>
    </row>
    <row r="150" s="1968" customFormat="1" spans="1:29">
      <c r="A150" s="2005"/>
      <c r="B150" s="2005"/>
      <c r="C150" s="2005"/>
      <c r="D150" s="2005"/>
      <c r="E150" s="2005"/>
      <c r="F150" s="2005"/>
      <c r="G150" s="2005"/>
      <c r="H150" s="2005"/>
      <c r="I150" s="2005"/>
      <c r="J150" s="2005"/>
      <c r="K150" s="2006"/>
      <c r="L150" s="2007"/>
      <c r="M150" s="2005"/>
      <c r="N150" s="2005"/>
      <c r="O150" s="2005"/>
      <c r="P150" s="2005"/>
      <c r="Q150" s="2005"/>
      <c r="R150" s="2005"/>
      <c r="S150" s="2005"/>
      <c r="T150" s="2005"/>
      <c r="U150" s="2005"/>
      <c r="V150" s="2005"/>
      <c r="W150" s="2005"/>
      <c r="X150" s="2005"/>
      <c r="Y150" s="2005"/>
      <c r="Z150" s="2005"/>
      <c r="AA150" s="2005"/>
      <c r="AB150" s="2005"/>
      <c r="AC150" s="2005"/>
    </row>
    <row r="151" s="1968" customFormat="1" spans="1:29">
      <c r="A151" s="2005"/>
      <c r="B151" s="2005"/>
      <c r="C151" s="2005"/>
      <c r="D151" s="2005"/>
      <c r="E151" s="2005"/>
      <c r="F151" s="2005"/>
      <c r="G151" s="2005"/>
      <c r="H151" s="2005"/>
      <c r="I151" s="2005"/>
      <c r="J151" s="2005"/>
      <c r="K151" s="2006"/>
      <c r="L151" s="2007"/>
      <c r="M151" s="2005"/>
      <c r="N151" s="2005"/>
      <c r="O151" s="2005"/>
      <c r="P151" s="2005"/>
      <c r="Q151" s="2005"/>
      <c r="R151" s="2005"/>
      <c r="S151" s="2005"/>
      <c r="T151" s="2005"/>
      <c r="U151" s="2005"/>
      <c r="V151" s="2005"/>
      <c r="W151" s="2005"/>
      <c r="X151" s="2005"/>
      <c r="Y151" s="2005"/>
      <c r="Z151" s="2005"/>
      <c r="AA151" s="2005"/>
      <c r="AB151" s="2005"/>
      <c r="AC151" s="2005"/>
    </row>
    <row r="152" s="1968" customFormat="1" spans="1:29">
      <c r="A152" s="2005"/>
      <c r="B152" s="2005"/>
      <c r="C152" s="2005"/>
      <c r="D152" s="2005"/>
      <c r="E152" s="2005"/>
      <c r="F152" s="2005"/>
      <c r="G152" s="2005"/>
      <c r="H152" s="2005"/>
      <c r="I152" s="2005"/>
      <c r="J152" s="2005"/>
      <c r="K152" s="2006"/>
      <c r="L152" s="2007"/>
      <c r="M152" s="2005"/>
      <c r="N152" s="2005"/>
      <c r="O152" s="2005"/>
      <c r="P152" s="2005"/>
      <c r="Q152" s="2005"/>
      <c r="R152" s="2005"/>
      <c r="S152" s="2005"/>
      <c r="T152" s="2005"/>
      <c r="U152" s="2005"/>
      <c r="V152" s="2005"/>
      <c r="W152" s="2005"/>
      <c r="X152" s="2005"/>
      <c r="Y152" s="2005"/>
      <c r="Z152" s="2005"/>
      <c r="AA152" s="2005"/>
      <c r="AB152" s="2005"/>
      <c r="AC152" s="2005"/>
    </row>
    <row r="153" s="1968" customFormat="1" spans="1:29">
      <c r="A153" s="2005"/>
      <c r="B153" s="2005"/>
      <c r="C153" s="2005"/>
      <c r="D153" s="2005"/>
      <c r="E153" s="2005"/>
      <c r="F153" s="2005"/>
      <c r="G153" s="2005"/>
      <c r="H153" s="2005"/>
      <c r="I153" s="2005"/>
      <c r="J153" s="2005"/>
      <c r="K153" s="2006"/>
      <c r="L153" s="2007"/>
      <c r="M153" s="2005"/>
      <c r="N153" s="2005"/>
      <c r="O153" s="2005"/>
      <c r="P153" s="2005"/>
      <c r="Q153" s="2005"/>
      <c r="R153" s="2005"/>
      <c r="S153" s="2005"/>
      <c r="T153" s="2005"/>
      <c r="U153" s="2005"/>
      <c r="V153" s="2005"/>
      <c r="W153" s="2005"/>
      <c r="X153" s="2005"/>
      <c r="Y153" s="2005"/>
      <c r="Z153" s="2005"/>
      <c r="AA153" s="2005"/>
      <c r="AB153" s="2005"/>
      <c r="AC153" s="2005"/>
    </row>
    <row r="154" s="1968" customFormat="1" spans="1:29">
      <c r="A154" s="2005"/>
      <c r="B154" s="2005"/>
      <c r="C154" s="2005"/>
      <c r="D154" s="2005"/>
      <c r="E154" s="2005"/>
      <c r="F154" s="2005"/>
      <c r="G154" s="2005"/>
      <c r="H154" s="2005"/>
      <c r="I154" s="2005"/>
      <c r="J154" s="2005"/>
      <c r="K154" s="2006"/>
      <c r="L154" s="2007"/>
      <c r="M154" s="2005"/>
      <c r="N154" s="2005"/>
      <c r="O154" s="2005"/>
      <c r="P154" s="2005"/>
      <c r="Q154" s="2005"/>
      <c r="R154" s="2005"/>
      <c r="S154" s="2005"/>
      <c r="T154" s="2005"/>
      <c r="U154" s="2005"/>
      <c r="V154" s="2005"/>
      <c r="W154" s="2005"/>
      <c r="X154" s="2005"/>
      <c r="Y154" s="2005"/>
      <c r="Z154" s="2005"/>
      <c r="AA154" s="2005"/>
      <c r="AB154" s="2005"/>
      <c r="AC154" s="2005"/>
    </row>
    <row r="155" s="1968" customFormat="1" spans="1:29">
      <c r="A155" s="2005"/>
      <c r="B155" s="2005"/>
      <c r="C155" s="2005"/>
      <c r="D155" s="2005"/>
      <c r="E155" s="2005"/>
      <c r="F155" s="2005"/>
      <c r="G155" s="2005"/>
      <c r="H155" s="2005"/>
      <c r="I155" s="2005"/>
      <c r="J155" s="2005"/>
      <c r="K155" s="2006"/>
      <c r="L155" s="2007"/>
      <c r="M155" s="2005"/>
      <c r="N155" s="2005"/>
      <c r="O155" s="2005"/>
      <c r="P155" s="2005"/>
      <c r="Q155" s="2005"/>
      <c r="R155" s="2005"/>
      <c r="S155" s="2005"/>
      <c r="T155" s="2005"/>
      <c r="U155" s="2005"/>
      <c r="V155" s="2005"/>
      <c r="W155" s="2005"/>
      <c r="X155" s="2005"/>
      <c r="Y155" s="2005"/>
      <c r="Z155" s="2005"/>
      <c r="AA155" s="2005"/>
      <c r="AB155" s="2005"/>
      <c r="AC155" s="2005"/>
    </row>
    <row r="156" s="1968" customFormat="1" spans="1:29">
      <c r="A156" s="2005"/>
      <c r="B156" s="2005"/>
      <c r="C156" s="2005"/>
      <c r="D156" s="2005"/>
      <c r="E156" s="2005"/>
      <c r="F156" s="2005"/>
      <c r="G156" s="2005"/>
      <c r="H156" s="2005"/>
      <c r="I156" s="2005"/>
      <c r="J156" s="2005"/>
      <c r="K156" s="2006"/>
      <c r="L156" s="2007"/>
      <c r="M156" s="2005"/>
      <c r="N156" s="2005"/>
      <c r="O156" s="2005"/>
      <c r="P156" s="2005"/>
      <c r="Q156" s="2005"/>
      <c r="R156" s="2005"/>
      <c r="S156" s="2005"/>
      <c r="T156" s="2005"/>
      <c r="U156" s="2005"/>
      <c r="V156" s="2005"/>
      <c r="W156" s="2005"/>
      <c r="X156" s="2005"/>
      <c r="Y156" s="2005"/>
      <c r="Z156" s="2005"/>
      <c r="AA156" s="2005"/>
      <c r="AB156" s="2005"/>
      <c r="AC156" s="2005"/>
    </row>
    <row r="157" s="1968" customFormat="1" spans="1:29">
      <c r="A157" s="2005"/>
      <c r="B157" s="2005"/>
      <c r="C157" s="2005"/>
      <c r="D157" s="2005"/>
      <c r="E157" s="2005"/>
      <c r="F157" s="2005"/>
      <c r="G157" s="2005"/>
      <c r="H157" s="2005"/>
      <c r="I157" s="2005"/>
      <c r="J157" s="2005"/>
      <c r="K157" s="2006"/>
      <c r="L157" s="2007"/>
      <c r="M157" s="2005"/>
      <c r="N157" s="2005"/>
      <c r="O157" s="2005"/>
      <c r="P157" s="2005"/>
      <c r="Q157" s="2005"/>
      <c r="R157" s="2005"/>
      <c r="S157" s="2005"/>
      <c r="T157" s="2005"/>
      <c r="U157" s="2005"/>
      <c r="V157" s="2005"/>
      <c r="W157" s="2005"/>
      <c r="X157" s="2005"/>
      <c r="Y157" s="2005"/>
      <c r="Z157" s="2005"/>
      <c r="AA157" s="2005"/>
      <c r="AB157" s="2005"/>
      <c r="AC157" s="2005"/>
    </row>
    <row r="158" s="1968" customFormat="1" spans="1:29">
      <c r="A158" s="2005"/>
      <c r="B158" s="2005"/>
      <c r="C158" s="2005"/>
      <c r="D158" s="2005"/>
      <c r="E158" s="2005"/>
      <c r="F158" s="2005"/>
      <c r="G158" s="2005"/>
      <c r="H158" s="2005"/>
      <c r="I158" s="2005"/>
      <c r="J158" s="2005"/>
      <c r="K158" s="2006"/>
      <c r="L158" s="2007"/>
      <c r="M158" s="2005"/>
      <c r="N158" s="2005"/>
      <c r="O158" s="2005"/>
      <c r="P158" s="2005"/>
      <c r="Q158" s="2005"/>
      <c r="R158" s="2005"/>
      <c r="S158" s="2005"/>
      <c r="T158" s="2005"/>
      <c r="U158" s="2005"/>
      <c r="V158" s="2005"/>
      <c r="W158" s="2005"/>
      <c r="X158" s="2005"/>
      <c r="Y158" s="2005"/>
      <c r="Z158" s="2005"/>
      <c r="AA158" s="2005"/>
      <c r="AB158" s="2005"/>
      <c r="AC158" s="2005"/>
    </row>
    <row r="159" s="1968" customFormat="1" spans="1:29">
      <c r="A159" s="2005"/>
      <c r="B159" s="2005"/>
      <c r="C159" s="2005"/>
      <c r="D159" s="2005"/>
      <c r="E159" s="2005"/>
      <c r="F159" s="2005"/>
      <c r="G159" s="2005"/>
      <c r="H159" s="2005"/>
      <c r="I159" s="2005"/>
      <c r="J159" s="2005"/>
      <c r="K159" s="2006"/>
      <c r="L159" s="2007"/>
      <c r="M159" s="2005"/>
      <c r="N159" s="2005"/>
      <c r="O159" s="2005"/>
      <c r="P159" s="2005"/>
      <c r="Q159" s="2005"/>
      <c r="R159" s="2005"/>
      <c r="S159" s="2005"/>
      <c r="T159" s="2005"/>
      <c r="U159" s="2005"/>
      <c r="V159" s="2005"/>
      <c r="W159" s="2005"/>
      <c r="X159" s="2005"/>
      <c r="Y159" s="2005"/>
      <c r="Z159" s="2005"/>
      <c r="AA159" s="2005"/>
      <c r="AB159" s="2005"/>
      <c r="AC159" s="2005"/>
    </row>
    <row r="160" s="1968" customFormat="1" spans="1:29">
      <c r="A160" s="2005"/>
      <c r="B160" s="2005"/>
      <c r="C160" s="2005"/>
      <c r="D160" s="2005"/>
      <c r="E160" s="2005"/>
      <c r="F160" s="2005"/>
      <c r="G160" s="2005"/>
      <c r="H160" s="2005"/>
      <c r="I160" s="2005"/>
      <c r="J160" s="2005"/>
      <c r="K160" s="2006"/>
      <c r="L160" s="2007"/>
      <c r="M160" s="2005"/>
      <c r="N160" s="2005"/>
      <c r="O160" s="2005"/>
      <c r="P160" s="2005"/>
      <c r="Q160" s="2005"/>
      <c r="R160" s="2005"/>
      <c r="S160" s="2005"/>
      <c r="T160" s="2005"/>
      <c r="U160" s="2005"/>
      <c r="V160" s="2005"/>
      <c r="W160" s="2005"/>
      <c r="X160" s="2005"/>
      <c r="Y160" s="2005"/>
      <c r="Z160" s="2005"/>
      <c r="AA160" s="2005"/>
      <c r="AB160" s="2005"/>
      <c r="AC160" s="2005"/>
    </row>
    <row r="161" s="1968" customFormat="1" spans="1:29">
      <c r="A161" s="2005"/>
      <c r="B161" s="2005"/>
      <c r="C161" s="2005"/>
      <c r="D161" s="2005"/>
      <c r="E161" s="2005"/>
      <c r="F161" s="2005"/>
      <c r="G161" s="2005"/>
      <c r="H161" s="2005"/>
      <c r="I161" s="2005"/>
      <c r="J161" s="2005"/>
      <c r="K161" s="2006"/>
      <c r="L161" s="2007"/>
      <c r="M161" s="2005"/>
      <c r="N161" s="2005"/>
      <c r="O161" s="2005"/>
      <c r="P161" s="2005"/>
      <c r="Q161" s="2005"/>
      <c r="R161" s="2005"/>
      <c r="S161" s="2005"/>
      <c r="T161" s="2005"/>
      <c r="U161" s="2005"/>
      <c r="V161" s="2005"/>
      <c r="W161" s="2005"/>
      <c r="X161" s="2005"/>
      <c r="Y161" s="2005"/>
      <c r="Z161" s="2005"/>
      <c r="AA161" s="2005"/>
      <c r="AB161" s="2005"/>
      <c r="AC161" s="2005"/>
    </row>
    <row r="162" s="1968" customFormat="1" spans="1:29">
      <c r="A162" s="2005"/>
      <c r="B162" s="2005"/>
      <c r="C162" s="2005"/>
      <c r="D162" s="2005"/>
      <c r="E162" s="2005"/>
      <c r="F162" s="2005"/>
      <c r="G162" s="2005"/>
      <c r="H162" s="2005"/>
      <c r="I162" s="2005"/>
      <c r="J162" s="2005"/>
      <c r="K162" s="2006"/>
      <c r="L162" s="2007"/>
      <c r="M162" s="2005"/>
      <c r="N162" s="2005"/>
      <c r="O162" s="2005"/>
      <c r="P162" s="2005"/>
      <c r="Q162" s="2005"/>
      <c r="R162" s="2005"/>
      <c r="S162" s="2005"/>
      <c r="T162" s="2005"/>
      <c r="U162" s="2005"/>
      <c r="V162" s="2005"/>
      <c r="W162" s="2005"/>
      <c r="X162" s="2005"/>
      <c r="Y162" s="2005"/>
      <c r="Z162" s="2005"/>
      <c r="AA162" s="2005"/>
      <c r="AB162" s="2005"/>
      <c r="AC162" s="2005"/>
    </row>
    <row r="163" s="1968" customFormat="1" spans="1:29">
      <c r="A163" s="2005"/>
      <c r="B163" s="2005"/>
      <c r="C163" s="2005"/>
      <c r="D163" s="2005"/>
      <c r="E163" s="2005"/>
      <c r="F163" s="2005"/>
      <c r="G163" s="2005"/>
      <c r="H163" s="2005"/>
      <c r="I163" s="2005"/>
      <c r="J163" s="2005"/>
      <c r="K163" s="2006"/>
      <c r="L163" s="2007"/>
      <c r="M163" s="2005"/>
      <c r="N163" s="2005"/>
      <c r="O163" s="2005"/>
      <c r="P163" s="2005"/>
      <c r="Q163" s="2005"/>
      <c r="R163" s="2005"/>
      <c r="S163" s="2005"/>
      <c r="T163" s="2005"/>
      <c r="U163" s="2005"/>
      <c r="V163" s="2005"/>
      <c r="W163" s="2005"/>
      <c r="X163" s="2005"/>
      <c r="Y163" s="2005"/>
      <c r="Z163" s="2005"/>
      <c r="AA163" s="2005"/>
      <c r="AB163" s="2005"/>
      <c r="AC163" s="2005"/>
    </row>
    <row r="164" s="1968" customFormat="1" spans="1:29">
      <c r="A164" s="2005"/>
      <c r="B164" s="2005"/>
      <c r="C164" s="2005"/>
      <c r="D164" s="2005"/>
      <c r="E164" s="2005"/>
      <c r="F164" s="2005"/>
      <c r="G164" s="2005"/>
      <c r="H164" s="2005"/>
      <c r="I164" s="2005"/>
      <c r="J164" s="2005"/>
      <c r="K164" s="2006"/>
      <c r="L164" s="2007"/>
      <c r="M164" s="2005"/>
      <c r="N164" s="2005"/>
      <c r="O164" s="2005"/>
      <c r="P164" s="2005"/>
      <c r="Q164" s="2005"/>
      <c r="R164" s="2005"/>
      <c r="S164" s="2005"/>
      <c r="T164" s="2005"/>
      <c r="U164" s="2005"/>
      <c r="V164" s="2005"/>
      <c r="W164" s="2005"/>
      <c r="X164" s="2005"/>
      <c r="Y164" s="2005"/>
      <c r="Z164" s="2005"/>
      <c r="AA164" s="2005"/>
      <c r="AB164" s="2005"/>
      <c r="AC164" s="2005"/>
    </row>
    <row r="165" s="1968" customFormat="1" spans="1:29">
      <c r="A165" s="2005"/>
      <c r="B165" s="2005"/>
      <c r="C165" s="2005"/>
      <c r="D165" s="2005"/>
      <c r="E165" s="2005"/>
      <c r="F165" s="2005"/>
      <c r="G165" s="2005"/>
      <c r="H165" s="2005"/>
      <c r="I165" s="2005"/>
      <c r="J165" s="2005"/>
      <c r="K165" s="2006"/>
      <c r="L165" s="2007"/>
      <c r="M165" s="2005"/>
      <c r="N165" s="2005"/>
      <c r="O165" s="2005"/>
      <c r="P165" s="2005"/>
      <c r="Q165" s="2005"/>
      <c r="R165" s="2005"/>
      <c r="S165" s="2005"/>
      <c r="T165" s="2005"/>
      <c r="U165" s="2005"/>
      <c r="V165" s="2005"/>
      <c r="W165" s="2005"/>
      <c r="X165" s="2005"/>
      <c r="Y165" s="2005"/>
      <c r="Z165" s="2005"/>
      <c r="AA165" s="2005"/>
      <c r="AB165" s="2005"/>
      <c r="AC165" s="2005"/>
    </row>
    <row r="166" s="1968" customFormat="1" spans="1:29">
      <c r="A166" s="2005"/>
      <c r="B166" s="2005"/>
      <c r="C166" s="2005"/>
      <c r="D166" s="2005"/>
      <c r="E166" s="2005"/>
      <c r="F166" s="2005"/>
      <c r="G166" s="2005"/>
      <c r="H166" s="2005"/>
      <c r="I166" s="2005"/>
      <c r="J166" s="2005"/>
      <c r="K166" s="2006"/>
      <c r="L166" s="2007"/>
      <c r="M166" s="2005"/>
      <c r="N166" s="2005"/>
      <c r="O166" s="2005"/>
      <c r="P166" s="2005"/>
      <c r="Q166" s="2005"/>
      <c r="R166" s="2005"/>
      <c r="S166" s="2005"/>
      <c r="T166" s="2005"/>
      <c r="U166" s="2005"/>
      <c r="V166" s="2005"/>
      <c r="W166" s="2005"/>
      <c r="X166" s="2005"/>
      <c r="Y166" s="2005"/>
      <c r="Z166" s="2005"/>
      <c r="AA166" s="2005"/>
      <c r="AB166" s="2005"/>
      <c r="AC166" s="2005"/>
    </row>
    <row r="167" s="1968" customFormat="1" spans="1:29">
      <c r="A167" s="2005"/>
      <c r="B167" s="2005"/>
      <c r="C167" s="2005"/>
      <c r="D167" s="2005"/>
      <c r="E167" s="2005"/>
      <c r="F167" s="2005"/>
      <c r="G167" s="2005"/>
      <c r="H167" s="2005"/>
      <c r="I167" s="2005"/>
      <c r="J167" s="2005"/>
      <c r="K167" s="2006"/>
      <c r="L167" s="2007"/>
      <c r="M167" s="2005"/>
      <c r="N167" s="2005"/>
      <c r="O167" s="2005"/>
      <c r="P167" s="2005"/>
      <c r="Q167" s="2005"/>
      <c r="R167" s="2005"/>
      <c r="S167" s="2005"/>
      <c r="T167" s="2005"/>
      <c r="U167" s="2005"/>
      <c r="V167" s="2005"/>
      <c r="W167" s="2005"/>
      <c r="X167" s="2005"/>
      <c r="Y167" s="2005"/>
      <c r="Z167" s="2005"/>
      <c r="AA167" s="2005"/>
      <c r="AB167" s="2005"/>
      <c r="AC167" s="2005"/>
    </row>
    <row r="168" s="1968" customFormat="1" spans="1:29">
      <c r="A168" s="2005"/>
      <c r="B168" s="2005"/>
      <c r="C168" s="2005"/>
      <c r="D168" s="2005"/>
      <c r="E168" s="2005"/>
      <c r="F168" s="2005"/>
      <c r="G168" s="2005"/>
      <c r="H168" s="2005"/>
      <c r="I168" s="2005"/>
      <c r="J168" s="2005"/>
      <c r="K168" s="2006"/>
      <c r="L168" s="2007"/>
      <c r="M168" s="2005"/>
      <c r="N168" s="2005"/>
      <c r="O168" s="2005"/>
      <c r="P168" s="2005"/>
      <c r="Q168" s="2005"/>
      <c r="R168" s="2005"/>
      <c r="S168" s="2005"/>
      <c r="T168" s="2005"/>
      <c r="U168" s="2005"/>
      <c r="V168" s="2005"/>
      <c r="W168" s="2005"/>
      <c r="X168" s="2005"/>
      <c r="Y168" s="2005"/>
      <c r="Z168" s="2005"/>
      <c r="AA168" s="2005"/>
      <c r="AB168" s="2005"/>
      <c r="AC168" s="2005"/>
    </row>
    <row r="169" s="1968" customFormat="1" spans="1:29">
      <c r="A169" s="2005"/>
      <c r="B169" s="2005"/>
      <c r="C169" s="2005"/>
      <c r="D169" s="2005"/>
      <c r="E169" s="2005"/>
      <c r="F169" s="2005"/>
      <c r="G169" s="2005"/>
      <c r="H169" s="2005"/>
      <c r="I169" s="2005"/>
      <c r="J169" s="2005"/>
      <c r="K169" s="2006"/>
      <c r="L169" s="2007"/>
      <c r="M169" s="2005"/>
      <c r="N169" s="2005"/>
      <c r="O169" s="2005"/>
      <c r="P169" s="2005"/>
      <c r="Q169" s="2005"/>
      <c r="R169" s="2005"/>
      <c r="S169" s="2005"/>
      <c r="T169" s="2005"/>
      <c r="U169" s="2005"/>
      <c r="V169" s="2005"/>
      <c r="W169" s="2005"/>
      <c r="X169" s="2005"/>
      <c r="Y169" s="2005"/>
      <c r="Z169" s="2005"/>
      <c r="AA169" s="2005"/>
      <c r="AB169" s="2005"/>
      <c r="AC169" s="2005"/>
    </row>
    <row r="170" s="1968" customFormat="1" spans="1:29">
      <c r="A170" s="2005"/>
      <c r="B170" s="2005"/>
      <c r="C170" s="2005"/>
      <c r="D170" s="2005"/>
      <c r="E170" s="2005"/>
      <c r="F170" s="2005"/>
      <c r="G170" s="2005"/>
      <c r="H170" s="2005"/>
      <c r="I170" s="2005"/>
      <c r="J170" s="2005"/>
      <c r="K170" s="2006"/>
      <c r="L170" s="2007"/>
      <c r="M170" s="2005"/>
      <c r="N170" s="2005"/>
      <c r="O170" s="2005"/>
      <c r="P170" s="2005"/>
      <c r="Q170" s="2005"/>
      <c r="R170" s="2005"/>
      <c r="S170" s="2005"/>
      <c r="T170" s="2005"/>
      <c r="U170" s="2005"/>
      <c r="V170" s="2005"/>
      <c r="W170" s="2005"/>
      <c r="X170" s="2005"/>
      <c r="Y170" s="2005"/>
      <c r="Z170" s="2005"/>
      <c r="AA170" s="2005"/>
      <c r="AB170" s="2005"/>
      <c r="AC170" s="2005"/>
    </row>
    <row r="171" s="1968" customFormat="1" spans="1:29">
      <c r="A171" s="2005"/>
      <c r="B171" s="2005"/>
      <c r="C171" s="2005"/>
      <c r="D171" s="2005"/>
      <c r="E171" s="2005"/>
      <c r="F171" s="2005"/>
      <c r="G171" s="2005"/>
      <c r="H171" s="2005"/>
      <c r="I171" s="2005"/>
      <c r="J171" s="2005"/>
      <c r="K171" s="2006"/>
      <c r="L171" s="2007"/>
      <c r="M171" s="2005"/>
      <c r="N171" s="2005"/>
      <c r="O171" s="2005"/>
      <c r="P171" s="2005"/>
      <c r="Q171" s="2005"/>
      <c r="R171" s="2005"/>
      <c r="S171" s="2005"/>
      <c r="T171" s="2005"/>
      <c r="U171" s="2005"/>
      <c r="V171" s="2005"/>
      <c r="W171" s="2005"/>
      <c r="X171" s="2005"/>
      <c r="Y171" s="2005"/>
      <c r="Z171" s="2005"/>
      <c r="AA171" s="2005"/>
      <c r="AB171" s="2005"/>
      <c r="AC171" s="2005"/>
    </row>
    <row r="172" s="1968" customFormat="1" spans="1:29">
      <c r="A172" s="2005"/>
      <c r="B172" s="2005"/>
      <c r="C172" s="2005"/>
      <c r="D172" s="2005"/>
      <c r="E172" s="2005"/>
      <c r="F172" s="2005"/>
      <c r="G172" s="2005"/>
      <c r="H172" s="2005"/>
      <c r="I172" s="2005"/>
      <c r="J172" s="2005"/>
      <c r="K172" s="2006"/>
      <c r="L172" s="2007"/>
      <c r="M172" s="2005"/>
      <c r="N172" s="2005"/>
      <c r="O172" s="2005"/>
      <c r="P172" s="2005"/>
      <c r="Q172" s="2005"/>
      <c r="R172" s="2005"/>
      <c r="S172" s="2005"/>
      <c r="T172" s="2005"/>
      <c r="U172" s="2005"/>
      <c r="V172" s="2005"/>
      <c r="W172" s="2005"/>
      <c r="X172" s="2005"/>
      <c r="Y172" s="2005"/>
      <c r="Z172" s="2005"/>
      <c r="AA172" s="2005"/>
      <c r="AB172" s="2005"/>
      <c r="AC172" s="2005"/>
    </row>
    <row r="173" s="1968" customFormat="1" spans="1:29">
      <c r="A173" s="2005"/>
      <c r="B173" s="2005"/>
      <c r="C173" s="2005"/>
      <c r="D173" s="2005"/>
      <c r="E173" s="2005"/>
      <c r="F173" s="2005"/>
      <c r="G173" s="2005"/>
      <c r="H173" s="2005"/>
      <c r="I173" s="2005"/>
      <c r="J173" s="2005"/>
      <c r="K173" s="2006"/>
      <c r="L173" s="2007"/>
      <c r="M173" s="2005"/>
      <c r="N173" s="2005"/>
      <c r="O173" s="2005"/>
      <c r="P173" s="2005"/>
      <c r="Q173" s="2005"/>
      <c r="R173" s="2005"/>
      <c r="S173" s="2005"/>
      <c r="T173" s="2005"/>
      <c r="U173" s="2005"/>
      <c r="V173" s="2005"/>
      <c r="W173" s="2005"/>
      <c r="X173" s="2005"/>
      <c r="Y173" s="2005"/>
      <c r="Z173" s="2005"/>
      <c r="AA173" s="2005"/>
      <c r="AB173" s="2005"/>
      <c r="AC173" s="2005"/>
    </row>
    <row r="174" s="1968" customFormat="1" spans="1:29">
      <c r="A174" s="2005"/>
      <c r="B174" s="2005"/>
      <c r="C174" s="2005"/>
      <c r="D174" s="2005"/>
      <c r="E174" s="2005"/>
      <c r="F174" s="2005"/>
      <c r="G174" s="2005"/>
      <c r="H174" s="2005"/>
      <c r="I174" s="2005"/>
      <c r="J174" s="2005"/>
      <c r="K174" s="2006"/>
      <c r="L174" s="2007"/>
      <c r="M174" s="2005"/>
      <c r="N174" s="2005"/>
      <c r="O174" s="2005"/>
      <c r="P174" s="2005"/>
      <c r="Q174" s="2005"/>
      <c r="R174" s="2005"/>
      <c r="S174" s="2005"/>
      <c r="T174" s="2005"/>
      <c r="U174" s="2005"/>
      <c r="V174" s="2005"/>
      <c r="W174" s="2005"/>
      <c r="X174" s="2005"/>
      <c r="Y174" s="2005"/>
      <c r="Z174" s="2005"/>
      <c r="AA174" s="2005"/>
      <c r="AB174" s="2005"/>
      <c r="AC174" s="2005"/>
    </row>
    <row r="175" s="1968" customFormat="1" spans="1:29">
      <c r="A175" s="2005"/>
      <c r="B175" s="2005"/>
      <c r="C175" s="2005"/>
      <c r="D175" s="2005"/>
      <c r="E175" s="2005"/>
      <c r="F175" s="2005"/>
      <c r="G175" s="2005"/>
      <c r="H175" s="2005"/>
      <c r="I175" s="2005"/>
      <c r="J175" s="2005"/>
      <c r="K175" s="2006"/>
      <c r="L175" s="2007"/>
      <c r="M175" s="2005"/>
      <c r="N175" s="2005"/>
      <c r="O175" s="2005"/>
      <c r="P175" s="2005"/>
      <c r="Q175" s="2005"/>
      <c r="R175" s="2005"/>
      <c r="S175" s="2005"/>
      <c r="T175" s="2005"/>
      <c r="U175" s="2005"/>
      <c r="V175" s="2005"/>
      <c r="W175" s="2005"/>
      <c r="X175" s="2005"/>
      <c r="Y175" s="2005"/>
      <c r="Z175" s="2005"/>
      <c r="AA175" s="2005"/>
      <c r="AB175" s="2005"/>
      <c r="AC175" s="2005"/>
    </row>
    <row r="176" s="1968" customFormat="1" spans="1:29">
      <c r="A176" s="2005"/>
      <c r="B176" s="2005"/>
      <c r="C176" s="2005"/>
      <c r="D176" s="2005"/>
      <c r="E176" s="2005"/>
      <c r="F176" s="2005"/>
      <c r="G176" s="2005"/>
      <c r="H176" s="2005"/>
      <c r="I176" s="2005"/>
      <c r="J176" s="2005"/>
      <c r="K176" s="2006"/>
      <c r="L176" s="2007"/>
      <c r="M176" s="2005"/>
      <c r="N176" s="2005"/>
      <c r="O176" s="2005"/>
      <c r="P176" s="2005"/>
      <c r="Q176" s="2005"/>
      <c r="R176" s="2005"/>
      <c r="S176" s="2005"/>
      <c r="T176" s="2005"/>
      <c r="U176" s="2005"/>
      <c r="V176" s="2005"/>
      <c r="W176" s="2005"/>
      <c r="X176" s="2005"/>
      <c r="Y176" s="2005"/>
      <c r="Z176" s="2005"/>
      <c r="AA176" s="2005"/>
      <c r="AB176" s="2005"/>
      <c r="AC176" s="2005"/>
    </row>
    <row r="177" s="1968" customFormat="1" spans="1:29">
      <c r="A177" s="2005"/>
      <c r="B177" s="2005"/>
      <c r="C177" s="2005"/>
      <c r="D177" s="2005"/>
      <c r="E177" s="2005"/>
      <c r="F177" s="2005"/>
      <c r="G177" s="2005"/>
      <c r="H177" s="2005"/>
      <c r="I177" s="2005"/>
      <c r="J177" s="2005"/>
      <c r="K177" s="2006"/>
      <c r="L177" s="2007"/>
      <c r="M177" s="2005"/>
      <c r="N177" s="2005"/>
      <c r="O177" s="2005"/>
      <c r="P177" s="2005"/>
      <c r="Q177" s="2005"/>
      <c r="R177" s="2005"/>
      <c r="S177" s="2005"/>
      <c r="T177" s="2005"/>
      <c r="U177" s="2005"/>
      <c r="V177" s="2005"/>
      <c r="W177" s="2005"/>
      <c r="X177" s="2005"/>
      <c r="Y177" s="2005"/>
      <c r="Z177" s="2005"/>
      <c r="AA177" s="2005"/>
      <c r="AB177" s="2005"/>
      <c r="AC177" s="2005"/>
    </row>
    <row r="178" s="1968" customFormat="1" spans="1:29">
      <c r="A178" s="2005"/>
      <c r="B178" s="2005"/>
      <c r="C178" s="2005"/>
      <c r="D178" s="2005"/>
      <c r="E178" s="2005"/>
      <c r="F178" s="2005"/>
      <c r="G178" s="2005"/>
      <c r="H178" s="2005"/>
      <c r="I178" s="2005"/>
      <c r="J178" s="2005"/>
      <c r="K178" s="2006"/>
      <c r="L178" s="2007"/>
      <c r="M178" s="2005"/>
      <c r="N178" s="2005"/>
      <c r="O178" s="2005"/>
      <c r="P178" s="2005"/>
      <c r="Q178" s="2005"/>
      <c r="R178" s="2005"/>
      <c r="S178" s="2005"/>
      <c r="T178" s="2005"/>
      <c r="U178" s="2005"/>
      <c r="V178" s="2005"/>
      <c r="W178" s="2005"/>
      <c r="X178" s="2005"/>
      <c r="Y178" s="2005"/>
      <c r="Z178" s="2005"/>
      <c r="AA178" s="2005"/>
      <c r="AB178" s="2005"/>
      <c r="AC178" s="2005"/>
    </row>
    <row r="179" s="1968" customFormat="1" spans="1:29">
      <c r="A179" s="2005"/>
      <c r="B179" s="2005"/>
      <c r="C179" s="2005"/>
      <c r="D179" s="2005"/>
      <c r="E179" s="2005"/>
      <c r="F179" s="2005"/>
      <c r="G179" s="2005"/>
      <c r="H179" s="2005"/>
      <c r="I179" s="2005"/>
      <c r="J179" s="2005"/>
      <c r="K179" s="2006"/>
      <c r="L179" s="2007"/>
      <c r="M179" s="2005"/>
      <c r="N179" s="2005"/>
      <c r="O179" s="2005"/>
      <c r="P179" s="2005"/>
      <c r="Q179" s="2005"/>
      <c r="R179" s="2005"/>
      <c r="S179" s="2005"/>
      <c r="T179" s="2005"/>
      <c r="U179" s="2005"/>
      <c r="V179" s="2005"/>
      <c r="W179" s="2005"/>
      <c r="X179" s="2005"/>
      <c r="Y179" s="2005"/>
      <c r="Z179" s="2005"/>
      <c r="AA179" s="2005"/>
      <c r="AB179" s="2005"/>
      <c r="AC179" s="2005"/>
    </row>
    <row r="180" s="1968" customFormat="1" spans="1:29">
      <c r="A180" s="2005"/>
      <c r="B180" s="2005"/>
      <c r="C180" s="2005"/>
      <c r="D180" s="2005"/>
      <c r="E180" s="2005"/>
      <c r="F180" s="2005"/>
      <c r="G180" s="2005"/>
      <c r="H180" s="2005"/>
      <c r="I180" s="2005"/>
      <c r="J180" s="2005"/>
      <c r="K180" s="2006"/>
      <c r="L180" s="2007"/>
      <c r="M180" s="2005"/>
      <c r="N180" s="2005"/>
      <c r="O180" s="2005"/>
      <c r="P180" s="2005"/>
      <c r="Q180" s="2005"/>
      <c r="R180" s="2005"/>
      <c r="S180" s="2005"/>
      <c r="T180" s="2005"/>
      <c r="U180" s="2005"/>
      <c r="V180" s="2005"/>
      <c r="W180" s="2005"/>
      <c r="X180" s="2005"/>
      <c r="Y180" s="2005"/>
      <c r="Z180" s="2005"/>
      <c r="AA180" s="2005"/>
      <c r="AB180" s="2005"/>
      <c r="AC180" s="2005"/>
    </row>
    <row r="181" s="1968" customFormat="1" spans="1:29">
      <c r="A181" s="2005"/>
      <c r="B181" s="2005"/>
      <c r="C181" s="2005"/>
      <c r="D181" s="2005"/>
      <c r="E181" s="2005"/>
      <c r="F181" s="2005"/>
      <c r="G181" s="2005"/>
      <c r="H181" s="2005"/>
      <c r="I181" s="2005"/>
      <c r="J181" s="2005"/>
      <c r="K181" s="2006"/>
      <c r="L181" s="2007"/>
      <c r="M181" s="2005"/>
      <c r="N181" s="2005"/>
      <c r="O181" s="2005"/>
      <c r="P181" s="2005"/>
      <c r="Q181" s="2005"/>
      <c r="R181" s="2005"/>
      <c r="S181" s="2005"/>
      <c r="T181" s="2005"/>
      <c r="U181" s="2005"/>
      <c r="V181" s="2005"/>
      <c r="W181" s="2005"/>
      <c r="X181" s="2005"/>
      <c r="Y181" s="2005"/>
      <c r="Z181" s="2005"/>
      <c r="AA181" s="2005"/>
      <c r="AB181" s="2005"/>
      <c r="AC181" s="2005"/>
    </row>
    <row r="182" s="1968" customFormat="1" spans="1:29">
      <c r="A182" s="2005"/>
      <c r="B182" s="2005"/>
      <c r="C182" s="2005"/>
      <c r="D182" s="2005"/>
      <c r="E182" s="2005"/>
      <c r="F182" s="2005"/>
      <c r="G182" s="2005"/>
      <c r="H182" s="2005"/>
      <c r="I182" s="2005"/>
      <c r="J182" s="2005"/>
      <c r="K182" s="2006"/>
      <c r="L182" s="2007"/>
      <c r="M182" s="2005"/>
      <c r="N182" s="2005"/>
      <c r="O182" s="2005"/>
      <c r="P182" s="2005"/>
      <c r="Q182" s="2005"/>
      <c r="R182" s="2005"/>
      <c r="S182" s="2005"/>
      <c r="T182" s="2005"/>
      <c r="U182" s="2005"/>
      <c r="V182" s="2005"/>
      <c r="W182" s="2005"/>
      <c r="X182" s="2005"/>
      <c r="Y182" s="2005"/>
      <c r="Z182" s="2005"/>
      <c r="AA182" s="2005"/>
      <c r="AB182" s="2005"/>
      <c r="AC182" s="2005"/>
    </row>
    <row r="183" s="1968" customFormat="1" spans="1:29">
      <c r="A183" s="2005"/>
      <c r="B183" s="2005"/>
      <c r="C183" s="2005"/>
      <c r="D183" s="2005"/>
      <c r="E183" s="2005"/>
      <c r="F183" s="2005"/>
      <c r="G183" s="2005"/>
      <c r="H183" s="2005"/>
      <c r="I183" s="2005"/>
      <c r="J183" s="2005"/>
      <c r="K183" s="2006"/>
      <c r="L183" s="2007"/>
      <c r="M183" s="2005"/>
      <c r="N183" s="2005"/>
      <c r="O183" s="2005"/>
      <c r="P183" s="2005"/>
      <c r="Q183" s="2005"/>
      <c r="R183" s="2005"/>
      <c r="S183" s="2005"/>
      <c r="T183" s="2005"/>
      <c r="U183" s="2005"/>
      <c r="V183" s="2005"/>
      <c r="W183" s="2005"/>
      <c r="X183" s="2005"/>
      <c r="Y183" s="2005"/>
      <c r="Z183" s="2005"/>
      <c r="AA183" s="2005"/>
      <c r="AB183" s="2005"/>
      <c r="AC183" s="2005"/>
    </row>
    <row r="184" s="1968" customFormat="1" spans="1:29">
      <c r="A184" s="2005"/>
      <c r="B184" s="2005"/>
      <c r="C184" s="2005"/>
      <c r="D184" s="2005"/>
      <c r="E184" s="2005"/>
      <c r="F184" s="2005"/>
      <c r="G184" s="2005"/>
      <c r="H184" s="2005"/>
      <c r="I184" s="2005"/>
      <c r="J184" s="2005"/>
      <c r="K184" s="2006"/>
      <c r="L184" s="2007"/>
      <c r="M184" s="2005"/>
      <c r="N184" s="2005"/>
      <c r="O184" s="2005"/>
      <c r="P184" s="2005"/>
      <c r="Q184" s="2005"/>
      <c r="R184" s="2005"/>
      <c r="S184" s="2005"/>
      <c r="T184" s="2005"/>
      <c r="U184" s="2005"/>
      <c r="V184" s="2005"/>
      <c r="W184" s="2005"/>
      <c r="X184" s="2005"/>
      <c r="Y184" s="2005"/>
      <c r="Z184" s="2005"/>
      <c r="AA184" s="2005"/>
      <c r="AB184" s="2005"/>
      <c r="AC184" s="2005"/>
    </row>
    <row r="185" s="1968" customFormat="1" spans="1:29">
      <c r="A185" s="2005"/>
      <c r="B185" s="2005"/>
      <c r="C185" s="2005"/>
      <c r="D185" s="2005"/>
      <c r="E185" s="2005"/>
      <c r="F185" s="2005"/>
      <c r="G185" s="2005"/>
      <c r="H185" s="2005"/>
      <c r="I185" s="2005"/>
      <c r="J185" s="2005"/>
      <c r="K185" s="2006"/>
      <c r="L185" s="2007"/>
      <c r="M185" s="2005"/>
      <c r="N185" s="2005"/>
      <c r="O185" s="2005"/>
      <c r="P185" s="2005"/>
      <c r="Q185" s="2005"/>
      <c r="R185" s="2005"/>
      <c r="S185" s="2005"/>
      <c r="T185" s="2005"/>
      <c r="U185" s="2005"/>
      <c r="V185" s="2005"/>
      <c r="W185" s="2005"/>
      <c r="X185" s="2005"/>
      <c r="Y185" s="2005"/>
      <c r="Z185" s="2005"/>
      <c r="AA185" s="2005"/>
      <c r="AB185" s="2005"/>
      <c r="AC185" s="2005"/>
    </row>
    <row r="186" s="1968" customFormat="1" spans="1:29">
      <c r="A186" s="2005"/>
      <c r="B186" s="2005"/>
      <c r="C186" s="2005"/>
      <c r="D186" s="2005"/>
      <c r="E186" s="2005"/>
      <c r="F186" s="2005"/>
      <c r="G186" s="2005"/>
      <c r="H186" s="2005"/>
      <c r="I186" s="2005"/>
      <c r="J186" s="2005"/>
      <c r="K186" s="2006"/>
      <c r="L186" s="2007"/>
      <c r="M186" s="2005"/>
      <c r="N186" s="2005"/>
      <c r="O186" s="2005"/>
      <c r="P186" s="2005"/>
      <c r="Q186" s="2005"/>
      <c r="R186" s="2005"/>
      <c r="S186" s="2005"/>
      <c r="T186" s="2005"/>
      <c r="U186" s="2005"/>
      <c r="V186" s="2005"/>
      <c r="W186" s="2005"/>
      <c r="X186" s="2005"/>
      <c r="Y186" s="2005"/>
      <c r="Z186" s="2005"/>
      <c r="AA186" s="2005"/>
      <c r="AB186" s="2005"/>
      <c r="AC186" s="2005"/>
    </row>
    <row r="187" s="1968" customFormat="1" spans="1:29">
      <c r="A187" s="2005"/>
      <c r="B187" s="2005"/>
      <c r="C187" s="2005"/>
      <c r="D187" s="2005"/>
      <c r="E187" s="2005"/>
      <c r="F187" s="2005"/>
      <c r="G187" s="2005"/>
      <c r="H187" s="2005"/>
      <c r="I187" s="2005"/>
      <c r="J187" s="2005"/>
      <c r="K187" s="2006"/>
      <c r="L187" s="2007"/>
      <c r="M187" s="2005"/>
      <c r="N187" s="2005"/>
      <c r="O187" s="2005"/>
      <c r="P187" s="2005"/>
      <c r="Q187" s="2005"/>
      <c r="R187" s="2005"/>
      <c r="S187" s="2005"/>
      <c r="T187" s="2005"/>
      <c r="U187" s="2005"/>
      <c r="V187" s="2005"/>
      <c r="W187" s="2005"/>
      <c r="X187" s="2005"/>
      <c r="Y187" s="2005"/>
      <c r="Z187" s="2005"/>
      <c r="AA187" s="2005"/>
      <c r="AB187" s="2005"/>
      <c r="AC187" s="2005"/>
    </row>
    <row r="188" s="1968" customFormat="1" spans="1:29">
      <c r="A188" s="2005"/>
      <c r="B188" s="2005"/>
      <c r="C188" s="2005"/>
      <c r="D188" s="2005"/>
      <c r="E188" s="2005"/>
      <c r="F188" s="2005"/>
      <c r="G188" s="2005"/>
      <c r="H188" s="2005"/>
      <c r="I188" s="2005"/>
      <c r="J188" s="2005"/>
      <c r="K188" s="2006"/>
      <c r="L188" s="2007"/>
      <c r="M188" s="2005"/>
      <c r="N188" s="2005"/>
      <c r="O188" s="2005"/>
      <c r="P188" s="2005"/>
      <c r="Q188" s="2005"/>
      <c r="R188" s="2005"/>
      <c r="S188" s="2005"/>
      <c r="T188" s="2005"/>
      <c r="U188" s="2005"/>
      <c r="V188" s="2005"/>
      <c r="W188" s="2005"/>
      <c r="X188" s="2005"/>
      <c r="Y188" s="2005"/>
      <c r="Z188" s="2005"/>
      <c r="AA188" s="2005"/>
      <c r="AB188" s="2005"/>
      <c r="AC188" s="2005"/>
    </row>
    <row r="189" s="1968" customFormat="1" spans="1:29">
      <c r="A189" s="2005"/>
      <c r="B189" s="2005"/>
      <c r="C189" s="2005"/>
      <c r="D189" s="2005"/>
      <c r="E189" s="2005"/>
      <c r="F189" s="2005"/>
      <c r="G189" s="2005"/>
      <c r="H189" s="2005"/>
      <c r="I189" s="2005"/>
      <c r="J189" s="2005"/>
      <c r="K189" s="2006"/>
      <c r="L189" s="2007"/>
      <c r="M189" s="2005"/>
      <c r="N189" s="2005"/>
      <c r="O189" s="2005"/>
      <c r="P189" s="2005"/>
      <c r="Q189" s="2005"/>
      <c r="R189" s="2005"/>
      <c r="S189" s="2005"/>
      <c r="T189" s="2005"/>
      <c r="U189" s="2005"/>
      <c r="V189" s="2005"/>
      <c r="W189" s="2005"/>
      <c r="X189" s="2005"/>
      <c r="Y189" s="2005"/>
      <c r="Z189" s="2005"/>
      <c r="AA189" s="2005"/>
      <c r="AB189" s="2005"/>
      <c r="AC189" s="2005"/>
    </row>
    <row r="190" s="1968" customFormat="1" spans="1:29">
      <c r="A190" s="2005"/>
      <c r="B190" s="2005"/>
      <c r="C190" s="2005"/>
      <c r="D190" s="2005"/>
      <c r="E190" s="2005"/>
      <c r="F190" s="2005"/>
      <c r="G190" s="2005"/>
      <c r="H190" s="2005"/>
      <c r="I190" s="2005"/>
      <c r="J190" s="2005"/>
      <c r="K190" s="2006"/>
      <c r="L190" s="2007"/>
      <c r="M190" s="2005"/>
      <c r="N190" s="2005"/>
      <c r="O190" s="2005"/>
      <c r="P190" s="2005"/>
      <c r="Q190" s="2005"/>
      <c r="R190" s="2005"/>
      <c r="S190" s="2005"/>
      <c r="T190" s="2005"/>
      <c r="U190" s="2005"/>
      <c r="V190" s="2005"/>
      <c r="W190" s="2005"/>
      <c r="X190" s="2005"/>
      <c r="Y190" s="2005"/>
      <c r="Z190" s="2005"/>
      <c r="AA190" s="2005"/>
      <c r="AB190" s="2005"/>
      <c r="AC190" s="2005"/>
    </row>
    <row r="191" s="1968" customFormat="1" spans="1:29">
      <c r="A191" s="2005"/>
      <c r="B191" s="2005"/>
      <c r="C191" s="2005"/>
      <c r="D191" s="2005"/>
      <c r="E191" s="2005"/>
      <c r="F191" s="2005"/>
      <c r="G191" s="2005"/>
      <c r="H191" s="2005"/>
      <c r="I191" s="2005"/>
      <c r="J191" s="2005"/>
      <c r="K191" s="2006"/>
      <c r="L191" s="2007"/>
      <c r="M191" s="2005"/>
      <c r="N191" s="2005"/>
      <c r="O191" s="2005"/>
      <c r="P191" s="2005"/>
      <c r="Q191" s="2005"/>
      <c r="R191" s="2005"/>
      <c r="S191" s="2005"/>
      <c r="T191" s="2005"/>
      <c r="U191" s="2005"/>
      <c r="V191" s="2005"/>
      <c r="W191" s="2005"/>
      <c r="X191" s="2005"/>
      <c r="Y191" s="2005"/>
      <c r="Z191" s="2005"/>
      <c r="AA191" s="2005"/>
      <c r="AB191" s="2005"/>
      <c r="AC191" s="2005"/>
    </row>
    <row r="192" s="1968" customFormat="1" spans="1:29">
      <c r="A192" s="2005"/>
      <c r="B192" s="2005"/>
      <c r="C192" s="2005"/>
      <c r="D192" s="2005"/>
      <c r="E192" s="2005"/>
      <c r="F192" s="2005"/>
      <c r="G192" s="2005"/>
      <c r="H192" s="2005"/>
      <c r="I192" s="2005"/>
      <c r="J192" s="2005"/>
      <c r="K192" s="2006"/>
      <c r="L192" s="2007"/>
      <c r="M192" s="2005"/>
      <c r="N192" s="2005"/>
      <c r="O192" s="2005"/>
      <c r="P192" s="2005"/>
      <c r="Q192" s="2005"/>
      <c r="R192" s="2005"/>
      <c r="S192" s="2005"/>
      <c r="T192" s="2005"/>
      <c r="U192" s="2005"/>
      <c r="V192" s="2005"/>
      <c r="W192" s="2005"/>
      <c r="X192" s="2005"/>
      <c r="Y192" s="2005"/>
      <c r="Z192" s="2005"/>
      <c r="AA192" s="2005"/>
      <c r="AB192" s="2005"/>
      <c r="AC192" s="2005"/>
    </row>
    <row r="193" s="1968" customFormat="1" spans="1:29">
      <c r="A193" s="2005"/>
      <c r="B193" s="2005"/>
      <c r="C193" s="2005"/>
      <c r="D193" s="2005"/>
      <c r="E193" s="2005"/>
      <c r="F193" s="2005"/>
      <c r="G193" s="2005"/>
      <c r="H193" s="2005"/>
      <c r="I193" s="2005"/>
      <c r="J193" s="2005"/>
      <c r="K193" s="2006"/>
      <c r="L193" s="2007"/>
      <c r="M193" s="2005"/>
      <c r="N193" s="2005"/>
      <c r="O193" s="2005"/>
      <c r="P193" s="2005"/>
      <c r="Q193" s="2005"/>
      <c r="R193" s="2005"/>
      <c r="S193" s="2005"/>
      <c r="T193" s="2005"/>
      <c r="U193" s="2005"/>
      <c r="V193" s="2005"/>
      <c r="W193" s="2005"/>
      <c r="X193" s="2005"/>
      <c r="Y193" s="2005"/>
      <c r="Z193" s="2005"/>
      <c r="AA193" s="2005"/>
      <c r="AB193" s="2005"/>
      <c r="AC193" s="2005"/>
    </row>
    <row r="194" s="1968" customFormat="1" spans="1:29">
      <c r="A194" s="2005"/>
      <c r="B194" s="2005"/>
      <c r="C194" s="2005"/>
      <c r="D194" s="2005"/>
      <c r="E194" s="2005"/>
      <c r="F194" s="2005"/>
      <c r="G194" s="2005"/>
      <c r="H194" s="2005"/>
      <c r="I194" s="2005"/>
      <c r="J194" s="2005"/>
      <c r="K194" s="2006"/>
      <c r="L194" s="2007"/>
      <c r="M194" s="2005"/>
      <c r="N194" s="2005"/>
      <c r="O194" s="2005"/>
      <c r="P194" s="2005"/>
      <c r="Q194" s="2005"/>
      <c r="R194" s="2005"/>
      <c r="S194" s="2005"/>
      <c r="T194" s="2005"/>
      <c r="U194" s="2005"/>
      <c r="V194" s="2005"/>
      <c r="W194" s="2005"/>
      <c r="X194" s="2005"/>
      <c r="Y194" s="2005"/>
      <c r="Z194" s="2005"/>
      <c r="AA194" s="2005"/>
      <c r="AB194" s="2005"/>
      <c r="AC194" s="2005"/>
    </row>
    <row r="195" s="1968" customFormat="1" spans="1:29">
      <c r="A195" s="2005"/>
      <c r="B195" s="2005"/>
      <c r="C195" s="2005"/>
      <c r="D195" s="2005"/>
      <c r="E195" s="2005"/>
      <c r="F195" s="2005"/>
      <c r="G195" s="2005"/>
      <c r="H195" s="2005"/>
      <c r="I195" s="2005"/>
      <c r="J195" s="2005"/>
      <c r="K195" s="2006"/>
      <c r="L195" s="2007"/>
      <c r="M195" s="2005"/>
      <c r="N195" s="2005"/>
      <c r="O195" s="2005"/>
      <c r="P195" s="2005"/>
      <c r="Q195" s="2005"/>
      <c r="R195" s="2005"/>
      <c r="S195" s="2005"/>
      <c r="T195" s="2005"/>
      <c r="U195" s="2005"/>
      <c r="V195" s="2005"/>
      <c r="W195" s="2005"/>
      <c r="X195" s="2005"/>
      <c r="Y195" s="2005"/>
      <c r="Z195" s="2005"/>
      <c r="AA195" s="2005"/>
      <c r="AB195" s="2005"/>
      <c r="AC195" s="2005"/>
    </row>
    <row r="196" s="1968" customFormat="1" spans="1:29">
      <c r="A196" s="2005"/>
      <c r="B196" s="2005"/>
      <c r="C196" s="2005"/>
      <c r="D196" s="2005"/>
      <c r="E196" s="2005"/>
      <c r="F196" s="2005"/>
      <c r="G196" s="2005"/>
      <c r="H196" s="2005"/>
      <c r="I196" s="2005"/>
      <c r="J196" s="2005"/>
      <c r="K196" s="2006"/>
      <c r="L196" s="2007"/>
      <c r="M196" s="2005"/>
      <c r="N196" s="2005"/>
      <c r="O196" s="2005"/>
      <c r="P196" s="2005"/>
      <c r="Q196" s="2005"/>
      <c r="R196" s="2005"/>
      <c r="S196" s="2005"/>
      <c r="T196" s="2005"/>
      <c r="U196" s="2005"/>
      <c r="V196" s="2005"/>
      <c r="W196" s="2005"/>
      <c r="X196" s="2005"/>
      <c r="Y196" s="2005"/>
      <c r="Z196" s="2005"/>
      <c r="AA196" s="2005"/>
      <c r="AB196" s="2005"/>
      <c r="AC196" s="2005"/>
    </row>
    <row r="197" s="1968" customFormat="1" spans="1:29">
      <c r="A197" s="2005"/>
      <c r="B197" s="2005"/>
      <c r="C197" s="2005"/>
      <c r="D197" s="2005"/>
      <c r="E197" s="2005"/>
      <c r="F197" s="2005"/>
      <c r="G197" s="2005"/>
      <c r="H197" s="2005"/>
      <c r="I197" s="2005"/>
      <c r="J197" s="2005"/>
      <c r="K197" s="2006"/>
      <c r="L197" s="2007"/>
      <c r="M197" s="2005"/>
      <c r="N197" s="2005"/>
      <c r="O197" s="2005"/>
      <c r="P197" s="2005"/>
      <c r="Q197" s="2005"/>
      <c r="R197" s="2005"/>
      <c r="S197" s="2005"/>
      <c r="T197" s="2005"/>
      <c r="U197" s="2005"/>
      <c r="V197" s="2005"/>
      <c r="W197" s="2005"/>
      <c r="X197" s="2005"/>
      <c r="Y197" s="2005"/>
      <c r="Z197" s="2005"/>
      <c r="AA197" s="2005"/>
      <c r="AB197" s="2005"/>
      <c r="AC197" s="2005"/>
    </row>
    <row r="198" s="1968" customFormat="1" spans="1:29">
      <c r="A198" s="2005"/>
      <c r="B198" s="2005"/>
      <c r="C198" s="2005"/>
      <c r="D198" s="2005"/>
      <c r="E198" s="2005"/>
      <c r="F198" s="2005"/>
      <c r="G198" s="2005"/>
      <c r="H198" s="2005"/>
      <c r="I198" s="2005"/>
      <c r="J198" s="2005"/>
      <c r="K198" s="2006"/>
      <c r="L198" s="2007"/>
      <c r="M198" s="2005"/>
      <c r="N198" s="2005"/>
      <c r="O198" s="2005"/>
      <c r="P198" s="2005"/>
      <c r="Q198" s="2005"/>
      <c r="R198" s="2005"/>
      <c r="S198" s="2005"/>
      <c r="T198" s="2005"/>
      <c r="U198" s="2005"/>
      <c r="V198" s="2005"/>
      <c r="W198" s="2005"/>
      <c r="X198" s="2005"/>
      <c r="Y198" s="2005"/>
      <c r="Z198" s="2005"/>
      <c r="AA198" s="2005"/>
      <c r="AB198" s="2005"/>
      <c r="AC198" s="2005"/>
    </row>
    <row r="199" s="1968" customFormat="1" spans="1:29">
      <c r="A199" s="2005"/>
      <c r="B199" s="2005"/>
      <c r="C199" s="2005"/>
      <c r="D199" s="2005"/>
      <c r="E199" s="2005"/>
      <c r="F199" s="2005"/>
      <c r="G199" s="2005"/>
      <c r="H199" s="2005"/>
      <c r="I199" s="2005"/>
      <c r="J199" s="2005"/>
      <c r="K199" s="2006"/>
      <c r="L199" s="2007"/>
      <c r="M199" s="2005"/>
      <c r="N199" s="2005"/>
      <c r="O199" s="2005"/>
      <c r="P199" s="2005"/>
      <c r="Q199" s="2005"/>
      <c r="R199" s="2005"/>
      <c r="S199" s="2005"/>
      <c r="T199" s="2005"/>
      <c r="U199" s="2005"/>
      <c r="V199" s="2005"/>
      <c r="W199" s="2005"/>
      <c r="X199" s="2005"/>
      <c r="Y199" s="2005"/>
      <c r="Z199" s="2005"/>
      <c r="AA199" s="2005"/>
      <c r="AB199" s="2005"/>
      <c r="AC199" s="2005"/>
    </row>
    <row r="200" s="1968" customFormat="1" spans="1:29">
      <c r="A200" s="2005"/>
      <c r="B200" s="2005"/>
      <c r="C200" s="2005"/>
      <c r="D200" s="2005"/>
      <c r="E200" s="2005"/>
      <c r="F200" s="2005"/>
      <c r="G200" s="2005"/>
      <c r="H200" s="2005"/>
      <c r="I200" s="2005"/>
      <c r="J200" s="2005"/>
      <c r="K200" s="2006"/>
      <c r="L200" s="2007"/>
      <c r="M200" s="2005"/>
      <c r="N200" s="2005"/>
      <c r="O200" s="2005"/>
      <c r="P200" s="2005"/>
      <c r="Q200" s="2005"/>
      <c r="R200" s="2005"/>
      <c r="S200" s="2005"/>
      <c r="T200" s="2005"/>
      <c r="U200" s="2005"/>
      <c r="V200" s="2005"/>
      <c r="W200" s="2005"/>
      <c r="X200" s="2005"/>
      <c r="Y200" s="2005"/>
      <c r="Z200" s="2005"/>
      <c r="AA200" s="2005"/>
      <c r="AB200" s="2005"/>
      <c r="AC200" s="2005"/>
    </row>
    <row r="201" s="1968" customFormat="1" spans="1:29">
      <c r="A201" s="2005"/>
      <c r="B201" s="2005"/>
      <c r="C201" s="2005"/>
      <c r="D201" s="2005"/>
      <c r="E201" s="2005"/>
      <c r="F201" s="2005"/>
      <c r="G201" s="2005"/>
      <c r="H201" s="2005"/>
      <c r="I201" s="2005"/>
      <c r="J201" s="2005"/>
      <c r="K201" s="2006"/>
      <c r="L201" s="2007"/>
      <c r="M201" s="2005"/>
      <c r="N201" s="2005"/>
      <c r="O201" s="2005"/>
      <c r="P201" s="2005"/>
      <c r="Q201" s="2005"/>
      <c r="R201" s="2005"/>
      <c r="S201" s="2005"/>
      <c r="T201" s="2005"/>
      <c r="U201" s="2005"/>
      <c r="V201" s="2005"/>
      <c r="W201" s="2005"/>
      <c r="X201" s="2005"/>
      <c r="Y201" s="2005"/>
      <c r="Z201" s="2005"/>
      <c r="AA201" s="2005"/>
      <c r="AB201" s="2005"/>
      <c r="AC201" s="2005"/>
    </row>
    <row r="202" s="1968" customFormat="1" spans="1:29">
      <c r="A202" s="2005"/>
      <c r="B202" s="2005"/>
      <c r="C202" s="2005"/>
      <c r="D202" s="2005"/>
      <c r="E202" s="2005"/>
      <c r="F202" s="2005"/>
      <c r="G202" s="2005"/>
      <c r="H202" s="2005"/>
      <c r="I202" s="2005"/>
      <c r="J202" s="2005"/>
      <c r="K202" s="2006"/>
      <c r="L202" s="2007"/>
      <c r="M202" s="2005"/>
      <c r="N202" s="2005"/>
      <c r="O202" s="2005"/>
      <c r="P202" s="2005"/>
      <c r="Q202" s="2005"/>
      <c r="R202" s="2005"/>
      <c r="S202" s="2005"/>
      <c r="T202" s="2005"/>
      <c r="U202" s="2005"/>
      <c r="V202" s="2005"/>
      <c r="W202" s="2005"/>
      <c r="X202" s="2005"/>
      <c r="Y202" s="2005"/>
      <c r="Z202" s="2005"/>
      <c r="AA202" s="2005"/>
      <c r="AB202" s="2005"/>
      <c r="AC202" s="2005"/>
    </row>
    <row r="203" s="1968" customFormat="1" spans="1:29">
      <c r="A203" s="2005"/>
      <c r="B203" s="2005"/>
      <c r="C203" s="2005"/>
      <c r="D203" s="2005"/>
      <c r="E203" s="2005"/>
      <c r="F203" s="2005"/>
      <c r="G203" s="2005"/>
      <c r="H203" s="2005"/>
      <c r="I203" s="2005"/>
      <c r="J203" s="2005"/>
      <c r="K203" s="2006"/>
      <c r="L203" s="2007"/>
      <c r="M203" s="2005"/>
      <c r="N203" s="2005"/>
      <c r="O203" s="2005"/>
      <c r="P203" s="2005"/>
      <c r="Q203" s="2005"/>
      <c r="R203" s="2005"/>
      <c r="S203" s="2005"/>
      <c r="T203" s="2005"/>
      <c r="U203" s="2005"/>
      <c r="V203" s="2005"/>
      <c r="W203" s="2005"/>
      <c r="X203" s="2005"/>
      <c r="Y203" s="2005"/>
      <c r="Z203" s="2005"/>
      <c r="AA203" s="2005"/>
      <c r="AB203" s="2005"/>
      <c r="AC203" s="2005"/>
    </row>
    <row r="204" s="1968" customFormat="1" spans="1:29">
      <c r="A204" s="2005"/>
      <c r="B204" s="2005"/>
      <c r="C204" s="2005"/>
      <c r="D204" s="2005"/>
      <c r="E204" s="2005"/>
      <c r="F204" s="2005"/>
      <c r="G204" s="2005"/>
      <c r="H204" s="2005"/>
      <c r="I204" s="2005"/>
      <c r="J204" s="2005"/>
      <c r="K204" s="2006"/>
      <c r="L204" s="2007"/>
      <c r="M204" s="2005"/>
      <c r="N204" s="2005"/>
      <c r="O204" s="2005"/>
      <c r="P204" s="2005"/>
      <c r="Q204" s="2005"/>
      <c r="R204" s="2005"/>
      <c r="S204" s="2005"/>
      <c r="T204" s="2005"/>
      <c r="U204" s="2005"/>
      <c r="V204" s="2005"/>
      <c r="W204" s="2005"/>
      <c r="X204" s="2005"/>
      <c r="Y204" s="2005"/>
      <c r="Z204" s="2005"/>
      <c r="AA204" s="2005"/>
      <c r="AB204" s="2005"/>
      <c r="AC204" s="2005"/>
    </row>
    <row r="205" s="1968" customFormat="1" spans="1:29">
      <c r="A205" s="2005"/>
      <c r="B205" s="2005"/>
      <c r="C205" s="2005"/>
      <c r="D205" s="2005"/>
      <c r="E205" s="2005"/>
      <c r="F205" s="2005"/>
      <c r="G205" s="2005"/>
      <c r="H205" s="2005"/>
      <c r="I205" s="2005"/>
      <c r="J205" s="2005"/>
      <c r="K205" s="2006"/>
      <c r="L205" s="2007"/>
      <c r="M205" s="2005"/>
      <c r="N205" s="2005"/>
      <c r="O205" s="2005"/>
      <c r="P205" s="2005"/>
      <c r="Q205" s="2005"/>
      <c r="R205" s="2005"/>
      <c r="S205" s="2005"/>
      <c r="T205" s="2005"/>
      <c r="U205" s="2005"/>
      <c r="V205" s="2005"/>
      <c r="W205" s="2005"/>
      <c r="X205" s="2005"/>
      <c r="Y205" s="2005"/>
      <c r="Z205" s="2005"/>
      <c r="AA205" s="2005"/>
      <c r="AB205" s="2005"/>
      <c r="AC205" s="2005"/>
    </row>
    <row r="206" s="1968" customFormat="1" spans="1:29">
      <c r="A206" s="2005"/>
      <c r="B206" s="2005"/>
      <c r="C206" s="2005"/>
      <c r="D206" s="2005"/>
      <c r="E206" s="2005"/>
      <c r="F206" s="2005"/>
      <c r="G206" s="2005"/>
      <c r="H206" s="2005"/>
      <c r="I206" s="2005"/>
      <c r="J206" s="2005"/>
      <c r="K206" s="2006"/>
      <c r="L206" s="2007"/>
      <c r="M206" s="2005"/>
      <c r="N206" s="2005"/>
      <c r="O206" s="2005"/>
      <c r="P206" s="2005"/>
      <c r="Q206" s="2005"/>
      <c r="R206" s="2005"/>
      <c r="S206" s="2005"/>
      <c r="T206" s="2005"/>
      <c r="U206" s="2005"/>
      <c r="V206" s="2005"/>
      <c r="W206" s="2005"/>
      <c r="X206" s="2005"/>
      <c r="Y206" s="2005"/>
      <c r="Z206" s="2005"/>
      <c r="AA206" s="2005"/>
      <c r="AB206" s="2005"/>
      <c r="AC206" s="2005"/>
    </row>
    <row r="207" s="1968" customFormat="1" spans="1:29">
      <c r="A207" s="2005"/>
      <c r="B207" s="2005"/>
      <c r="C207" s="2005"/>
      <c r="D207" s="2005"/>
      <c r="E207" s="2005"/>
      <c r="F207" s="2005"/>
      <c r="G207" s="2005"/>
      <c r="H207" s="2005"/>
      <c r="I207" s="2005"/>
      <c r="J207" s="2005"/>
      <c r="K207" s="2006"/>
      <c r="L207" s="2007"/>
      <c r="M207" s="2005"/>
      <c r="N207" s="2005"/>
      <c r="O207" s="2005"/>
      <c r="P207" s="2005"/>
      <c r="Q207" s="2005"/>
      <c r="R207" s="2005"/>
      <c r="S207" s="2005"/>
      <c r="T207" s="2005"/>
      <c r="U207" s="2005"/>
      <c r="V207" s="2005"/>
      <c r="W207" s="2005"/>
      <c r="X207" s="2005"/>
      <c r="Y207" s="2005"/>
      <c r="Z207" s="2005"/>
      <c r="AA207" s="2005"/>
      <c r="AB207" s="2005"/>
      <c r="AC207" s="2005"/>
    </row>
    <row r="208" s="1968" customFormat="1" spans="1:29">
      <c r="A208" s="2005"/>
      <c r="B208" s="2005"/>
      <c r="C208" s="2005"/>
      <c r="D208" s="2005"/>
      <c r="E208" s="2005"/>
      <c r="F208" s="2005"/>
      <c r="G208" s="2005"/>
      <c r="H208" s="2005"/>
      <c r="I208" s="2005"/>
      <c r="J208" s="2005"/>
      <c r="K208" s="2006"/>
      <c r="L208" s="2007"/>
      <c r="M208" s="2005"/>
      <c r="N208" s="2005"/>
      <c r="O208" s="2005"/>
      <c r="P208" s="2005"/>
      <c r="Q208" s="2005"/>
      <c r="R208" s="2005"/>
      <c r="S208" s="2005"/>
      <c r="T208" s="2005"/>
      <c r="U208" s="2005"/>
      <c r="V208" s="2005"/>
      <c r="W208" s="2005"/>
      <c r="X208" s="2005"/>
      <c r="Y208" s="2005"/>
      <c r="Z208" s="2005"/>
      <c r="AA208" s="2005"/>
      <c r="AB208" s="2005"/>
      <c r="AC208" s="2005"/>
    </row>
    <row r="209" s="1968" customFormat="1" spans="1:29">
      <c r="A209" s="2005"/>
      <c r="B209" s="2005"/>
      <c r="C209" s="2005"/>
      <c r="D209" s="2005"/>
      <c r="E209" s="2005"/>
      <c r="F209" s="2005"/>
      <c r="G209" s="2005"/>
      <c r="H209" s="2005"/>
      <c r="I209" s="2005"/>
      <c r="J209" s="2005"/>
      <c r="K209" s="2006"/>
      <c r="L209" s="2007"/>
      <c r="M209" s="2005"/>
      <c r="N209" s="2005"/>
      <c r="O209" s="2005"/>
      <c r="P209" s="2005"/>
      <c r="Q209" s="2005"/>
      <c r="R209" s="2005"/>
      <c r="S209" s="2005"/>
      <c r="T209" s="2005"/>
      <c r="U209" s="2005"/>
      <c r="V209" s="2005"/>
      <c r="W209" s="2005"/>
      <c r="X209" s="2005"/>
      <c r="Y209" s="2005"/>
      <c r="Z209" s="2005"/>
      <c r="AA209" s="2005"/>
      <c r="AB209" s="2005"/>
      <c r="AC209" s="2005"/>
    </row>
    <row r="210" s="1968" customFormat="1" spans="1:29">
      <c r="A210" s="2005"/>
      <c r="B210" s="2005"/>
      <c r="C210" s="2005"/>
      <c r="D210" s="2005"/>
      <c r="E210" s="2005"/>
      <c r="F210" s="2005"/>
      <c r="G210" s="2005"/>
      <c r="H210" s="2005"/>
      <c r="I210" s="2005"/>
      <c r="J210" s="2005"/>
      <c r="K210" s="2006"/>
      <c r="L210" s="2007"/>
      <c r="M210" s="2005"/>
      <c r="N210" s="2005"/>
      <c r="O210" s="2005"/>
      <c r="P210" s="2005"/>
      <c r="Q210" s="2005"/>
      <c r="R210" s="2005"/>
      <c r="S210" s="2005"/>
      <c r="T210" s="2005"/>
      <c r="U210" s="2005"/>
      <c r="V210" s="2005"/>
      <c r="W210" s="2005"/>
      <c r="X210" s="2005"/>
      <c r="Y210" s="2005"/>
      <c r="Z210" s="2005"/>
      <c r="AA210" s="2005"/>
      <c r="AB210" s="2005"/>
      <c r="AC210" s="2005"/>
    </row>
    <row r="211" s="1968" customFormat="1" spans="1:29">
      <c r="A211" s="2005"/>
      <c r="B211" s="2005"/>
      <c r="C211" s="2005"/>
      <c r="D211" s="2005"/>
      <c r="E211" s="2005"/>
      <c r="F211" s="2005"/>
      <c r="G211" s="2005"/>
      <c r="H211" s="2005"/>
      <c r="I211" s="2005"/>
      <c r="J211" s="2005"/>
      <c r="K211" s="2006"/>
      <c r="L211" s="2007"/>
      <c r="M211" s="2005"/>
      <c r="N211" s="2005"/>
      <c r="O211" s="2005"/>
      <c r="P211" s="2005"/>
      <c r="Q211" s="2005"/>
      <c r="R211" s="2005"/>
      <c r="S211" s="2005"/>
      <c r="T211" s="2005"/>
      <c r="U211" s="2005"/>
      <c r="V211" s="2005"/>
      <c r="W211" s="2005"/>
      <c r="X211" s="2005"/>
      <c r="Y211" s="2005"/>
      <c r="Z211" s="2005"/>
      <c r="AA211" s="2005"/>
      <c r="AB211" s="2005"/>
      <c r="AC211" s="2005"/>
    </row>
    <row r="212" s="1968" customFormat="1" spans="1:29">
      <c r="A212" s="2005"/>
      <c r="B212" s="2005"/>
      <c r="C212" s="2005"/>
      <c r="D212" s="2005"/>
      <c r="E212" s="2005"/>
      <c r="F212" s="2005"/>
      <c r="G212" s="2005"/>
      <c r="H212" s="2005"/>
      <c r="I212" s="2005"/>
      <c r="J212" s="2005"/>
      <c r="K212" s="2006"/>
      <c r="L212" s="2007"/>
      <c r="M212" s="2005"/>
      <c r="N212" s="2005"/>
      <c r="O212" s="2005"/>
      <c r="P212" s="2005"/>
      <c r="Q212" s="2005"/>
      <c r="R212" s="2005"/>
      <c r="S212" s="2005"/>
      <c r="T212" s="2005"/>
      <c r="U212" s="2005"/>
      <c r="V212" s="2005"/>
      <c r="W212" s="2005"/>
      <c r="X212" s="2005"/>
      <c r="Y212" s="2005"/>
      <c r="Z212" s="2005"/>
      <c r="AA212" s="2005"/>
      <c r="AB212" s="2005"/>
      <c r="AC212" s="2005"/>
    </row>
    <row r="213" s="1968" customFormat="1" spans="1:29">
      <c r="A213" s="2005"/>
      <c r="B213" s="2005"/>
      <c r="C213" s="2005"/>
      <c r="D213" s="2005"/>
      <c r="E213" s="2005"/>
      <c r="F213" s="2005"/>
      <c r="G213" s="2005"/>
      <c r="H213" s="2005"/>
      <c r="I213" s="2005"/>
      <c r="J213" s="2005"/>
      <c r="K213" s="2006"/>
      <c r="L213" s="2007"/>
      <c r="M213" s="2005"/>
      <c r="N213" s="2005"/>
      <c r="O213" s="2005"/>
      <c r="P213" s="2005"/>
      <c r="Q213" s="2005"/>
      <c r="R213" s="2005"/>
      <c r="S213" s="2005"/>
      <c r="T213" s="2005"/>
      <c r="U213" s="2005"/>
      <c r="V213" s="2005"/>
      <c r="W213" s="2005"/>
      <c r="X213" s="2005"/>
      <c r="Y213" s="2005"/>
      <c r="Z213" s="2005"/>
      <c r="AA213" s="2005"/>
      <c r="AB213" s="2005"/>
      <c r="AC213" s="2005"/>
    </row>
    <row r="214" s="1968" customFormat="1" spans="1:29">
      <c r="A214" s="2005"/>
      <c r="B214" s="2005"/>
      <c r="C214" s="2005"/>
      <c r="D214" s="2005"/>
      <c r="E214" s="2005"/>
      <c r="F214" s="2005"/>
      <c r="G214" s="2005"/>
      <c r="H214" s="2005"/>
      <c r="I214" s="2005"/>
      <c r="J214" s="2005"/>
      <c r="K214" s="2006"/>
      <c r="L214" s="2007"/>
      <c r="M214" s="2005"/>
      <c r="N214" s="2005"/>
      <c r="O214" s="2005"/>
      <c r="P214" s="2005"/>
      <c r="Q214" s="2005"/>
      <c r="R214" s="2005"/>
      <c r="S214" s="2005"/>
      <c r="T214" s="2005"/>
      <c r="U214" s="2005"/>
      <c r="V214" s="2005"/>
      <c r="W214" s="2005"/>
      <c r="X214" s="2005"/>
      <c r="Y214" s="2005"/>
      <c r="Z214" s="2005"/>
      <c r="AA214" s="2005"/>
      <c r="AB214" s="2005"/>
      <c r="AC214" s="2005"/>
    </row>
    <row r="215" s="1968" customFormat="1" spans="1:29">
      <c r="A215" s="2005"/>
      <c r="B215" s="2005"/>
      <c r="C215" s="2005"/>
      <c r="D215" s="2005"/>
      <c r="E215" s="2005"/>
      <c r="F215" s="2005"/>
      <c r="G215" s="2005"/>
      <c r="H215" s="2005"/>
      <c r="I215" s="2005"/>
      <c r="J215" s="2005"/>
      <c r="K215" s="2006"/>
      <c r="L215" s="2007"/>
      <c r="M215" s="2005"/>
      <c r="N215" s="2005"/>
      <c r="O215" s="2005"/>
      <c r="P215" s="2005"/>
      <c r="Q215" s="2005"/>
      <c r="R215" s="2005"/>
      <c r="S215" s="2005"/>
      <c r="T215" s="2005"/>
      <c r="U215" s="2005"/>
      <c r="V215" s="2005"/>
      <c r="W215" s="2005"/>
      <c r="X215" s="2005"/>
      <c r="Y215" s="2005"/>
      <c r="Z215" s="2005"/>
      <c r="AA215" s="2005"/>
      <c r="AB215" s="2005"/>
      <c r="AC215" s="2005"/>
    </row>
    <row r="216" s="1968" customFormat="1" spans="1:29">
      <c r="A216" s="2005"/>
      <c r="B216" s="2005"/>
      <c r="C216" s="2005"/>
      <c r="D216" s="2005"/>
      <c r="E216" s="2005"/>
      <c r="F216" s="2005"/>
      <c r="G216" s="2005"/>
      <c r="H216" s="2005"/>
      <c r="I216" s="2005"/>
      <c r="J216" s="2005"/>
      <c r="K216" s="2006"/>
      <c r="L216" s="2007"/>
      <c r="M216" s="2005"/>
      <c r="N216" s="2005"/>
      <c r="O216" s="2005"/>
      <c r="P216" s="2005"/>
      <c r="Q216" s="2005"/>
      <c r="R216" s="2005"/>
      <c r="S216" s="2005"/>
      <c r="T216" s="2005"/>
      <c r="U216" s="2005"/>
      <c r="V216" s="2005"/>
      <c r="W216" s="2005"/>
      <c r="X216" s="2005"/>
      <c r="Y216" s="2005"/>
      <c r="Z216" s="2005"/>
      <c r="AA216" s="2005"/>
      <c r="AB216" s="2005"/>
      <c r="AC216" s="2005"/>
    </row>
    <row r="217" s="1968" customFormat="1" spans="1:29">
      <c r="A217" s="2005"/>
      <c r="B217" s="2005"/>
      <c r="C217" s="2005"/>
      <c r="D217" s="2005"/>
      <c r="E217" s="2005"/>
      <c r="F217" s="2005"/>
      <c r="G217" s="2005"/>
      <c r="H217" s="2005"/>
      <c r="I217" s="2005"/>
      <c r="J217" s="2005"/>
      <c r="K217" s="2006"/>
      <c r="L217" s="2007"/>
      <c r="M217" s="2005"/>
      <c r="N217" s="2005"/>
      <c r="O217" s="2005"/>
      <c r="P217" s="2005"/>
      <c r="Q217" s="2005"/>
      <c r="R217" s="2005"/>
      <c r="S217" s="2005"/>
      <c r="T217" s="2005"/>
      <c r="U217" s="2005"/>
      <c r="V217" s="2005"/>
      <c r="W217" s="2005"/>
      <c r="X217" s="2005"/>
      <c r="Y217" s="2005"/>
      <c r="Z217" s="2005"/>
      <c r="AA217" s="2005"/>
      <c r="AB217" s="2005"/>
      <c r="AC217" s="2005"/>
    </row>
    <row r="218" s="1968" customFormat="1" spans="1:29">
      <c r="A218" s="2005"/>
      <c r="B218" s="2005"/>
      <c r="C218" s="2005"/>
      <c r="D218" s="2005"/>
      <c r="E218" s="2005"/>
      <c r="F218" s="2005"/>
      <c r="G218" s="2005"/>
      <c r="H218" s="2005"/>
      <c r="I218" s="2005"/>
      <c r="J218" s="2005"/>
      <c r="K218" s="2006"/>
      <c r="L218" s="2007"/>
      <c r="M218" s="2005"/>
      <c r="N218" s="2005"/>
      <c r="O218" s="2005"/>
      <c r="P218" s="2005"/>
      <c r="Q218" s="2005"/>
      <c r="R218" s="2005"/>
      <c r="S218" s="2005"/>
      <c r="T218" s="2005"/>
      <c r="U218" s="2005"/>
      <c r="V218" s="2005"/>
      <c r="W218" s="2005"/>
      <c r="X218" s="2005"/>
      <c r="Y218" s="2005"/>
      <c r="Z218" s="2005"/>
      <c r="AA218" s="2005"/>
      <c r="AB218" s="2005"/>
      <c r="AC218" s="2005"/>
    </row>
    <row r="219" s="1968" customFormat="1" spans="1:29">
      <c r="A219" s="2005"/>
      <c r="B219" s="2005"/>
      <c r="C219" s="2005"/>
      <c r="D219" s="2005"/>
      <c r="E219" s="2005"/>
      <c r="F219" s="2005"/>
      <c r="G219" s="2005"/>
      <c r="H219" s="2005"/>
      <c r="I219" s="2005"/>
      <c r="J219" s="2005"/>
      <c r="K219" s="2006"/>
      <c r="L219" s="2007"/>
      <c r="M219" s="2005"/>
      <c r="N219" s="2005"/>
      <c r="O219" s="2005"/>
      <c r="P219" s="2005"/>
      <c r="Q219" s="2005"/>
      <c r="R219" s="2005"/>
      <c r="S219" s="2005"/>
      <c r="T219" s="2005"/>
      <c r="U219" s="2005"/>
      <c r="V219" s="2005"/>
      <c r="W219" s="2005"/>
      <c r="X219" s="2005"/>
      <c r="Y219" s="2005"/>
      <c r="Z219" s="2005"/>
      <c r="AA219" s="2005"/>
      <c r="AB219" s="2005"/>
      <c r="AC219" s="2005"/>
    </row>
    <row r="220" s="1968" customFormat="1" spans="1:29">
      <c r="A220" s="2005"/>
      <c r="B220" s="2005"/>
      <c r="C220" s="2005"/>
      <c r="D220" s="2005"/>
      <c r="E220" s="2005"/>
      <c r="F220" s="2005"/>
      <c r="G220" s="2005"/>
      <c r="H220" s="2005"/>
      <c r="I220" s="2005"/>
      <c r="J220" s="2005"/>
      <c r="K220" s="2006"/>
      <c r="L220" s="2007"/>
      <c r="M220" s="2005"/>
      <c r="N220" s="2005"/>
      <c r="O220" s="2005"/>
      <c r="P220" s="2005"/>
      <c r="Q220" s="2005"/>
      <c r="R220" s="2005"/>
      <c r="S220" s="2005"/>
      <c r="T220" s="2005"/>
      <c r="U220" s="2005"/>
      <c r="V220" s="2005"/>
      <c r="W220" s="2005"/>
      <c r="X220" s="2005"/>
      <c r="Y220" s="2005"/>
      <c r="Z220" s="2005"/>
      <c r="AA220" s="2005"/>
      <c r="AB220" s="2005"/>
      <c r="AC220" s="2005"/>
    </row>
    <row r="221" s="1968" customFormat="1" spans="1:29">
      <c r="A221" s="2005"/>
      <c r="B221" s="2005"/>
      <c r="C221" s="2005"/>
      <c r="D221" s="2005"/>
      <c r="E221" s="2005"/>
      <c r="F221" s="2005"/>
      <c r="G221" s="2005"/>
      <c r="H221" s="2005"/>
      <c r="I221" s="2005"/>
      <c r="J221" s="2005"/>
      <c r="K221" s="2006"/>
      <c r="L221" s="2007"/>
      <c r="M221" s="2005"/>
      <c r="N221" s="2005"/>
      <c r="O221" s="2005"/>
      <c r="P221" s="2005"/>
      <c r="Q221" s="2005"/>
      <c r="R221" s="2005"/>
      <c r="S221" s="2005"/>
      <c r="T221" s="2005"/>
      <c r="U221" s="2005"/>
      <c r="V221" s="2005"/>
      <c r="W221" s="2005"/>
      <c r="X221" s="2005"/>
      <c r="Y221" s="2005"/>
      <c r="Z221" s="2005"/>
      <c r="AA221" s="2005"/>
      <c r="AB221" s="2005"/>
      <c r="AC221" s="2005"/>
    </row>
    <row r="222" s="1968" customFormat="1" spans="1:29">
      <c r="A222" s="2005"/>
      <c r="B222" s="2005"/>
      <c r="C222" s="2005"/>
      <c r="D222" s="2005"/>
      <c r="E222" s="2005"/>
      <c r="F222" s="2005"/>
      <c r="G222" s="2005"/>
      <c r="H222" s="2005"/>
      <c r="I222" s="2005"/>
      <c r="J222" s="2005"/>
      <c r="K222" s="2006"/>
      <c r="L222" s="2007"/>
      <c r="M222" s="2005"/>
      <c r="N222" s="2005"/>
      <c r="O222" s="2005"/>
      <c r="P222" s="2005"/>
      <c r="Q222" s="2005"/>
      <c r="R222" s="2005"/>
      <c r="S222" s="2005"/>
      <c r="T222" s="2005"/>
      <c r="U222" s="2005"/>
      <c r="V222" s="2005"/>
      <c r="W222" s="2005"/>
      <c r="X222" s="2005"/>
      <c r="Y222" s="2005"/>
      <c r="Z222" s="2005"/>
      <c r="AA222" s="2005"/>
      <c r="AB222" s="2005"/>
      <c r="AC222" s="2005"/>
    </row>
    <row r="223" s="1968" customFormat="1" spans="1:29">
      <c r="A223" s="2005"/>
      <c r="B223" s="2005"/>
      <c r="C223" s="2005"/>
      <c r="D223" s="2005"/>
      <c r="E223" s="2005"/>
      <c r="F223" s="2005"/>
      <c r="G223" s="2005"/>
      <c r="H223" s="2005"/>
      <c r="I223" s="2005"/>
      <c r="J223" s="2005"/>
      <c r="K223" s="2006"/>
      <c r="L223" s="2007"/>
      <c r="M223" s="2005"/>
      <c r="N223" s="2005"/>
      <c r="O223" s="2005"/>
      <c r="P223" s="2005"/>
      <c r="Q223" s="2005"/>
      <c r="R223" s="2005"/>
      <c r="S223" s="2005"/>
      <c r="T223" s="2005"/>
      <c r="U223" s="2005"/>
      <c r="V223" s="2005"/>
      <c r="W223" s="2005"/>
      <c r="X223" s="2005"/>
      <c r="Y223" s="2005"/>
      <c r="Z223" s="2005"/>
      <c r="AA223" s="2005"/>
      <c r="AB223" s="2005"/>
      <c r="AC223" s="2005"/>
    </row>
    <row r="224" s="1968" customFormat="1" spans="1:29">
      <c r="A224" s="2005"/>
      <c r="B224" s="2005"/>
      <c r="C224" s="2005"/>
      <c r="D224" s="2005"/>
      <c r="E224" s="2005"/>
      <c r="F224" s="2005"/>
      <c r="G224" s="2005"/>
      <c r="H224" s="2005"/>
      <c r="I224" s="2005"/>
      <c r="J224" s="2005"/>
      <c r="K224" s="2006"/>
      <c r="L224" s="2007"/>
      <c r="M224" s="2005"/>
      <c r="N224" s="2005"/>
      <c r="O224" s="2005"/>
      <c r="P224" s="2005"/>
      <c r="Q224" s="2005"/>
      <c r="R224" s="2005"/>
      <c r="S224" s="2005"/>
      <c r="T224" s="2005"/>
      <c r="U224" s="2005"/>
      <c r="V224" s="2005"/>
      <c r="W224" s="2005"/>
      <c r="X224" s="2005"/>
      <c r="Y224" s="2005"/>
      <c r="Z224" s="2005"/>
      <c r="AA224" s="2005"/>
      <c r="AB224" s="2005"/>
      <c r="AC224" s="2005"/>
    </row>
    <row r="225" s="1968" customFormat="1" spans="1:29">
      <c r="A225" s="2005"/>
      <c r="B225" s="2005"/>
      <c r="C225" s="2005"/>
      <c r="D225" s="2005"/>
      <c r="E225" s="2005"/>
      <c r="F225" s="2005"/>
      <c r="G225" s="2005"/>
      <c r="H225" s="2005"/>
      <c r="I225" s="2005"/>
      <c r="J225" s="2005"/>
      <c r="K225" s="2006"/>
      <c r="L225" s="2007"/>
      <c r="M225" s="2005"/>
      <c r="N225" s="2005"/>
      <c r="O225" s="2005"/>
      <c r="P225" s="2005"/>
      <c r="Q225" s="2005"/>
      <c r="R225" s="2005"/>
      <c r="S225" s="2005"/>
      <c r="T225" s="2005"/>
      <c r="U225" s="2005"/>
      <c r="V225" s="2005"/>
      <c r="W225" s="2005"/>
      <c r="X225" s="2005"/>
      <c r="Y225" s="2005"/>
      <c r="Z225" s="2005"/>
      <c r="AA225" s="2005"/>
      <c r="AB225" s="2005"/>
      <c r="AC225" s="2005"/>
    </row>
    <row r="226" s="1968" customFormat="1" spans="1:29">
      <c r="A226" s="2005"/>
      <c r="B226" s="2005"/>
      <c r="C226" s="2005"/>
      <c r="D226" s="2005"/>
      <c r="E226" s="2005"/>
      <c r="F226" s="2005"/>
      <c r="G226" s="2005"/>
      <c r="H226" s="2005"/>
      <c r="I226" s="2005"/>
      <c r="J226" s="2005"/>
      <c r="K226" s="2006"/>
      <c r="L226" s="2007"/>
      <c r="M226" s="2005"/>
      <c r="N226" s="2005"/>
      <c r="O226" s="2005"/>
      <c r="P226" s="2005"/>
      <c r="Q226" s="2005"/>
      <c r="R226" s="2005"/>
      <c r="S226" s="2005"/>
      <c r="T226" s="2005"/>
      <c r="U226" s="2005"/>
      <c r="V226" s="2005"/>
      <c r="W226" s="2005"/>
      <c r="X226" s="2005"/>
      <c r="Y226" s="2005"/>
      <c r="Z226" s="2005"/>
      <c r="AA226" s="2005"/>
      <c r="AB226" s="2005"/>
      <c r="AC226" s="2005"/>
    </row>
    <row r="227" s="1968" customFormat="1" spans="1:29">
      <c r="A227" s="2005"/>
      <c r="B227" s="2005"/>
      <c r="C227" s="2005"/>
      <c r="D227" s="2005"/>
      <c r="E227" s="2005"/>
      <c r="F227" s="2005"/>
      <c r="G227" s="2005"/>
      <c r="H227" s="2005"/>
      <c r="I227" s="2005"/>
      <c r="J227" s="2005"/>
      <c r="K227" s="2006"/>
      <c r="L227" s="2007"/>
      <c r="M227" s="2005"/>
      <c r="N227" s="2005"/>
      <c r="O227" s="2005"/>
      <c r="P227" s="2005"/>
      <c r="Q227" s="2005"/>
      <c r="R227" s="2005"/>
      <c r="S227" s="2005"/>
      <c r="T227" s="2005"/>
      <c r="U227" s="2005"/>
      <c r="V227" s="2005"/>
      <c r="W227" s="2005"/>
      <c r="X227" s="2005"/>
      <c r="Y227" s="2005"/>
      <c r="Z227" s="2005"/>
      <c r="AA227" s="2005"/>
      <c r="AB227" s="2005"/>
      <c r="AC227" s="2005"/>
    </row>
    <row r="228" s="1968" customFormat="1" spans="1:29">
      <c r="A228" s="2005"/>
      <c r="B228" s="2005"/>
      <c r="C228" s="2005"/>
      <c r="D228" s="2005"/>
      <c r="E228" s="2005"/>
      <c r="F228" s="2005"/>
      <c r="G228" s="2005"/>
      <c r="H228" s="2005"/>
      <c r="I228" s="2005"/>
      <c r="J228" s="2005"/>
      <c r="K228" s="2006"/>
      <c r="L228" s="2007"/>
      <c r="M228" s="2005"/>
      <c r="N228" s="2005"/>
      <c r="O228" s="2005"/>
      <c r="P228" s="2005"/>
      <c r="Q228" s="2005"/>
      <c r="R228" s="2005"/>
      <c r="S228" s="2005"/>
      <c r="T228" s="2005"/>
      <c r="U228" s="2005"/>
      <c r="V228" s="2005"/>
      <c r="W228" s="2005"/>
      <c r="X228" s="2005"/>
      <c r="Y228" s="2005"/>
      <c r="Z228" s="2005"/>
      <c r="AA228" s="2005"/>
      <c r="AB228" s="2005"/>
      <c r="AC228" s="2005"/>
    </row>
    <row r="229" s="1968" customFormat="1" spans="1:29">
      <c r="A229" s="2005"/>
      <c r="B229" s="2005"/>
      <c r="C229" s="2005"/>
      <c r="D229" s="2005"/>
      <c r="E229" s="2005"/>
      <c r="F229" s="2005"/>
      <c r="G229" s="2005"/>
      <c r="H229" s="2005"/>
      <c r="I229" s="2005"/>
      <c r="J229" s="2005"/>
      <c r="K229" s="2006"/>
      <c r="L229" s="2007"/>
      <c r="M229" s="2005"/>
      <c r="N229" s="2005"/>
      <c r="O229" s="2005"/>
      <c r="P229" s="2005"/>
      <c r="Q229" s="2005"/>
      <c r="R229" s="2005"/>
      <c r="S229" s="2005"/>
      <c r="T229" s="2005"/>
      <c r="U229" s="2005"/>
      <c r="V229" s="2005"/>
      <c r="W229" s="2005"/>
      <c r="X229" s="2005"/>
      <c r="Y229" s="2005"/>
      <c r="Z229" s="2005"/>
      <c r="AA229" s="2005"/>
      <c r="AB229" s="2005"/>
      <c r="AC229" s="2005"/>
    </row>
    <row r="230" s="1968" customFormat="1" spans="1:29">
      <c r="A230" s="2005"/>
      <c r="B230" s="2005"/>
      <c r="C230" s="2005"/>
      <c r="D230" s="2005"/>
      <c r="E230" s="2005"/>
      <c r="F230" s="2005"/>
      <c r="G230" s="2005"/>
      <c r="H230" s="2005"/>
      <c r="I230" s="2005"/>
      <c r="J230" s="2005"/>
      <c r="K230" s="2006"/>
      <c r="L230" s="2007"/>
      <c r="M230" s="2005"/>
      <c r="N230" s="2005"/>
      <c r="O230" s="2005"/>
      <c r="P230" s="2005"/>
      <c r="Q230" s="2005"/>
      <c r="R230" s="2005"/>
      <c r="S230" s="2005"/>
      <c r="T230" s="2005"/>
      <c r="U230" s="2005"/>
      <c r="V230" s="2005"/>
      <c r="W230" s="2005"/>
      <c r="X230" s="2005"/>
      <c r="Y230" s="2005"/>
      <c r="Z230" s="2005"/>
      <c r="AA230" s="2005"/>
      <c r="AB230" s="2005"/>
      <c r="AC230" s="2005"/>
    </row>
    <row r="231" s="1968" customFormat="1" spans="1:29">
      <c r="A231" s="2005"/>
      <c r="B231" s="2005"/>
      <c r="C231" s="2005"/>
      <c r="D231" s="2005"/>
      <c r="E231" s="2005"/>
      <c r="F231" s="2005"/>
      <c r="G231" s="2005"/>
      <c r="H231" s="2005"/>
      <c r="I231" s="2005"/>
      <c r="J231" s="2005"/>
      <c r="K231" s="2006"/>
      <c r="L231" s="2007"/>
      <c r="M231" s="2005"/>
      <c r="N231" s="2005"/>
      <c r="O231" s="2005"/>
      <c r="P231" s="2005"/>
      <c r="Q231" s="2005"/>
      <c r="R231" s="2005"/>
      <c r="S231" s="2005"/>
      <c r="T231" s="2005"/>
      <c r="U231" s="2005"/>
      <c r="V231" s="2005"/>
      <c r="W231" s="2005"/>
      <c r="X231" s="2005"/>
      <c r="Y231" s="2005"/>
      <c r="Z231" s="2005"/>
      <c r="AA231" s="2005"/>
      <c r="AB231" s="2005"/>
      <c r="AC231" s="2005"/>
    </row>
    <row r="232" s="1968" customFormat="1" spans="1:29">
      <c r="A232" s="2005"/>
      <c r="B232" s="2005"/>
      <c r="C232" s="2005"/>
      <c r="D232" s="2005"/>
      <c r="E232" s="2005"/>
      <c r="F232" s="2005"/>
      <c r="G232" s="2005"/>
      <c r="H232" s="2005"/>
      <c r="I232" s="2005"/>
      <c r="J232" s="2005"/>
      <c r="K232" s="2006"/>
      <c r="L232" s="2007"/>
      <c r="M232" s="2005"/>
      <c r="N232" s="2005"/>
      <c r="O232" s="2005"/>
      <c r="P232" s="2005"/>
      <c r="Q232" s="2005"/>
      <c r="R232" s="2005"/>
      <c r="S232" s="2005"/>
      <c r="T232" s="2005"/>
      <c r="U232" s="2005"/>
      <c r="V232" s="2005"/>
      <c r="W232" s="2005"/>
      <c r="X232" s="2005"/>
      <c r="Y232" s="2005"/>
      <c r="Z232" s="2005"/>
      <c r="AA232" s="2005"/>
      <c r="AB232" s="2005"/>
      <c r="AC232" s="2005"/>
    </row>
    <row r="233" s="1968" customFormat="1" spans="1:29">
      <c r="A233" s="2005"/>
      <c r="B233" s="2005"/>
      <c r="C233" s="2005"/>
      <c r="D233" s="2005"/>
      <c r="E233" s="2005"/>
      <c r="F233" s="2005"/>
      <c r="G233" s="2005"/>
      <c r="H233" s="2005"/>
      <c r="I233" s="2005"/>
      <c r="J233" s="2005"/>
      <c r="K233" s="2006"/>
      <c r="L233" s="2007"/>
      <c r="M233" s="2005"/>
      <c r="N233" s="2005"/>
      <c r="O233" s="2005"/>
      <c r="P233" s="2005"/>
      <c r="Q233" s="2005"/>
      <c r="R233" s="2005"/>
      <c r="S233" s="2005"/>
      <c r="T233" s="2005"/>
      <c r="U233" s="2005"/>
      <c r="V233" s="2005"/>
      <c r="W233" s="2005"/>
      <c r="X233" s="2005"/>
      <c r="Y233" s="2005"/>
      <c r="Z233" s="2005"/>
      <c r="AA233" s="2005"/>
      <c r="AB233" s="2005"/>
      <c r="AC233" s="2005"/>
    </row>
    <row r="234" s="1968" customFormat="1" spans="1:29">
      <c r="A234" s="2005"/>
      <c r="B234" s="2005"/>
      <c r="C234" s="2005"/>
      <c r="D234" s="2005"/>
      <c r="E234" s="2005"/>
      <c r="F234" s="2005"/>
      <c r="G234" s="2005"/>
      <c r="H234" s="2005"/>
      <c r="I234" s="2005"/>
      <c r="J234" s="2005"/>
      <c r="K234" s="2006"/>
      <c r="L234" s="2007"/>
      <c r="M234" s="2005"/>
      <c r="N234" s="2005"/>
      <c r="O234" s="2005"/>
      <c r="P234" s="2005"/>
      <c r="Q234" s="2005"/>
      <c r="R234" s="2005"/>
      <c r="S234" s="2005"/>
      <c r="T234" s="2005"/>
      <c r="U234" s="2005"/>
      <c r="V234" s="2005"/>
      <c r="W234" s="2005"/>
      <c r="X234" s="2005"/>
      <c r="Y234" s="2005"/>
      <c r="Z234" s="2005"/>
      <c r="AA234" s="2005"/>
      <c r="AB234" s="2005"/>
      <c r="AC234" s="2005"/>
    </row>
    <row r="235" s="1968" customFormat="1" spans="1:29">
      <c r="A235" s="2005"/>
      <c r="B235" s="2005"/>
      <c r="C235" s="2005"/>
      <c r="D235" s="2005"/>
      <c r="E235" s="2005"/>
      <c r="F235" s="2005"/>
      <c r="G235" s="2005"/>
      <c r="H235" s="2005"/>
      <c r="I235" s="2005"/>
      <c r="J235" s="2005"/>
      <c r="K235" s="2006"/>
      <c r="L235" s="2007"/>
      <c r="M235" s="2005"/>
      <c r="N235" s="2005"/>
      <c r="O235" s="2005"/>
      <c r="P235" s="2005"/>
      <c r="Q235" s="2005"/>
      <c r="R235" s="2005"/>
      <c r="S235" s="2005"/>
      <c r="T235" s="2005"/>
      <c r="U235" s="2005"/>
      <c r="V235" s="2005"/>
      <c r="W235" s="2005"/>
      <c r="X235" s="2005"/>
      <c r="Y235" s="2005"/>
      <c r="Z235" s="2005"/>
      <c r="AA235" s="2005"/>
      <c r="AB235" s="2005"/>
      <c r="AC235" s="2005"/>
    </row>
    <row r="236" s="1968" customFormat="1" spans="1:29">
      <c r="A236" s="2005"/>
      <c r="B236" s="2005"/>
      <c r="C236" s="2005"/>
      <c r="D236" s="2005"/>
      <c r="E236" s="2005"/>
      <c r="F236" s="2005"/>
      <c r="G236" s="2005"/>
      <c r="H236" s="2005"/>
      <c r="I236" s="2005"/>
      <c r="J236" s="2005"/>
      <c r="K236" s="2006"/>
      <c r="L236" s="2007"/>
      <c r="M236" s="2005"/>
      <c r="N236" s="2005"/>
      <c r="O236" s="2005"/>
      <c r="P236" s="2005"/>
      <c r="Q236" s="2005"/>
      <c r="R236" s="2005"/>
      <c r="S236" s="2005"/>
      <c r="T236" s="2005"/>
      <c r="U236" s="2005"/>
      <c r="V236" s="2005"/>
      <c r="W236" s="2005"/>
      <c r="X236" s="2005"/>
      <c r="Y236" s="2005"/>
      <c r="Z236" s="2005"/>
      <c r="AA236" s="2005"/>
      <c r="AB236" s="2005"/>
      <c r="AC236" s="2005"/>
    </row>
    <row r="237" s="1968" customFormat="1" spans="1:29">
      <c r="A237" s="2005"/>
      <c r="B237" s="2005"/>
      <c r="C237" s="2005"/>
      <c r="D237" s="2005"/>
      <c r="E237" s="2005"/>
      <c r="F237" s="2005"/>
      <c r="G237" s="2005"/>
      <c r="H237" s="2005"/>
      <c r="I237" s="2005"/>
      <c r="J237" s="2005"/>
      <c r="K237" s="2006"/>
      <c r="L237" s="2007"/>
      <c r="M237" s="2005"/>
      <c r="N237" s="2005"/>
      <c r="O237" s="2005"/>
      <c r="P237" s="2005"/>
      <c r="Q237" s="2005"/>
      <c r="R237" s="2005"/>
      <c r="S237" s="2005"/>
      <c r="T237" s="2005"/>
      <c r="U237" s="2005"/>
      <c r="V237" s="2005"/>
      <c r="W237" s="2005"/>
      <c r="X237" s="2005"/>
      <c r="Y237" s="2005"/>
      <c r="Z237" s="2005"/>
      <c r="AA237" s="2005"/>
      <c r="AB237" s="2005"/>
      <c r="AC237" s="2005"/>
    </row>
    <row r="238" s="1968" customFormat="1" spans="1:29">
      <c r="A238" s="2005"/>
      <c r="B238" s="2005"/>
      <c r="C238" s="2005"/>
      <c r="D238" s="2005"/>
      <c r="E238" s="2005"/>
      <c r="F238" s="2005"/>
      <c r="G238" s="2005"/>
      <c r="H238" s="2005"/>
      <c r="I238" s="2005"/>
      <c r="J238" s="2005"/>
      <c r="K238" s="2006"/>
      <c r="L238" s="2007"/>
      <c r="M238" s="2005"/>
      <c r="N238" s="2005"/>
      <c r="O238" s="2005"/>
      <c r="P238" s="2005"/>
      <c r="Q238" s="2005"/>
      <c r="R238" s="2005"/>
      <c r="S238" s="2005"/>
      <c r="T238" s="2005"/>
      <c r="U238" s="2005"/>
      <c r="V238" s="2005"/>
      <c r="W238" s="2005"/>
      <c r="X238" s="2005"/>
      <c r="Y238" s="2005"/>
      <c r="Z238" s="2005"/>
      <c r="AA238" s="2005"/>
      <c r="AB238" s="2005"/>
      <c r="AC238" s="2005"/>
    </row>
    <row r="239" s="1968" customFormat="1" spans="1:29">
      <c r="A239" s="2005"/>
      <c r="B239" s="2005"/>
      <c r="C239" s="2005"/>
      <c r="D239" s="2005"/>
      <c r="E239" s="2005"/>
      <c r="F239" s="2005"/>
      <c r="G239" s="2005"/>
      <c r="H239" s="2005"/>
      <c r="I239" s="2005"/>
      <c r="J239" s="2005"/>
      <c r="K239" s="2006"/>
      <c r="L239" s="2007"/>
      <c r="M239" s="2005"/>
      <c r="N239" s="2005"/>
      <c r="O239" s="2005"/>
      <c r="P239" s="2005"/>
      <c r="Q239" s="2005"/>
      <c r="R239" s="2005"/>
      <c r="S239" s="2005"/>
      <c r="T239" s="2005"/>
      <c r="U239" s="2005"/>
      <c r="V239" s="2005"/>
      <c r="W239" s="2005"/>
      <c r="X239" s="2005"/>
      <c r="Y239" s="2005"/>
      <c r="Z239" s="2005"/>
      <c r="AA239" s="2005"/>
      <c r="AB239" s="2005"/>
      <c r="AC239" s="2005"/>
    </row>
    <row r="240" s="1968" customFormat="1" spans="1:29">
      <c r="A240" s="2005"/>
      <c r="B240" s="2005"/>
      <c r="C240" s="2005"/>
      <c r="D240" s="2005"/>
      <c r="E240" s="2005"/>
      <c r="F240" s="2005"/>
      <c r="G240" s="2005"/>
      <c r="H240" s="2005"/>
      <c r="I240" s="2005"/>
      <c r="J240" s="2005"/>
      <c r="K240" s="2006"/>
      <c r="L240" s="2007"/>
      <c r="M240" s="2005"/>
      <c r="N240" s="2005"/>
      <c r="O240" s="2005"/>
      <c r="P240" s="2005"/>
      <c r="Q240" s="2005"/>
      <c r="R240" s="2005"/>
      <c r="S240" s="2005"/>
      <c r="T240" s="2005"/>
      <c r="U240" s="2005"/>
      <c r="V240" s="2005"/>
      <c r="W240" s="2005"/>
      <c r="X240" s="2005"/>
      <c r="Y240" s="2005"/>
      <c r="Z240" s="2005"/>
      <c r="AA240" s="2005"/>
      <c r="AB240" s="2005"/>
      <c r="AC240" s="2005"/>
    </row>
    <row r="241" s="1968" customFormat="1" spans="1:29">
      <c r="A241" s="2005"/>
      <c r="B241" s="2005"/>
      <c r="C241" s="2005"/>
      <c r="D241" s="2005"/>
      <c r="E241" s="2005"/>
      <c r="F241" s="2005"/>
      <c r="G241" s="2005"/>
      <c r="H241" s="2005"/>
      <c r="I241" s="2005"/>
      <c r="J241" s="2005"/>
      <c r="K241" s="2006"/>
      <c r="L241" s="2007"/>
      <c r="M241" s="2005"/>
      <c r="N241" s="2005"/>
      <c r="O241" s="2005"/>
      <c r="P241" s="2005"/>
      <c r="Q241" s="2005"/>
      <c r="R241" s="2005"/>
      <c r="S241" s="2005"/>
      <c r="T241" s="2005"/>
      <c r="U241" s="2005"/>
      <c r="V241" s="2005"/>
      <c r="W241" s="2005"/>
      <c r="X241" s="2005"/>
      <c r="Y241" s="2005"/>
      <c r="Z241" s="2005"/>
      <c r="AA241" s="2005"/>
      <c r="AB241" s="2005"/>
      <c r="AC241" s="2005"/>
    </row>
    <row r="242" s="1968" customFormat="1" spans="1:29">
      <c r="A242" s="2005"/>
      <c r="B242" s="2005"/>
      <c r="C242" s="2005"/>
      <c r="D242" s="2005"/>
      <c r="E242" s="2005"/>
      <c r="F242" s="2005"/>
      <c r="G242" s="2005"/>
      <c r="H242" s="2005"/>
      <c r="I242" s="2005"/>
      <c r="J242" s="2005"/>
      <c r="K242" s="2006"/>
      <c r="L242" s="2007"/>
      <c r="M242" s="2005"/>
      <c r="N242" s="2005"/>
      <c r="O242" s="2005"/>
      <c r="P242" s="2005"/>
      <c r="Q242" s="2005"/>
      <c r="R242" s="2005"/>
      <c r="S242" s="2005"/>
      <c r="T242" s="2005"/>
      <c r="U242" s="2005"/>
      <c r="V242" s="2005"/>
      <c r="W242" s="2005"/>
      <c r="X242" s="2005"/>
      <c r="Y242" s="2005"/>
      <c r="Z242" s="2005"/>
      <c r="AA242" s="2005"/>
      <c r="AB242" s="2005"/>
      <c r="AC242" s="2005"/>
    </row>
    <row r="243" s="1968" customFormat="1" spans="1:29">
      <c r="A243" s="2005"/>
      <c r="B243" s="2005"/>
      <c r="C243" s="2005"/>
      <c r="D243" s="2005"/>
      <c r="E243" s="2005"/>
      <c r="F243" s="2005"/>
      <c r="G243" s="2005"/>
      <c r="H243" s="2005"/>
      <c r="I243" s="2005"/>
      <c r="J243" s="2005"/>
      <c r="K243" s="2006"/>
      <c r="L243" s="2007"/>
      <c r="M243" s="2005"/>
      <c r="N243" s="2005"/>
      <c r="O243" s="2005"/>
      <c r="P243" s="2005"/>
      <c r="Q243" s="2005"/>
      <c r="R243" s="2005"/>
      <c r="S243" s="2005"/>
      <c r="T243" s="2005"/>
      <c r="U243" s="2005"/>
      <c r="V243" s="2005"/>
      <c r="W243" s="2005"/>
      <c r="X243" s="2005"/>
      <c r="Y243" s="2005"/>
      <c r="Z243" s="2005"/>
      <c r="AA243" s="2005"/>
      <c r="AB243" s="2005"/>
      <c r="AC243" s="2005"/>
    </row>
    <row r="244" s="1968" customFormat="1" spans="1:29">
      <c r="A244" s="2005"/>
      <c r="B244" s="2005"/>
      <c r="C244" s="2005"/>
      <c r="D244" s="2005"/>
      <c r="E244" s="2005"/>
      <c r="F244" s="2005"/>
      <c r="G244" s="2005"/>
      <c r="H244" s="2005"/>
      <c r="I244" s="2005"/>
      <c r="J244" s="2005"/>
      <c r="K244" s="2006"/>
      <c r="L244" s="2007"/>
      <c r="M244" s="2005"/>
      <c r="N244" s="2005"/>
      <c r="O244" s="2005"/>
      <c r="P244" s="2005"/>
      <c r="Q244" s="2005"/>
      <c r="R244" s="2005"/>
      <c r="S244" s="2005"/>
      <c r="T244" s="2005"/>
      <c r="U244" s="2005"/>
      <c r="V244" s="2005"/>
      <c r="W244" s="2005"/>
      <c r="X244" s="2005"/>
      <c r="Y244" s="2005"/>
      <c r="Z244" s="2005"/>
      <c r="AA244" s="2005"/>
      <c r="AB244" s="2005"/>
      <c r="AC244" s="2005"/>
    </row>
    <row r="245" s="1968" customFormat="1" spans="1:29">
      <c r="A245" s="2005"/>
      <c r="B245" s="2005"/>
      <c r="C245" s="2005"/>
      <c r="D245" s="2005"/>
      <c r="E245" s="2005"/>
      <c r="F245" s="2005"/>
      <c r="G245" s="2005"/>
      <c r="H245" s="2005"/>
      <c r="I245" s="2005"/>
      <c r="J245" s="2005"/>
      <c r="K245" s="2006"/>
      <c r="L245" s="2007"/>
      <c r="M245" s="2005"/>
      <c r="N245" s="2005"/>
      <c r="O245" s="2005"/>
      <c r="P245" s="2005"/>
      <c r="Q245" s="2005"/>
      <c r="R245" s="2005"/>
      <c r="S245" s="2005"/>
      <c r="T245" s="2005"/>
      <c r="U245" s="2005"/>
      <c r="V245" s="2005"/>
      <c r="W245" s="2005"/>
      <c r="X245" s="2005"/>
      <c r="Y245" s="2005"/>
      <c r="Z245" s="2005"/>
      <c r="AA245" s="2005"/>
      <c r="AB245" s="2005"/>
      <c r="AC245" s="2005"/>
    </row>
    <row r="246" s="1968" customFormat="1" spans="1:29">
      <c r="A246" s="2005"/>
      <c r="B246" s="2005"/>
      <c r="C246" s="2005"/>
      <c r="D246" s="2005"/>
      <c r="E246" s="2005"/>
      <c r="F246" s="2005"/>
      <c r="G246" s="2005"/>
      <c r="H246" s="2005"/>
      <c r="I246" s="2005"/>
      <c r="J246" s="2005"/>
      <c r="K246" s="2006"/>
      <c r="L246" s="2007"/>
      <c r="M246" s="2005"/>
      <c r="N246" s="2005"/>
      <c r="O246" s="2005"/>
      <c r="P246" s="2005"/>
      <c r="Q246" s="2005"/>
      <c r="R246" s="2005"/>
      <c r="S246" s="2005"/>
      <c r="T246" s="2005"/>
      <c r="U246" s="2005"/>
      <c r="V246" s="2005"/>
      <c r="W246" s="2005"/>
      <c r="X246" s="2005"/>
      <c r="Y246" s="2005"/>
      <c r="Z246" s="2005"/>
      <c r="AA246" s="2005"/>
      <c r="AB246" s="2005"/>
      <c r="AC246" s="2005"/>
    </row>
    <row r="247" s="1968" customFormat="1" spans="1:29">
      <c r="A247" s="2005"/>
      <c r="B247" s="2005"/>
      <c r="C247" s="2005"/>
      <c r="D247" s="2005"/>
      <c r="E247" s="2005"/>
      <c r="F247" s="2005"/>
      <c r="G247" s="2005"/>
      <c r="H247" s="2005"/>
      <c r="I247" s="2005"/>
      <c r="J247" s="2005"/>
      <c r="K247" s="2006"/>
      <c r="L247" s="2007"/>
      <c r="M247" s="2005"/>
      <c r="N247" s="2005"/>
      <c r="O247" s="2005"/>
      <c r="P247" s="2005"/>
      <c r="Q247" s="2005"/>
      <c r="R247" s="2005"/>
      <c r="S247" s="2005"/>
      <c r="T247" s="2005"/>
      <c r="U247" s="2005"/>
      <c r="V247" s="2005"/>
      <c r="W247" s="2005"/>
      <c r="X247" s="2005"/>
      <c r="Y247" s="2005"/>
      <c r="Z247" s="2005"/>
      <c r="AA247" s="2005"/>
      <c r="AB247" s="2005"/>
      <c r="AC247" s="2005"/>
    </row>
    <row r="248" s="1968" customFormat="1" spans="1:29">
      <c r="A248" s="2005"/>
      <c r="B248" s="2005"/>
      <c r="C248" s="2005"/>
      <c r="D248" s="2005"/>
      <c r="E248" s="2005"/>
      <c r="F248" s="2005"/>
      <c r="G248" s="2005"/>
      <c r="H248" s="2005"/>
      <c r="I248" s="2005"/>
      <c r="J248" s="2005"/>
      <c r="K248" s="2006"/>
      <c r="L248" s="2007"/>
      <c r="M248" s="2005"/>
      <c r="N248" s="2005"/>
      <c r="O248" s="2005"/>
      <c r="P248" s="2005"/>
      <c r="Q248" s="2005"/>
      <c r="R248" s="2005"/>
      <c r="S248" s="2005"/>
      <c r="T248" s="2005"/>
      <c r="U248" s="2005"/>
      <c r="V248" s="2005"/>
      <c r="W248" s="2005"/>
      <c r="X248" s="2005"/>
      <c r="Y248" s="2005"/>
      <c r="Z248" s="2005"/>
      <c r="AA248" s="2005"/>
      <c r="AB248" s="2005"/>
      <c r="AC248" s="2005"/>
    </row>
    <row r="249" s="1968" customFormat="1" spans="1:29">
      <c r="A249" s="2005"/>
      <c r="B249" s="2005"/>
      <c r="C249" s="2005"/>
      <c r="D249" s="2005"/>
      <c r="E249" s="2005"/>
      <c r="F249" s="2005"/>
      <c r="G249" s="2005"/>
      <c r="H249" s="2005"/>
      <c r="I249" s="2005"/>
      <c r="J249" s="2005"/>
      <c r="K249" s="2006"/>
      <c r="L249" s="2007"/>
      <c r="M249" s="2005"/>
      <c r="N249" s="2005"/>
      <c r="O249" s="2005"/>
      <c r="P249" s="2005"/>
      <c r="Q249" s="2005"/>
      <c r="R249" s="2005"/>
      <c r="S249" s="2005"/>
      <c r="T249" s="2005"/>
      <c r="U249" s="2005"/>
      <c r="V249" s="2005"/>
      <c r="W249" s="2005"/>
      <c r="X249" s="2005"/>
      <c r="Y249" s="2005"/>
      <c r="Z249" s="2005"/>
      <c r="AA249" s="2005"/>
      <c r="AB249" s="2005"/>
      <c r="AC249" s="2005"/>
    </row>
    <row r="250" s="1968" customFormat="1" spans="1:29">
      <c r="A250" s="2005"/>
      <c r="B250" s="2005"/>
      <c r="C250" s="2005"/>
      <c r="D250" s="2005"/>
      <c r="E250" s="2005"/>
      <c r="F250" s="2005"/>
      <c r="G250" s="2005"/>
      <c r="H250" s="2005"/>
      <c r="I250" s="2005"/>
      <c r="J250" s="2005"/>
      <c r="K250" s="2006"/>
      <c r="L250" s="2007"/>
      <c r="M250" s="2005"/>
      <c r="N250" s="2005"/>
      <c r="O250" s="2005"/>
      <c r="P250" s="2005"/>
      <c r="Q250" s="2005"/>
      <c r="R250" s="2005"/>
      <c r="S250" s="2005"/>
      <c r="T250" s="2005"/>
      <c r="U250" s="2005"/>
      <c r="V250" s="2005"/>
      <c r="W250" s="2005"/>
      <c r="X250" s="2005"/>
      <c r="Y250" s="2005"/>
      <c r="Z250" s="2005"/>
      <c r="AA250" s="2005"/>
      <c r="AB250" s="2005"/>
      <c r="AC250" s="2005"/>
    </row>
    <row r="251" s="1968" customFormat="1" spans="1:29">
      <c r="A251" s="2005"/>
      <c r="B251" s="2005"/>
      <c r="C251" s="2005"/>
      <c r="D251" s="2005"/>
      <c r="E251" s="2005"/>
      <c r="F251" s="2005"/>
      <c r="G251" s="2005"/>
      <c r="H251" s="2005"/>
      <c r="I251" s="2005"/>
      <c r="J251" s="2005"/>
      <c r="K251" s="2006"/>
      <c r="L251" s="2007"/>
      <c r="M251" s="2005"/>
      <c r="N251" s="2005"/>
      <c r="O251" s="2005"/>
      <c r="P251" s="2005"/>
      <c r="Q251" s="2005"/>
      <c r="R251" s="2005"/>
      <c r="S251" s="2005"/>
      <c r="T251" s="2005"/>
      <c r="U251" s="2005"/>
      <c r="V251" s="2005"/>
      <c r="W251" s="2005"/>
      <c r="X251" s="2005"/>
      <c r="Y251" s="2005"/>
      <c r="Z251" s="2005"/>
      <c r="AA251" s="2005"/>
      <c r="AB251" s="2005"/>
      <c r="AC251" s="2005"/>
    </row>
    <row r="252" s="1968" customFormat="1" spans="1:29">
      <c r="A252" s="2005"/>
      <c r="B252" s="2005"/>
      <c r="C252" s="2005"/>
      <c r="D252" s="2005"/>
      <c r="E252" s="2005"/>
      <c r="F252" s="2005"/>
      <c r="G252" s="2005"/>
      <c r="H252" s="2005"/>
      <c r="I252" s="2005"/>
      <c r="J252" s="2005"/>
      <c r="K252" s="2006"/>
      <c r="L252" s="2007"/>
      <c r="M252" s="2005"/>
      <c r="N252" s="2005"/>
      <c r="O252" s="2005"/>
      <c r="P252" s="2005"/>
      <c r="Q252" s="2005"/>
      <c r="R252" s="2005"/>
      <c r="S252" s="2005"/>
      <c r="T252" s="2005"/>
      <c r="U252" s="2005"/>
      <c r="V252" s="2005"/>
      <c r="W252" s="2005"/>
      <c r="X252" s="2005"/>
      <c r="Y252" s="2005"/>
      <c r="Z252" s="2005"/>
      <c r="AA252" s="2005"/>
      <c r="AB252" s="2005"/>
      <c r="AC252" s="2005"/>
    </row>
    <row r="253" s="1968" customFormat="1" spans="1:29">
      <c r="A253" s="2005"/>
      <c r="B253" s="2005"/>
      <c r="C253" s="2005"/>
      <c r="D253" s="2005"/>
      <c r="E253" s="2005"/>
      <c r="F253" s="2005"/>
      <c r="G253" s="2005"/>
      <c r="H253" s="2005"/>
      <c r="I253" s="2005"/>
      <c r="J253" s="2005"/>
      <c r="K253" s="2006"/>
      <c r="L253" s="2007"/>
      <c r="M253" s="2005"/>
      <c r="N253" s="2005"/>
      <c r="O253" s="2005"/>
      <c r="P253" s="2005"/>
      <c r="Q253" s="2005"/>
      <c r="R253" s="2005"/>
      <c r="S253" s="2005"/>
      <c r="T253" s="2005"/>
      <c r="U253" s="2005"/>
      <c r="V253" s="2005"/>
      <c r="W253" s="2005"/>
      <c r="X253" s="2005"/>
      <c r="Y253" s="2005"/>
      <c r="Z253" s="2005"/>
      <c r="AA253" s="2005"/>
      <c r="AB253" s="2005"/>
      <c r="AC253" s="2005"/>
    </row>
    <row r="254" s="1968" customFormat="1" spans="1:29">
      <c r="A254" s="2005"/>
      <c r="B254" s="2005"/>
      <c r="C254" s="2005"/>
      <c r="D254" s="2005"/>
      <c r="E254" s="2005"/>
      <c r="F254" s="2005"/>
      <c r="G254" s="2005"/>
      <c r="H254" s="2005"/>
      <c r="I254" s="2005"/>
      <c r="J254" s="2005"/>
      <c r="K254" s="2006"/>
      <c r="L254" s="2007"/>
      <c r="M254" s="2005"/>
      <c r="N254" s="2005"/>
      <c r="O254" s="2005"/>
      <c r="P254" s="2005"/>
      <c r="Q254" s="2005"/>
      <c r="R254" s="2005"/>
      <c r="S254" s="2005"/>
      <c r="T254" s="2005"/>
      <c r="U254" s="2005"/>
      <c r="V254" s="2005"/>
      <c r="W254" s="2005"/>
      <c r="X254" s="2005"/>
      <c r="Y254" s="2005"/>
      <c r="Z254" s="2005"/>
      <c r="AA254" s="2005"/>
      <c r="AB254" s="2005"/>
      <c r="AC254" s="2005"/>
    </row>
    <row r="255" s="1968" customFormat="1" spans="1:29">
      <c r="A255" s="2005"/>
      <c r="B255" s="2005"/>
      <c r="C255" s="2005"/>
      <c r="D255" s="2005"/>
      <c r="E255" s="2005"/>
      <c r="F255" s="2005"/>
      <c r="G255" s="2005"/>
      <c r="H255" s="2005"/>
      <c r="I255" s="2005"/>
      <c r="J255" s="2005"/>
      <c r="K255" s="2006"/>
      <c r="L255" s="2007"/>
      <c r="M255" s="2005"/>
      <c r="N255" s="2005"/>
      <c r="O255" s="2005"/>
      <c r="P255" s="2005"/>
      <c r="Q255" s="2005"/>
      <c r="R255" s="2005"/>
      <c r="S255" s="2005"/>
      <c r="T255" s="2005"/>
      <c r="U255" s="2005"/>
      <c r="V255" s="2005"/>
      <c r="W255" s="2005"/>
      <c r="X255" s="2005"/>
      <c r="Y255" s="2005"/>
      <c r="Z255" s="2005"/>
      <c r="AA255" s="2005"/>
      <c r="AB255" s="2005"/>
      <c r="AC255" s="2005"/>
    </row>
    <row r="256" s="1968" customFormat="1" spans="11:12">
      <c r="K256" s="2008"/>
      <c r="L256" s="2009"/>
    </row>
    <row r="257" s="1968" customFormat="1" spans="11:12">
      <c r="K257" s="2008"/>
      <c r="L257" s="2009"/>
    </row>
    <row r="258" s="1968" customFormat="1" spans="11:12">
      <c r="K258" s="2008"/>
      <c r="L258" s="2009"/>
    </row>
    <row r="259" s="1968" customFormat="1" spans="11:12">
      <c r="K259" s="2008"/>
      <c r="L259" s="2009"/>
    </row>
  </sheetData>
  <sheetProtection password="CEE9" sheet="1" formatCells="0" formatColumns="0" formatRows="0" objects="1" scenarios="1"/>
  <mergeCells count="42">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8:Q48"/>
    <mergeCell ref="R48:S48"/>
    <mergeCell ref="T48:U48"/>
    <mergeCell ref="V48:W48"/>
    <mergeCell ref="P49:Q49"/>
    <mergeCell ref="R49:S49"/>
    <mergeCell ref="T49:U49"/>
    <mergeCell ref="V49:W49"/>
    <mergeCell ref="P50:Q50"/>
    <mergeCell ref="R50:W50"/>
    <mergeCell ref="G59:G62"/>
    <mergeCell ref="P11:P16"/>
    <mergeCell ref="P17:P37"/>
    <mergeCell ref="P38:P47"/>
    <mergeCell ref="Y11:Y16"/>
    <mergeCell ref="Y17:Y37"/>
    <mergeCell ref="Y38:Y47"/>
    <mergeCell ref="AA6:AA8"/>
    <mergeCell ref="AB6:AB8"/>
    <mergeCell ref="AC6:AC8"/>
    <mergeCell ref="G57:H58"/>
    <mergeCell ref="P6:Q8"/>
    <mergeCell ref="R6:S8"/>
    <mergeCell ref="T6:U8"/>
    <mergeCell ref="V6:W8"/>
    <mergeCell ref="Y6:Z8"/>
  </mergeCells>
  <conditionalFormatting sqref="F49">
    <cfRule type="expression" dxfId="7" priority="4">
      <formula>$D$49="简单平均"</formula>
    </cfRule>
  </conditionalFormatting>
  <conditionalFormatting sqref="H49">
    <cfRule type="expression" dxfId="7" priority="3">
      <formula>$D$49="简单平均"</formula>
    </cfRule>
  </conditionalFormatting>
  <conditionalFormatting sqref="J49">
    <cfRule type="expression" dxfId="7" priority="2">
      <formula>$D$49="简单平均"</formula>
    </cfRule>
  </conditionalFormatting>
  <conditionalFormatting sqref="E53">
    <cfRule type="expression" dxfId="11" priority="13" stopIfTrue="1">
      <formula>$F$53="超过30%"</formula>
    </cfRule>
  </conditionalFormatting>
  <conditionalFormatting sqref="G53">
    <cfRule type="expression" dxfId="11" priority="9" stopIfTrue="1">
      <formula>$H$55+$H$53="超过30%"</formula>
    </cfRule>
  </conditionalFormatting>
  <conditionalFormatting sqref="I53">
    <cfRule type="expression" dxfId="11" priority="7" stopIfTrue="1">
      <formula>$J$53="超过30%"</formula>
    </cfRule>
  </conditionalFormatting>
  <conditionalFormatting sqref="E54">
    <cfRule type="expression" dxfId="11" priority="11" stopIfTrue="1">
      <formula>$F$54="超过20%"</formula>
    </cfRule>
  </conditionalFormatting>
  <conditionalFormatting sqref="G54">
    <cfRule type="expression" dxfId="11" priority="8" stopIfTrue="1">
      <formula>$H$54="超过20%"</formula>
    </cfRule>
  </conditionalFormatting>
  <conditionalFormatting sqref="I54">
    <cfRule type="expression" dxfId="11" priority="6" stopIfTrue="1">
      <formula>$J$54="超过20%"</formula>
    </cfRule>
  </conditionalFormatting>
  <conditionalFormatting sqref="E55">
    <cfRule type="expression" dxfId="11" priority="10" stopIfTrue="1">
      <formula>$F$55="超过30%"</formula>
    </cfRule>
  </conditionalFormatting>
  <conditionalFormatting sqref="F55">
    <cfRule type="containsText" dxfId="12" priority="15" stopIfTrue="1" operator="between" text="超过">
      <formula>NOT(ISERROR(SEARCH("超过",F55)))</formula>
    </cfRule>
  </conditionalFormatting>
  <conditionalFormatting sqref="G55">
    <cfRule type="expression" dxfId="11" priority="12" stopIfTrue="1">
      <formula>$H$55="超过30%"</formula>
    </cfRule>
  </conditionalFormatting>
  <conditionalFormatting sqref="H55">
    <cfRule type="containsText" dxfId="12" priority="16"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17" stopIfTrue="1" operator="between" text="超过">
      <formula>NOT(ISERROR(SEARCH("超过",J55)))</formula>
    </cfRule>
  </conditionalFormatting>
  <conditionalFormatting sqref="F9:F47 H9:H47 J9:J47">
    <cfRule type="cellIs" dxfId="8" priority="1" operator="notEqual">
      <formula>100</formula>
    </cfRule>
  </conditionalFormatting>
  <conditionalFormatting sqref="F53 H53 J53">
    <cfRule type="containsText" dxfId="12" priority="18" stopIfTrue="1" operator="between" text="超过">
      <formula>NOT(ISERROR(SEARCH("超过",F53)))</formula>
    </cfRule>
  </conditionalFormatting>
  <conditionalFormatting sqref="F54 H54 J54">
    <cfRule type="containsText" dxfId="12" priority="14" stopIfTrue="1" operator="between" text="超过">
      <formula>NOT(ISERROR(SEARCH("超过",F54)))</formula>
    </cfRule>
  </conditionalFormatting>
  <dataValidations count="25">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D49">
      <formula1>"简单平均,加权平均"</formula1>
    </dataValidation>
    <dataValidation type="list" allowBlank="1" showInputMessage="1" showErrorMessage="1" sqref="C32 E32 G32 I32">
      <formula1>基础设施水平</formula1>
    </dataValidation>
    <dataValidation type="list" allowBlank="1" showInputMessage="1" showErrorMessage="1" sqref="C27">
      <formula1>住宅朝向</formula1>
    </dataValidation>
    <dataValidation type="list" allowBlank="1" showInputMessage="1" showErrorMessage="1" sqref="C20 E20 G20 I20">
      <formula1>商业繁华度</formula1>
    </dataValidation>
    <dataValidation type="list" allowBlank="1" showInputMessage="1" showErrorMessage="1" sqref="C18 E18 G18 I18">
      <formula1>居住社区成熟度</formula1>
    </dataValidation>
    <dataValidation type="list" allowBlank="1" showInputMessage="1" showErrorMessage="1" sqref="C24 E24 G24 I24">
      <formula1>交通便捷度</formula1>
    </dataValidation>
    <dataValidation type="list" allowBlank="1" showInputMessage="1" showErrorMessage="1" sqref="A73">
      <formula1>"综合,商业,办公,住宅"</formula1>
    </dataValidation>
    <dataValidation type="list" allowBlank="1" showInputMessage="1" showErrorMessage="1" sqref="C22 E22 G22 I22">
      <formula1>办公集聚程度</formula1>
    </dataValidation>
    <dataValidation type="list" allowBlank="1" showInputMessage="1" showErrorMessage="1" sqref="C26 E26 G26 I26">
      <formula1>区域土地利用方向</formula1>
    </dataValidation>
    <dataValidation type="list" allowBlank="1" showInputMessage="1" showErrorMessage="1" sqref="C36 E36 G36 I36">
      <formula1>套综土地级别</formula1>
    </dataValidation>
    <dataValidation type="list" allowBlank="1" showInputMessage="1" showErrorMessage="1" sqref="C28 E28 G28 I28">
      <formula1>环境</formula1>
    </dataValidation>
    <dataValidation type="list" allowBlank="1" showInputMessage="1" showErrorMessage="1" sqref="C30 E30 G30 I30">
      <formula1>公共配套设施</formula1>
    </dataValidation>
    <dataValidation type="list" allowBlank="1" showInputMessage="1" showErrorMessage="1" sqref="C33 E33 G33 I33">
      <formula1>临街状况</formula1>
    </dataValidation>
    <dataValidation type="list" allowBlank="1" showInputMessage="1" showErrorMessage="1" sqref="C35 E35 G35 I35">
      <formula1>套综道路等级</formula1>
    </dataValidation>
    <dataValidation type="list" allowBlank="1" showInputMessage="1" showErrorMessage="1" sqref="C44 E44 G44 I44">
      <formula1>套综工程地质条件</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B48">
      <formula1>单价内涵</formula1>
    </dataValidation>
    <dataValidation type="list" allowBlank="1" showInputMessage="1" showErrorMessage="1" sqref="C57">
      <formula1>"北京市系数,其他省市系数"</formula1>
    </dataValidation>
    <dataValidation type="list" allowBlank="1" showInputMessage="1" showErrorMessage="1" sqref="G64">
      <formula1>"商业,办公,住宅,工业"</formula1>
    </dataValidation>
    <dataValidation type="list" allowBlank="1" showInputMessage="1" showErrorMessage="1" sqref="G65">
      <formula1>"住宅,工业"</formula1>
    </dataValidation>
    <dataValidation type="list" allowBlank="1" showInputMessage="1" showErrorMessage="1" sqref="D59:D67">
      <formula1>"25%,1"</formula1>
    </dataValidation>
  </dataValidations>
  <pageMargins left="0.708661417322835" right="0.708661417322835" top="1.06299212598425" bottom="0.94488188976378" header="0.31496062992126" footer="0.31496062992126"/>
  <pageSetup paperSize="9" scale="46" fitToHeight="0" orientation="portrait"/>
  <headerFooter/>
  <rowBreaks count="1" manualBreakCount="1">
    <brk id="55" max="13" man="1"/>
  </row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262"/>
  <sheetViews>
    <sheetView view="pageBreakPreview" zoomScale="60" zoomScaleNormal="50" topLeftCell="A14" workbookViewId="0">
      <selection activeCell="D31" sqref="D31"/>
    </sheetView>
  </sheetViews>
  <sheetFormatPr defaultColWidth="9" defaultRowHeight="14.25"/>
  <cols>
    <col min="1" max="1" width="13.375" style="201" customWidth="1"/>
    <col min="2" max="2" width="15.75" style="201" customWidth="1"/>
    <col min="3" max="3" width="14.375" style="201" customWidth="1"/>
    <col min="4" max="4" width="12.25" style="201" customWidth="1"/>
    <col min="5" max="5" width="14.375" style="201" customWidth="1"/>
    <col min="6" max="6" width="12.25" style="201" customWidth="1"/>
    <col min="7" max="7" width="14.5" style="201" customWidth="1"/>
    <col min="8" max="8" width="12.25" style="201" customWidth="1"/>
    <col min="9" max="9" width="14.5" style="201" customWidth="1"/>
    <col min="10" max="10" width="12.25" style="201" customWidth="1"/>
    <col min="11" max="11" width="12.25" style="202" customWidth="1"/>
    <col min="12" max="12" width="12.25" style="203" customWidth="1"/>
    <col min="13" max="15" width="12.25" style="201" customWidth="1"/>
    <col min="16" max="16" width="4.75" style="201" customWidth="1"/>
    <col min="17" max="17" width="19.5" style="201" customWidth="1"/>
    <col min="18" max="22" width="6.125" style="201" customWidth="1"/>
    <col min="23" max="23" width="5.75" style="201" customWidth="1"/>
    <col min="24" max="24" width="4.25" style="201" customWidth="1"/>
    <col min="25" max="25" width="3.5" style="201" customWidth="1"/>
    <col min="26" max="26" width="19.75" style="201" customWidth="1"/>
    <col min="27" max="28" width="9.375" style="201" customWidth="1"/>
    <col min="29" max="16384" width="9" style="201"/>
  </cols>
  <sheetData>
    <row r="1" s="195" customFormat="1" ht="28.5" customHeight="1" spans="1:29">
      <c r="A1" s="204" t="s">
        <v>1280</v>
      </c>
      <c r="B1" s="576"/>
      <c r="C1" s="206" t="s">
        <v>1363</v>
      </c>
      <c r="D1" s="1857" t="s">
        <v>1282</v>
      </c>
      <c r="E1" s="1858"/>
      <c r="F1" s="837"/>
      <c r="G1" s="1858"/>
      <c r="H1" s="1858"/>
      <c r="I1" s="1858"/>
      <c r="J1" s="1858"/>
      <c r="K1" s="1923"/>
      <c r="L1" s="391"/>
      <c r="M1" s="392"/>
      <c r="N1" s="392"/>
      <c r="O1" s="392"/>
      <c r="P1" s="393"/>
      <c r="Q1" s="393"/>
      <c r="R1" s="393"/>
      <c r="S1" s="393"/>
      <c r="T1" s="393"/>
      <c r="U1" s="393"/>
      <c r="V1" s="393"/>
      <c r="W1" s="393"/>
      <c r="X1" s="393"/>
      <c r="Y1" s="393"/>
      <c r="Z1" s="393"/>
      <c r="AA1" s="393"/>
      <c r="AB1" s="393"/>
      <c r="AC1" s="503"/>
    </row>
    <row r="2" s="195" customFormat="1" ht="28.5" customHeight="1" spans="1:29">
      <c r="A2" s="211" t="s">
        <v>1202</v>
      </c>
      <c r="B2" s="1859" t="e">
        <f ca="1">F63</f>
        <v>#DIV/0!</v>
      </c>
      <c r="C2" s="1860"/>
      <c r="D2" s="1860"/>
      <c r="E2" s="1860"/>
      <c r="F2" s="1861"/>
      <c r="G2" s="1860"/>
      <c r="H2" s="1860"/>
      <c r="I2" s="1860"/>
      <c r="J2" s="1860"/>
      <c r="K2" s="1924"/>
      <c r="L2" s="395"/>
      <c r="M2" s="393"/>
      <c r="N2" s="393"/>
      <c r="O2" s="393"/>
      <c r="P2" s="393"/>
      <c r="Q2" s="393"/>
      <c r="R2" s="393"/>
      <c r="S2" s="393"/>
      <c r="T2" s="393"/>
      <c r="U2" s="393"/>
      <c r="V2" s="393"/>
      <c r="W2" s="393"/>
      <c r="X2" s="393"/>
      <c r="Y2" s="393"/>
      <c r="Z2" s="393"/>
      <c r="AA2" s="393"/>
      <c r="AB2" s="393"/>
      <c r="AC2" s="503"/>
    </row>
    <row r="3" s="195" customFormat="1" ht="28.5" customHeight="1" spans="1:29">
      <c r="A3" s="1862" t="s">
        <v>714</v>
      </c>
      <c r="B3" s="217" t="e">
        <f ca="1">ROUND(B2*10000/'数据-汇总表'!E3,0)</f>
        <v>#DIV/0!</v>
      </c>
      <c r="C3" s="733"/>
      <c r="D3" s="733"/>
      <c r="E3" s="733"/>
      <c r="F3" s="733"/>
      <c r="G3" s="1860"/>
      <c r="H3" s="1860"/>
      <c r="I3" s="1860"/>
      <c r="J3" s="1860"/>
      <c r="K3" s="1924"/>
      <c r="L3" s="395"/>
      <c r="M3" s="393"/>
      <c r="N3" s="393"/>
      <c r="O3" s="393"/>
      <c r="P3" s="393"/>
      <c r="Q3" s="393"/>
      <c r="R3" s="393"/>
      <c r="S3" s="393"/>
      <c r="T3" s="393"/>
      <c r="U3" s="393"/>
      <c r="V3" s="393"/>
      <c r="W3" s="393"/>
      <c r="X3" s="393"/>
      <c r="Y3" s="393"/>
      <c r="Z3" s="393"/>
      <c r="AA3" s="393"/>
      <c r="AB3" s="505"/>
      <c r="AC3" s="505"/>
    </row>
    <row r="4" s="195" customFormat="1" ht="28.5" customHeight="1" spans="1:29">
      <c r="A4" s="1863" t="s">
        <v>1283</v>
      </c>
      <c r="B4" s="732" t="e">
        <f ca="1">IF(B43="单位面积地价",C45,ROUND(B2*10000/'数据-汇总表'!D3,0))</f>
        <v>#DIV/0!</v>
      </c>
      <c r="C4" s="733"/>
      <c r="D4" s="733"/>
      <c r="E4" s="733"/>
      <c r="F4" s="733"/>
      <c r="G4" s="1860"/>
      <c r="H4" s="1860"/>
      <c r="I4" s="1860"/>
      <c r="J4" s="1860"/>
      <c r="K4" s="1924"/>
      <c r="L4" s="395"/>
      <c r="M4" s="393"/>
      <c r="N4" s="393"/>
      <c r="O4" s="393"/>
      <c r="P4" s="393"/>
      <c r="Q4" s="393"/>
      <c r="R4" s="393"/>
      <c r="S4" s="393"/>
      <c r="T4" s="393"/>
      <c r="U4" s="393"/>
      <c r="V4" s="393"/>
      <c r="W4" s="393"/>
      <c r="X4" s="393"/>
      <c r="Y4" s="393"/>
      <c r="Z4" s="393"/>
      <c r="AA4" s="393"/>
      <c r="AB4" s="393"/>
      <c r="AC4" s="505"/>
    </row>
    <row r="5" s="195" customFormat="1" ht="28.5" customHeight="1" spans="1:29">
      <c r="A5" s="734"/>
      <c r="B5" s="735" t="e">
        <f ca="1">ROUND(B2/('数据-汇总表'!D3/666.67),0)</f>
        <v>#DIV/0!</v>
      </c>
      <c r="C5" s="736" t="s">
        <v>1204</v>
      </c>
      <c r="D5" s="733"/>
      <c r="E5" s="733"/>
      <c r="F5" s="733"/>
      <c r="G5" s="1860"/>
      <c r="H5" s="1860"/>
      <c r="I5" s="1860"/>
      <c r="J5" s="1860"/>
      <c r="K5" s="1924"/>
      <c r="L5" s="395"/>
      <c r="M5" s="393"/>
      <c r="N5" s="393"/>
      <c r="O5" s="393"/>
      <c r="P5" s="393"/>
      <c r="Q5" s="393"/>
      <c r="R5" s="393"/>
      <c r="S5" s="393"/>
      <c r="T5" s="393"/>
      <c r="U5" s="393"/>
      <c r="V5" s="393"/>
      <c r="W5" s="393"/>
      <c r="X5" s="393"/>
      <c r="Y5" s="393"/>
      <c r="Z5" s="393"/>
      <c r="AA5" s="393"/>
      <c r="AB5" s="504"/>
      <c r="AC5" s="505"/>
    </row>
    <row r="6" ht="15" spans="1:29">
      <c r="A6" s="220" t="s">
        <v>1284</v>
      </c>
      <c r="B6" s="221"/>
      <c r="C6" s="222" t="s">
        <v>1285</v>
      </c>
      <c r="D6" s="223"/>
      <c r="E6" s="224" t="s">
        <v>1286</v>
      </c>
      <c r="F6" s="225"/>
      <c r="G6" s="222" t="s">
        <v>1287</v>
      </c>
      <c r="H6" s="223"/>
      <c r="I6" s="222" t="s">
        <v>1288</v>
      </c>
      <c r="J6" s="223"/>
      <c r="K6" s="396" t="s">
        <v>1289</v>
      </c>
      <c r="L6" s="397"/>
      <c r="M6" s="398"/>
      <c r="N6" s="398"/>
      <c r="O6" s="398"/>
      <c r="P6" s="399" t="s">
        <v>1290</v>
      </c>
      <c r="Q6" s="472"/>
      <c r="R6" s="473" t="s">
        <v>1286</v>
      </c>
      <c r="S6" s="474"/>
      <c r="T6" s="473" t="s">
        <v>1287</v>
      </c>
      <c r="U6" s="474"/>
      <c r="V6" s="475" t="s">
        <v>1288</v>
      </c>
      <c r="W6" s="475"/>
      <c r="X6" s="476"/>
      <c r="Y6" s="473" t="s">
        <v>1290</v>
      </c>
      <c r="Z6" s="474"/>
      <c r="AA6" s="506" t="s">
        <v>1286</v>
      </c>
      <c r="AB6" s="476" t="s">
        <v>1287</v>
      </c>
      <c r="AC6" s="506" t="s">
        <v>1288</v>
      </c>
    </row>
    <row r="7" ht="15" spans="1:29">
      <c r="A7" s="226"/>
      <c r="B7" s="227"/>
      <c r="C7" s="228" t="s">
        <v>1291</v>
      </c>
      <c r="D7" s="229"/>
      <c r="E7" s="230" t="s">
        <v>1292</v>
      </c>
      <c r="F7" s="231"/>
      <c r="G7" s="228" t="s">
        <v>1293</v>
      </c>
      <c r="H7" s="229"/>
      <c r="I7" s="228" t="s">
        <v>1294</v>
      </c>
      <c r="J7" s="229"/>
      <c r="K7" s="396"/>
      <c r="L7" s="397"/>
      <c r="M7" s="398"/>
      <c r="N7" s="398"/>
      <c r="O7" s="398"/>
      <c r="P7" s="400"/>
      <c r="Q7" s="477"/>
      <c r="R7" s="478"/>
      <c r="S7" s="479"/>
      <c r="T7" s="478"/>
      <c r="U7" s="479"/>
      <c r="V7" s="475"/>
      <c r="W7" s="475"/>
      <c r="X7" s="476"/>
      <c r="Y7" s="478"/>
      <c r="Z7" s="479"/>
      <c r="AA7" s="476"/>
      <c r="AB7" s="476"/>
      <c r="AC7" s="476"/>
    </row>
    <row r="8" ht="15.75" spans="1:29">
      <c r="A8" s="232"/>
      <c r="B8" s="233"/>
      <c r="C8" s="234" t="s">
        <v>1295</v>
      </c>
      <c r="D8" s="235"/>
      <c r="E8" s="236" t="s">
        <v>1295</v>
      </c>
      <c r="F8" s="237"/>
      <c r="G8" s="234" t="s">
        <v>1295</v>
      </c>
      <c r="H8" s="235"/>
      <c r="I8" s="234" t="s">
        <v>1295</v>
      </c>
      <c r="J8" s="235"/>
      <c r="K8" s="396" t="s">
        <v>1296</v>
      </c>
      <c r="L8" s="397"/>
      <c r="M8" s="398"/>
      <c r="N8" s="398"/>
      <c r="O8" s="398"/>
      <c r="P8" s="401"/>
      <c r="Q8" s="480"/>
      <c r="R8" s="478"/>
      <c r="S8" s="479"/>
      <c r="T8" s="481"/>
      <c r="U8" s="482"/>
      <c r="V8" s="475"/>
      <c r="W8" s="475"/>
      <c r="X8" s="476"/>
      <c r="Y8" s="481"/>
      <c r="Z8" s="482"/>
      <c r="AA8" s="507"/>
      <c r="AB8" s="507"/>
      <c r="AC8" s="507"/>
    </row>
    <row r="9" s="196" customFormat="1" ht="15.75" spans="1:29">
      <c r="A9" s="238"/>
      <c r="B9" s="239" t="s">
        <v>1297</v>
      </c>
      <c r="C9" s="240">
        <f>'数据-取费表'!B2</f>
        <v>44519</v>
      </c>
      <c r="D9" s="241">
        <v>100</v>
      </c>
      <c r="E9" s="242"/>
      <c r="F9" s="243">
        <f>SUMIF(67:67,YEAR(E9)&amp;"-"&amp;INT((MONTH(E9)+2)/3),68:68)</f>
        <v>0</v>
      </c>
      <c r="G9" s="244"/>
      <c r="H9" s="241">
        <f>SUMIF(67:67,YEAR(G9)&amp;"-"&amp;INT((MONTH(G9)+2)/3),68:68)</f>
        <v>0</v>
      </c>
      <c r="I9" s="244"/>
      <c r="J9" s="241">
        <f>SUMIF(67:67,YEAR(I9)&amp;"-"&amp;INT((MONTH(I9)+2)/3),68:68)</f>
        <v>0</v>
      </c>
      <c r="K9" s="402"/>
      <c r="L9" s="403"/>
      <c r="M9" s="404"/>
      <c r="N9" s="404"/>
      <c r="O9" s="404"/>
      <c r="P9" s="405" t="s">
        <v>1298</v>
      </c>
      <c r="Q9" s="483"/>
      <c r="R9" s="484" t="s">
        <v>1299</v>
      </c>
      <c r="S9" s="485">
        <f t="shared" ref="S9:S17" si="0">F9</f>
        <v>0</v>
      </c>
      <c r="T9" s="484" t="s">
        <v>1299</v>
      </c>
      <c r="U9" s="485">
        <f t="shared" ref="U9:U17" si="1">H9</f>
        <v>0</v>
      </c>
      <c r="V9" s="484" t="s">
        <v>1299</v>
      </c>
      <c r="W9" s="485">
        <f t="shared" ref="W9:W17" si="2">J9</f>
        <v>0</v>
      </c>
      <c r="X9" s="486"/>
      <c r="Y9" s="405" t="s">
        <v>1298</v>
      </c>
      <c r="Z9" s="487"/>
      <c r="AA9" s="508" t="e">
        <f>D9/F9</f>
        <v>#DIV/0!</v>
      </c>
      <c r="AB9" s="508" t="e">
        <f>D9/H9</f>
        <v>#DIV/0!</v>
      </c>
      <c r="AC9" s="508" t="e">
        <f>D9/J9</f>
        <v>#DIV/0!</v>
      </c>
    </row>
    <row r="10" s="196" customFormat="1" ht="15.75" spans="1:29">
      <c r="A10" s="245"/>
      <c r="B10" s="246" t="s">
        <v>1300</v>
      </c>
      <c r="C10" s="247" t="s">
        <v>1301</v>
      </c>
      <c r="D10" s="241">
        <v>100</v>
      </c>
      <c r="E10" s="247"/>
      <c r="F10" s="243">
        <f>SUMIF(70:70,E10,71:71)-SUMIF(70:70,C10,71:71)+100</f>
        <v>0</v>
      </c>
      <c r="G10" s="247"/>
      <c r="H10" s="241">
        <f>SUMIF(70:70,G10,71:71)-SUMIF(70:70,C10,71:71)+100</f>
        <v>0</v>
      </c>
      <c r="I10" s="247"/>
      <c r="J10" s="241">
        <f>SUMIF(70:70,I10,71:71)-SUMIF(70:70,C10,71:71)+100</f>
        <v>0</v>
      </c>
      <c r="K10" s="402"/>
      <c r="L10" s="403"/>
      <c r="M10" s="404"/>
      <c r="N10" s="404"/>
      <c r="O10" s="404"/>
      <c r="P10" s="405" t="s">
        <v>1302</v>
      </c>
      <c r="Q10" s="487"/>
      <c r="R10" s="484" t="s">
        <v>1299</v>
      </c>
      <c r="S10" s="485">
        <f t="shared" si="0"/>
        <v>0</v>
      </c>
      <c r="T10" s="484" t="s">
        <v>1299</v>
      </c>
      <c r="U10" s="485">
        <f t="shared" si="1"/>
        <v>0</v>
      </c>
      <c r="V10" s="484" t="s">
        <v>1299</v>
      </c>
      <c r="W10" s="485">
        <f t="shared" si="2"/>
        <v>0</v>
      </c>
      <c r="X10" s="486"/>
      <c r="Y10" s="405" t="s">
        <v>1302</v>
      </c>
      <c r="Z10" s="487"/>
      <c r="AA10" s="508" t="e">
        <f t="shared" ref="AA10:AA42" si="3">D10/F10</f>
        <v>#DIV/0!</v>
      </c>
      <c r="AB10" s="508" t="e">
        <f t="shared" ref="AB10:AB42" si="4">D10/H10</f>
        <v>#DIV/0!</v>
      </c>
      <c r="AC10" s="508" t="e">
        <f t="shared" ref="AC10:AC42" si="5">D10/J10</f>
        <v>#DIV/0!</v>
      </c>
    </row>
    <row r="11" s="196" customFormat="1" ht="15" spans="1:29">
      <c r="A11" s="248"/>
      <c r="B11" s="249" t="s">
        <v>1303</v>
      </c>
      <c r="C11" s="1864"/>
      <c r="D11" s="251">
        <v>100</v>
      </c>
      <c r="E11" s="1864"/>
      <c r="F11" s="251">
        <f>SUMIF(72:72,E11,73:73)-SUMIF(72:72,C11,73:73)+100</f>
        <v>100</v>
      </c>
      <c r="G11" s="1864"/>
      <c r="H11" s="251">
        <f>SUMIF(72:72,G11,73:73)-SUMIF(72:72,C11,73:73)+100</f>
        <v>100</v>
      </c>
      <c r="I11" s="1864"/>
      <c r="J11" s="251">
        <f>SUMIF(72:72,I11,73:73)-SUMIF(72:72,C11,73:73)+100</f>
        <v>100</v>
      </c>
      <c r="K11" s="402"/>
      <c r="L11" s="403"/>
      <c r="M11" s="404"/>
      <c r="N11" s="404"/>
      <c r="O11" s="406"/>
      <c r="P11" s="407" t="s">
        <v>1304</v>
      </c>
      <c r="Q11" s="488" t="str">
        <f t="shared" ref="Q11:Q17" si="6">B11</f>
        <v>用途</v>
      </c>
      <c r="R11" s="484" t="s">
        <v>1299</v>
      </c>
      <c r="S11" s="485">
        <f t="shared" si="0"/>
        <v>100</v>
      </c>
      <c r="T11" s="484" t="s">
        <v>1299</v>
      </c>
      <c r="U11" s="485">
        <f t="shared" si="1"/>
        <v>100</v>
      </c>
      <c r="V11" s="484" t="s">
        <v>1299</v>
      </c>
      <c r="W11" s="485">
        <f t="shared" si="2"/>
        <v>100</v>
      </c>
      <c r="X11" s="486"/>
      <c r="Y11" s="488" t="s">
        <v>1305</v>
      </c>
      <c r="Z11" s="509" t="str">
        <f t="shared" ref="Z11:Z17" si="7">Q11</f>
        <v>用途</v>
      </c>
      <c r="AA11" s="508">
        <f t="shared" si="3"/>
        <v>1</v>
      </c>
      <c r="AB11" s="508">
        <f t="shared" si="4"/>
        <v>1</v>
      </c>
      <c r="AC11" s="508">
        <f t="shared" si="5"/>
        <v>1</v>
      </c>
    </row>
    <row r="12" s="197" customFormat="1" ht="27" spans="1:29">
      <c r="A12" s="253"/>
      <c r="B12" s="246" t="s">
        <v>1306</v>
      </c>
      <c r="C12" s="259"/>
      <c r="D12" s="255">
        <v>100</v>
      </c>
      <c r="E12" s="259"/>
      <c r="F12" s="255">
        <f ca="1">ROUND(100/'数据-取费表'!G16,0)</f>
        <v>109</v>
      </c>
      <c r="G12" s="259"/>
      <c r="H12" s="255">
        <f ca="1">ROUND(100/'数据-取费表'!G16,0)</f>
        <v>109</v>
      </c>
      <c r="I12" s="259"/>
      <c r="J12" s="255">
        <f ca="1">ROUND(100/'数据-取费表'!G16,0)</f>
        <v>109</v>
      </c>
      <c r="K12" s="1925"/>
      <c r="L12" s="409"/>
      <c r="M12" s="410"/>
      <c r="N12" s="410"/>
      <c r="O12" s="411"/>
      <c r="P12" s="407"/>
      <c r="Q12" s="488" t="str">
        <f t="shared" si="6"/>
        <v>土地使用年限（年）</v>
      </c>
      <c r="R12" s="484" t="s">
        <v>1299</v>
      </c>
      <c r="S12" s="485">
        <f ca="1" t="shared" si="0"/>
        <v>109</v>
      </c>
      <c r="T12" s="484" t="s">
        <v>1299</v>
      </c>
      <c r="U12" s="485">
        <f ca="1" t="shared" si="1"/>
        <v>109</v>
      </c>
      <c r="V12" s="484" t="s">
        <v>1299</v>
      </c>
      <c r="W12" s="485">
        <f ca="1" t="shared" si="2"/>
        <v>109</v>
      </c>
      <c r="X12" s="486"/>
      <c r="Y12" s="488"/>
      <c r="Z12" s="509" t="str">
        <f t="shared" si="7"/>
        <v>土地使用年限（年）</v>
      </c>
      <c r="AA12" s="508">
        <f ca="1" t="shared" si="3"/>
        <v>0.917431192660551</v>
      </c>
      <c r="AB12" s="508">
        <f ca="1" t="shared" si="4"/>
        <v>0.917431192660551</v>
      </c>
      <c r="AC12" s="508">
        <f ca="1" t="shared" si="5"/>
        <v>0.917431192660551</v>
      </c>
    </row>
    <row r="13" ht="15" spans="1:29">
      <c r="A13" s="577"/>
      <c r="B13" s="246" t="s">
        <v>1307</v>
      </c>
      <c r="C13" s="578"/>
      <c r="D13" s="255">
        <v>100</v>
      </c>
      <c r="E13" s="578"/>
      <c r="F13" s="255" t="e">
        <f>LOOKUP(E13,77:77,78:78)-LOOKUP(C13,77:77,78:78)+100</f>
        <v>#N/A</v>
      </c>
      <c r="G13" s="579"/>
      <c r="H13" s="255" t="e">
        <f>LOOKUP(G13,77:77,78:78)-LOOKUP(C13,77:77,78:78)+100</f>
        <v>#N/A</v>
      </c>
      <c r="I13" s="578"/>
      <c r="J13" s="255" t="e">
        <f>LOOKUP(I13,77:77,78:78)-LOOKUP(C13,77:77,78:78)+100</f>
        <v>#N/A</v>
      </c>
      <c r="K13" s="1926"/>
      <c r="L13" s="413"/>
      <c r="M13" s="398"/>
      <c r="N13" s="398"/>
      <c r="O13" s="414"/>
      <c r="P13" s="407"/>
      <c r="Q13" s="488" t="str">
        <f t="shared" si="6"/>
        <v>容积率</v>
      </c>
      <c r="R13" s="484" t="s">
        <v>1299</v>
      </c>
      <c r="S13" s="485" t="e">
        <f t="shared" si="0"/>
        <v>#N/A</v>
      </c>
      <c r="T13" s="484" t="s">
        <v>1299</v>
      </c>
      <c r="U13" s="485" t="e">
        <f t="shared" si="1"/>
        <v>#N/A</v>
      </c>
      <c r="V13" s="484" t="s">
        <v>1299</v>
      </c>
      <c r="W13" s="485" t="e">
        <f t="shared" si="2"/>
        <v>#N/A</v>
      </c>
      <c r="X13" s="486"/>
      <c r="Y13" s="488"/>
      <c r="Z13" s="509" t="str">
        <f t="shared" si="7"/>
        <v>容积率</v>
      </c>
      <c r="AA13" s="508" t="e">
        <f t="shared" si="3"/>
        <v>#N/A</v>
      </c>
      <c r="AB13" s="508" t="e">
        <f t="shared" si="4"/>
        <v>#N/A</v>
      </c>
      <c r="AC13" s="508" t="e">
        <f t="shared" si="5"/>
        <v>#N/A</v>
      </c>
    </row>
    <row r="14" s="196" customFormat="1" ht="15" spans="1:29">
      <c r="A14" s="257"/>
      <c r="B14" s="258">
        <v>111</v>
      </c>
      <c r="C14" s="259"/>
      <c r="D14" s="261">
        <v>100</v>
      </c>
      <c r="E14" s="381"/>
      <c r="F14" s="255">
        <f>SUMIF(79:79,E14,80:80)-SUMIF(79:79,C14,80:80)+100</f>
        <v>100</v>
      </c>
      <c r="G14" s="1865"/>
      <c r="H14" s="255">
        <f>SUMIF(79:79,G14,80:80)-SUMIF(79:79,C14,80:80)+100</f>
        <v>100</v>
      </c>
      <c r="I14" s="381"/>
      <c r="J14" s="255">
        <f>SUMIF(79:79,I14,80:80)-SUMIF(79:79,C14,80:80)+100</f>
        <v>100</v>
      </c>
      <c r="K14" s="1925"/>
      <c r="L14" s="403"/>
      <c r="M14" s="404"/>
      <c r="N14" s="404"/>
      <c r="O14" s="406"/>
      <c r="P14" s="407"/>
      <c r="Q14" s="488">
        <f t="shared" si="6"/>
        <v>111</v>
      </c>
      <c r="R14" s="484" t="s">
        <v>1299</v>
      </c>
      <c r="S14" s="485">
        <f t="shared" si="0"/>
        <v>100</v>
      </c>
      <c r="T14" s="484" t="s">
        <v>1299</v>
      </c>
      <c r="U14" s="485">
        <f t="shared" si="1"/>
        <v>100</v>
      </c>
      <c r="V14" s="484" t="s">
        <v>1299</v>
      </c>
      <c r="W14" s="485">
        <f t="shared" si="2"/>
        <v>100</v>
      </c>
      <c r="X14" s="486"/>
      <c r="Y14" s="488"/>
      <c r="Z14" s="509">
        <f t="shared" si="7"/>
        <v>111</v>
      </c>
      <c r="AA14" s="508">
        <f t="shared" si="3"/>
        <v>1</v>
      </c>
      <c r="AB14" s="508">
        <f t="shared" si="4"/>
        <v>1</v>
      </c>
      <c r="AC14" s="508">
        <f t="shared" si="5"/>
        <v>1</v>
      </c>
    </row>
    <row r="15" ht="15" spans="1:29">
      <c r="A15" s="257"/>
      <c r="B15" s="258">
        <v>111</v>
      </c>
      <c r="C15" s="264"/>
      <c r="D15" s="265">
        <v>100</v>
      </c>
      <c r="E15" s="381"/>
      <c r="F15" s="255">
        <f>SUMIF(81:81,E15,82:82)-SUMIF(81:81,C15,82:82)+100</f>
        <v>100</v>
      </c>
      <c r="G15" s="1865"/>
      <c r="H15" s="265">
        <f>SUMIF(81:81,G15,82:82)-SUMIF(81:81,C15,82:82)+100</f>
        <v>100</v>
      </c>
      <c r="I15" s="381"/>
      <c r="J15" s="265">
        <f>SUMIF(81:81,I15,82:82)-SUMIF(81:81,C15,82:82)+100</f>
        <v>100</v>
      </c>
      <c r="K15" s="1925"/>
      <c r="L15" s="415"/>
      <c r="M15" s="398"/>
      <c r="N15" s="398"/>
      <c r="O15" s="414"/>
      <c r="P15" s="407"/>
      <c r="Q15" s="488">
        <f t="shared" si="6"/>
        <v>111</v>
      </c>
      <c r="R15" s="484" t="s">
        <v>1299</v>
      </c>
      <c r="S15" s="485">
        <f t="shared" si="0"/>
        <v>100</v>
      </c>
      <c r="T15" s="484" t="s">
        <v>1299</v>
      </c>
      <c r="U15" s="485">
        <f t="shared" si="1"/>
        <v>100</v>
      </c>
      <c r="V15" s="484" t="s">
        <v>1299</v>
      </c>
      <c r="W15" s="485">
        <f t="shared" si="2"/>
        <v>100</v>
      </c>
      <c r="X15" s="486"/>
      <c r="Y15" s="488"/>
      <c r="Z15" s="509">
        <f t="shared" si="7"/>
        <v>111</v>
      </c>
      <c r="AA15" s="508">
        <f t="shared" si="3"/>
        <v>1</v>
      </c>
      <c r="AB15" s="508">
        <f t="shared" si="4"/>
        <v>1</v>
      </c>
      <c r="AC15" s="508">
        <f t="shared" si="5"/>
        <v>1</v>
      </c>
    </row>
    <row r="16" ht="15.75" spans="1:29">
      <c r="A16" s="262"/>
      <c r="B16" s="263">
        <v>111</v>
      </c>
      <c r="C16" s="317"/>
      <c r="D16" s="318">
        <v>100</v>
      </c>
      <c r="E16" s="381"/>
      <c r="F16" s="318">
        <f>SUMIF(83:83,E16,84:84)-SUMIF(83:83,C16,84:84)+100</f>
        <v>100</v>
      </c>
      <c r="G16" s="1865"/>
      <c r="H16" s="318">
        <f>SUMIF(83:83,G16,84:84)-SUMIF(83:83,C16,84:84)+100</f>
        <v>100</v>
      </c>
      <c r="I16" s="381"/>
      <c r="J16" s="318">
        <f>SUMIF(83:83,I16,84:84)-SUMIF(83:83,C16,84:84)+100</f>
        <v>100</v>
      </c>
      <c r="K16" s="1925"/>
      <c r="L16" s="415"/>
      <c r="M16" s="398"/>
      <c r="N16" s="398"/>
      <c r="O16" s="414"/>
      <c r="P16" s="407"/>
      <c r="Q16" s="488">
        <f t="shared" si="6"/>
        <v>111</v>
      </c>
      <c r="R16" s="484" t="s">
        <v>1299</v>
      </c>
      <c r="S16" s="485">
        <f t="shared" si="0"/>
        <v>100</v>
      </c>
      <c r="T16" s="484" t="s">
        <v>1299</v>
      </c>
      <c r="U16" s="485">
        <f t="shared" si="1"/>
        <v>100</v>
      </c>
      <c r="V16" s="484" t="s">
        <v>1299</v>
      </c>
      <c r="W16" s="485">
        <f t="shared" si="2"/>
        <v>100</v>
      </c>
      <c r="X16" s="486"/>
      <c r="Y16" s="488"/>
      <c r="Z16" s="509">
        <f t="shared" si="7"/>
        <v>111</v>
      </c>
      <c r="AA16" s="508">
        <f t="shared" si="3"/>
        <v>1</v>
      </c>
      <c r="AB16" s="508">
        <f t="shared" si="4"/>
        <v>1</v>
      </c>
      <c r="AC16" s="508">
        <f t="shared" si="5"/>
        <v>1</v>
      </c>
    </row>
    <row r="17" ht="56.25" spans="1:29">
      <c r="A17" s="266" t="s">
        <v>1309</v>
      </c>
      <c r="B17" s="267" t="s">
        <v>228</v>
      </c>
      <c r="C17" s="268" t="str">
        <f>估价对象房地状况!G15</f>
        <v>估价对象位于XX开发区，园区建设成熟度XX，产业集聚程度XX</v>
      </c>
      <c r="D17" s="269">
        <v>100</v>
      </c>
      <c r="E17" s="270"/>
      <c r="F17" s="269">
        <f>SUMIF(85:85,E18,86:86)-SUMIF(85:85,C18,86:86)+100</f>
        <v>100</v>
      </c>
      <c r="G17" s="270"/>
      <c r="H17" s="269">
        <f>SUMIF(85:85,G18,86:86)-SUMIF(85:85,C18,86:86)+100</f>
        <v>100</v>
      </c>
      <c r="I17" s="272"/>
      <c r="J17" s="269">
        <f>SUMIF(85:85,I18,86:86)-SUMIF(85:85,C18,86:86)+100</f>
        <v>100</v>
      </c>
      <c r="K17" s="1926"/>
      <c r="L17" s="415"/>
      <c r="M17" s="398"/>
      <c r="N17" s="398"/>
      <c r="O17" s="414"/>
      <c r="P17" s="417" t="s">
        <v>1310</v>
      </c>
      <c r="Q17" s="407" t="str">
        <f t="shared" si="6"/>
        <v>产业集聚程度</v>
      </c>
      <c r="R17" s="489" t="s">
        <v>1299</v>
      </c>
      <c r="S17" s="490">
        <f t="shared" si="0"/>
        <v>100</v>
      </c>
      <c r="T17" s="489" t="s">
        <v>1299</v>
      </c>
      <c r="U17" s="490">
        <f t="shared" si="1"/>
        <v>100</v>
      </c>
      <c r="V17" s="489" t="s">
        <v>1299</v>
      </c>
      <c r="W17" s="490">
        <f t="shared" si="2"/>
        <v>100</v>
      </c>
      <c r="X17" s="476"/>
      <c r="Y17" s="417" t="s">
        <v>1310</v>
      </c>
      <c r="Z17" s="475" t="str">
        <f t="shared" si="7"/>
        <v>产业集聚程度</v>
      </c>
      <c r="AA17" s="495">
        <f t="shared" si="3"/>
        <v>1</v>
      </c>
      <c r="AB17" s="495">
        <f t="shared" si="4"/>
        <v>1</v>
      </c>
      <c r="AC17" s="495">
        <f t="shared" si="5"/>
        <v>1</v>
      </c>
    </row>
    <row r="18" ht="15" spans="1:29">
      <c r="A18" s="273"/>
      <c r="B18" s="274"/>
      <c r="C18" s="275"/>
      <c r="D18" s="276"/>
      <c r="E18" s="1760"/>
      <c r="F18" s="276"/>
      <c r="G18" s="1760"/>
      <c r="H18" s="278"/>
      <c r="I18" s="1760"/>
      <c r="J18" s="276"/>
      <c r="K18" s="1925"/>
      <c r="L18" s="415"/>
      <c r="M18" s="398"/>
      <c r="N18" s="398"/>
      <c r="O18" s="414"/>
      <c r="P18" s="419"/>
      <c r="Q18" s="407"/>
      <c r="R18" s="489"/>
      <c r="S18" s="490"/>
      <c r="T18" s="489"/>
      <c r="U18" s="490"/>
      <c r="V18" s="489"/>
      <c r="W18" s="490"/>
      <c r="X18" s="476"/>
      <c r="Y18" s="419"/>
      <c r="Z18" s="475"/>
      <c r="AA18" s="495">
        <v>1</v>
      </c>
      <c r="AB18" s="495">
        <v>1</v>
      </c>
      <c r="AC18" s="495">
        <v>1</v>
      </c>
    </row>
    <row r="19" ht="81" spans="1:29">
      <c r="A19" s="273"/>
      <c r="B19" s="292" t="s">
        <v>229</v>
      </c>
      <c r="C19" s="280" t="str">
        <f>估价对象房地状况!G16</f>
        <v>估价对象周边道路状况、公共交通通达情况、停车便捷程度，综合评价交通便捷度较好</v>
      </c>
      <c r="D19" s="278">
        <v>100</v>
      </c>
      <c r="E19" s="288"/>
      <c r="F19" s="281">
        <f>SUMIF(87:87,E20,88:88)-SUMIF(87:87,C20,88:88)+100</f>
        <v>100</v>
      </c>
      <c r="G19" s="288"/>
      <c r="H19" s="281">
        <f>SUMIF(87:87,G20,88:88)-SUMIF(87:87,C20,88:88)+100</f>
        <v>100</v>
      </c>
      <c r="I19" s="290"/>
      <c r="J19" s="278">
        <f>SUMIF(87:87,I20,88:88)-SUMIF(87:87,C20,88:88)+100</f>
        <v>100</v>
      </c>
      <c r="K19" s="1926"/>
      <c r="L19" s="415"/>
      <c r="M19" s="398"/>
      <c r="N19" s="398"/>
      <c r="O19" s="414"/>
      <c r="P19" s="419"/>
      <c r="Q19" s="407" t="str">
        <f>B19</f>
        <v>交通便捷度</v>
      </c>
      <c r="R19" s="489" t="s">
        <v>1299</v>
      </c>
      <c r="S19" s="490">
        <f>F19</f>
        <v>100</v>
      </c>
      <c r="T19" s="489" t="s">
        <v>1299</v>
      </c>
      <c r="U19" s="490">
        <f>H19</f>
        <v>100</v>
      </c>
      <c r="V19" s="489" t="s">
        <v>1299</v>
      </c>
      <c r="W19" s="490">
        <f>J19</f>
        <v>100</v>
      </c>
      <c r="X19" s="476"/>
      <c r="Y19" s="419"/>
      <c r="Z19" s="475" t="str">
        <f>Q19</f>
        <v>交通便捷度</v>
      </c>
      <c r="AA19" s="495">
        <f t="shared" si="3"/>
        <v>1</v>
      </c>
      <c r="AB19" s="495">
        <f t="shared" si="4"/>
        <v>1</v>
      </c>
      <c r="AC19" s="495">
        <f t="shared" si="5"/>
        <v>1</v>
      </c>
    </row>
    <row r="20" ht="15" spans="1:29">
      <c r="A20" s="273"/>
      <c r="B20" s="585"/>
      <c r="C20" s="275"/>
      <c r="D20" s="276"/>
      <c r="E20" s="583"/>
      <c r="F20" s="276"/>
      <c r="G20" s="583"/>
      <c r="H20" s="276"/>
      <c r="I20" s="584"/>
      <c r="J20" s="276"/>
      <c r="K20" s="1925"/>
      <c r="L20" s="415"/>
      <c r="M20" s="398"/>
      <c r="N20" s="398"/>
      <c r="O20" s="414"/>
      <c r="P20" s="419"/>
      <c r="Q20" s="407"/>
      <c r="R20" s="489"/>
      <c r="S20" s="490"/>
      <c r="T20" s="489"/>
      <c r="U20" s="490"/>
      <c r="V20" s="489"/>
      <c r="W20" s="490"/>
      <c r="X20" s="476"/>
      <c r="Y20" s="419"/>
      <c r="Z20" s="475"/>
      <c r="AA20" s="495">
        <v>1</v>
      </c>
      <c r="AB20" s="495">
        <v>1</v>
      </c>
      <c r="AC20" s="495">
        <v>1</v>
      </c>
    </row>
    <row r="21" ht="15" spans="1:29">
      <c r="A21" s="226"/>
      <c r="B21" s="292" t="s">
        <v>230</v>
      </c>
      <c r="C21" s="280">
        <f>估价对象房地状况!G17</f>
        <v>0</v>
      </c>
      <c r="D21" s="278">
        <v>100</v>
      </c>
      <c r="E21" s="288"/>
      <c r="F21" s="289">
        <f>SUMIF(89:89,E22,90:90)-SUMIF(89:89,C22,90:90)+100</f>
        <v>100</v>
      </c>
      <c r="G21" s="290"/>
      <c r="H21" s="289">
        <f>SUMIF(89:89,G22,90:90)-SUMIF(89:89,C22,90:90)+100</f>
        <v>100</v>
      </c>
      <c r="I21" s="290"/>
      <c r="J21" s="289">
        <f>SUMIF(89:89,I22,90:90)-SUMIF(89:89,C22,90:90)+100</f>
        <v>100</v>
      </c>
      <c r="K21" s="1927"/>
      <c r="L21" s="415"/>
      <c r="M21" s="398"/>
      <c r="N21" s="398"/>
      <c r="O21" s="414"/>
      <c r="P21" s="419"/>
      <c r="Q21" s="407" t="str">
        <f t="shared" ref="Q21:Q36" si="8">B21</f>
        <v>区域土地利用方向</v>
      </c>
      <c r="R21" s="489" t="s">
        <v>1299</v>
      </c>
      <c r="S21" s="490">
        <f>F21</f>
        <v>100</v>
      </c>
      <c r="T21" s="489" t="s">
        <v>1299</v>
      </c>
      <c r="U21" s="490">
        <f>H21</f>
        <v>100</v>
      </c>
      <c r="V21" s="489" t="s">
        <v>1299</v>
      </c>
      <c r="W21" s="490">
        <f>J21</f>
        <v>100</v>
      </c>
      <c r="X21" s="476"/>
      <c r="Y21" s="419"/>
      <c r="Z21" s="475" t="str">
        <f>Q21</f>
        <v>区域土地利用方向</v>
      </c>
      <c r="AA21" s="495">
        <f t="shared" si="3"/>
        <v>1</v>
      </c>
      <c r="AB21" s="495">
        <f t="shared" si="4"/>
        <v>1</v>
      </c>
      <c r="AC21" s="495">
        <f t="shared" si="5"/>
        <v>1</v>
      </c>
    </row>
    <row r="22" ht="15" spans="1:29">
      <c r="A22" s="226"/>
      <c r="B22" s="293"/>
      <c r="C22" s="275"/>
      <c r="D22" s="276"/>
      <c r="E22" s="583"/>
      <c r="F22" s="277"/>
      <c r="G22" s="584"/>
      <c r="H22" s="277"/>
      <c r="I22" s="584"/>
      <c r="J22" s="277"/>
      <c r="K22" s="1928"/>
      <c r="L22" s="415"/>
      <c r="M22" s="398"/>
      <c r="N22" s="398"/>
      <c r="O22" s="414"/>
      <c r="P22" s="419"/>
      <c r="Q22" s="407"/>
      <c r="R22" s="489"/>
      <c r="S22" s="490"/>
      <c r="T22" s="489"/>
      <c r="U22" s="490"/>
      <c r="V22" s="489"/>
      <c r="W22" s="490"/>
      <c r="X22" s="476"/>
      <c r="Y22" s="419"/>
      <c r="Z22" s="475"/>
      <c r="AA22" s="495"/>
      <c r="AB22" s="495"/>
      <c r="AC22" s="495"/>
    </row>
    <row r="23" ht="67.5" spans="1:29">
      <c r="A23" s="226"/>
      <c r="B23" s="585" t="s">
        <v>1364</v>
      </c>
      <c r="C23" s="280" t="str">
        <f>估价对象房地状况!G18</f>
        <v>该园区内是否有污染型企业，绿化情况，卫生条件，整体环境状况判断</v>
      </c>
      <c r="D23" s="278">
        <v>100</v>
      </c>
      <c r="E23" s="288"/>
      <c r="F23" s="278">
        <f>SUMIF(91:91,E24,92:92)-SUMIF(91:91,C24,92:92)+100</f>
        <v>100</v>
      </c>
      <c r="G23" s="288"/>
      <c r="H23" s="278">
        <f>SUMIF(91:91,G24,92:92)-SUMIF(91:91,C24,92:92)+100</f>
        <v>100</v>
      </c>
      <c r="I23" s="290"/>
      <c r="J23" s="278">
        <f>SUMIF(91:91,I24,92:92)-SUMIF(91:91,C24,92:92)+100</f>
        <v>100</v>
      </c>
      <c r="K23" s="1926"/>
      <c r="L23" s="415"/>
      <c r="M23" s="398"/>
      <c r="N23" s="398"/>
      <c r="O23" s="414"/>
      <c r="P23" s="419"/>
      <c r="Q23" s="407" t="str">
        <f t="shared" si="8"/>
        <v>环境状况</v>
      </c>
      <c r="R23" s="489" t="s">
        <v>1299</v>
      </c>
      <c r="S23" s="490">
        <f>F23</f>
        <v>100</v>
      </c>
      <c r="T23" s="489" t="s">
        <v>1299</v>
      </c>
      <c r="U23" s="490">
        <f>H23</f>
        <v>100</v>
      </c>
      <c r="V23" s="489" t="s">
        <v>1299</v>
      </c>
      <c r="W23" s="490">
        <f>J23</f>
        <v>100</v>
      </c>
      <c r="X23" s="476"/>
      <c r="Y23" s="419"/>
      <c r="Z23" s="475" t="str">
        <f>Q23</f>
        <v>环境状况</v>
      </c>
      <c r="AA23" s="495">
        <f t="shared" si="3"/>
        <v>1</v>
      </c>
      <c r="AB23" s="495">
        <f t="shared" si="4"/>
        <v>1</v>
      </c>
      <c r="AC23" s="495">
        <f t="shared" si="5"/>
        <v>1</v>
      </c>
    </row>
    <row r="24" ht="15" spans="1:29">
      <c r="A24" s="226"/>
      <c r="B24" s="293"/>
      <c r="C24" s="275"/>
      <c r="D24" s="276"/>
      <c r="E24" s="1760"/>
      <c r="F24" s="276"/>
      <c r="G24" s="1760"/>
      <c r="H24" s="276"/>
      <c r="I24" s="275"/>
      <c r="J24" s="276"/>
      <c r="K24" s="1925"/>
      <c r="L24" s="415"/>
      <c r="M24" s="398"/>
      <c r="N24" s="398"/>
      <c r="O24" s="414"/>
      <c r="P24" s="419"/>
      <c r="Q24" s="407"/>
      <c r="R24" s="489"/>
      <c r="S24" s="490"/>
      <c r="T24" s="489"/>
      <c r="U24" s="490"/>
      <c r="V24" s="489"/>
      <c r="W24" s="490"/>
      <c r="X24" s="476"/>
      <c r="Y24" s="419"/>
      <c r="Z24" s="475"/>
      <c r="AA24" s="495">
        <v>1</v>
      </c>
      <c r="AB24" s="495">
        <v>1</v>
      </c>
      <c r="AC24" s="495">
        <v>1</v>
      </c>
    </row>
    <row r="25" s="196" customFormat="1" ht="40.5" spans="1:29">
      <c r="A25" s="549"/>
      <c r="B25" s="616" t="s">
        <v>231</v>
      </c>
      <c r="C25" s="280" t="str">
        <f>估价对象房地状况!G19</f>
        <v>估价对象所在区域公共配套设施齐备情况</v>
      </c>
      <c r="D25" s="278">
        <v>100</v>
      </c>
      <c r="E25" s="288"/>
      <c r="F25" s="278">
        <f>SUMIF(93:93,E26,94:94)-SUMIF(93:93,C26,94:94)+100</f>
        <v>100</v>
      </c>
      <c r="G25" s="288"/>
      <c r="H25" s="278">
        <f>SUMIF(93:93,G26,94:94)-SUMIF(93:93,C26,94:94)+100</f>
        <v>100</v>
      </c>
      <c r="I25" s="290"/>
      <c r="J25" s="278">
        <f>SUMIF(93:93,I26,94:94)-SUMIF(93:93,C26,94:94)+100</f>
        <v>100</v>
      </c>
      <c r="K25" s="1926"/>
      <c r="L25" s="403"/>
      <c r="M25" s="404"/>
      <c r="N25" s="404"/>
      <c r="O25" s="406"/>
      <c r="P25" s="419"/>
      <c r="Q25" s="488" t="str">
        <f t="shared" si="8"/>
        <v>公共配套设施</v>
      </c>
      <c r="R25" s="484" t="s">
        <v>1299</v>
      </c>
      <c r="S25" s="485">
        <f>F25</f>
        <v>100</v>
      </c>
      <c r="T25" s="484" t="s">
        <v>1299</v>
      </c>
      <c r="U25" s="485">
        <f>H25</f>
        <v>100</v>
      </c>
      <c r="V25" s="484" t="s">
        <v>1299</v>
      </c>
      <c r="W25" s="485">
        <f>J25</f>
        <v>100</v>
      </c>
      <c r="X25" s="486"/>
      <c r="Y25" s="419"/>
      <c r="Z25" s="509" t="str">
        <f>Q25</f>
        <v>公共配套设施</v>
      </c>
      <c r="AA25" s="495">
        <f>D25/F25</f>
        <v>1</v>
      </c>
      <c r="AB25" s="495">
        <f>D25/H25</f>
        <v>1</v>
      </c>
      <c r="AC25" s="495">
        <f>D25/J25</f>
        <v>1</v>
      </c>
    </row>
    <row r="26" s="196" customFormat="1" ht="15" spans="1:29">
      <c r="A26" s="549"/>
      <c r="B26" s="293"/>
      <c r="C26" s="1866"/>
      <c r="D26" s="276"/>
      <c r="E26" s="1760"/>
      <c r="F26" s="276"/>
      <c r="G26" s="1760"/>
      <c r="H26" s="276"/>
      <c r="I26" s="275"/>
      <c r="J26" s="276"/>
      <c r="K26" s="1925"/>
      <c r="L26" s="403"/>
      <c r="M26" s="404"/>
      <c r="N26" s="404"/>
      <c r="O26" s="406"/>
      <c r="P26" s="419"/>
      <c r="Q26" s="488"/>
      <c r="R26" s="484"/>
      <c r="S26" s="485"/>
      <c r="T26" s="484"/>
      <c r="U26" s="485"/>
      <c r="V26" s="484"/>
      <c r="W26" s="485"/>
      <c r="X26" s="486"/>
      <c r="Y26" s="419"/>
      <c r="Z26" s="509"/>
      <c r="AA26" s="508">
        <v>1</v>
      </c>
      <c r="AB26" s="508">
        <v>1</v>
      </c>
      <c r="AC26" s="508">
        <v>1</v>
      </c>
    </row>
    <row r="27" s="196" customFormat="1" ht="27" spans="1:29">
      <c r="A27" s="549"/>
      <c r="B27" s="616" t="s">
        <v>232</v>
      </c>
      <c r="C27" s="280" t="str">
        <f>估价对象房地状况!G20</f>
        <v>估价对象所在区域基础设施水平</v>
      </c>
      <c r="D27" s="278">
        <v>100</v>
      </c>
      <c r="E27" s="288"/>
      <c r="F27" s="278">
        <f>SUMIF(95:95,E28,96:96)-SUMIF(95:95,C28,96:96)+100</f>
        <v>100</v>
      </c>
      <c r="G27" s="288"/>
      <c r="H27" s="278">
        <f>SUMIF(95:95,G28,96:96)-SUMIF(95:95,C28,96:96)+100</f>
        <v>100</v>
      </c>
      <c r="I27" s="290"/>
      <c r="J27" s="278">
        <f>SUMIF(95:95,I28,96:96)-SUMIF(95:95,C28,96:96)+100</f>
        <v>100</v>
      </c>
      <c r="K27" s="1926"/>
      <c r="L27" s="403"/>
      <c r="M27" s="404"/>
      <c r="N27" s="404"/>
      <c r="O27" s="406"/>
      <c r="P27" s="419"/>
      <c r="Q27" s="488" t="str">
        <f t="shared" ref="Q27" si="9">B27</f>
        <v>基础设施水平</v>
      </c>
      <c r="R27" s="484" t="s">
        <v>1299</v>
      </c>
      <c r="S27" s="485">
        <f>F27</f>
        <v>100</v>
      </c>
      <c r="T27" s="484" t="s">
        <v>1299</v>
      </c>
      <c r="U27" s="485">
        <f>H27</f>
        <v>100</v>
      </c>
      <c r="V27" s="484" t="s">
        <v>1299</v>
      </c>
      <c r="W27" s="485">
        <f>J27</f>
        <v>100</v>
      </c>
      <c r="X27" s="486"/>
      <c r="Y27" s="419"/>
      <c r="Z27" s="509" t="str">
        <f>Q27</f>
        <v>基础设施水平</v>
      </c>
      <c r="AA27" s="495">
        <f>D27/F27</f>
        <v>1</v>
      </c>
      <c r="AB27" s="495">
        <f>D27/H27</f>
        <v>1</v>
      </c>
      <c r="AC27" s="495">
        <f>D27/J27</f>
        <v>1</v>
      </c>
    </row>
    <row r="28" s="196" customFormat="1" ht="15" spans="1:29">
      <c r="A28" s="549"/>
      <c r="B28" s="293"/>
      <c r="C28" s="1866"/>
      <c r="D28" s="276"/>
      <c r="E28" s="1867"/>
      <c r="F28" s="276"/>
      <c r="G28" s="1867"/>
      <c r="H28" s="276"/>
      <c r="I28" s="1867"/>
      <c r="J28" s="276"/>
      <c r="K28" s="1925"/>
      <c r="L28" s="403"/>
      <c r="M28" s="404"/>
      <c r="N28" s="404"/>
      <c r="O28" s="406"/>
      <c r="P28" s="419"/>
      <c r="Q28" s="488"/>
      <c r="R28" s="484"/>
      <c r="S28" s="485"/>
      <c r="T28" s="484"/>
      <c r="U28" s="485"/>
      <c r="V28" s="484"/>
      <c r="W28" s="485"/>
      <c r="X28" s="486"/>
      <c r="Y28" s="419"/>
      <c r="Z28" s="509"/>
      <c r="AA28" s="508">
        <v>1</v>
      </c>
      <c r="AB28" s="508">
        <v>1</v>
      </c>
      <c r="AC28" s="508">
        <v>1</v>
      </c>
    </row>
    <row r="29" ht="15" spans="1:29">
      <c r="A29" s="273"/>
      <c r="B29" s="293" t="s">
        <v>234</v>
      </c>
      <c r="C29" s="294"/>
      <c r="D29" s="265">
        <v>100</v>
      </c>
      <c r="E29" s="1763"/>
      <c r="F29" s="265">
        <f>SUMIF(97:97,E29,98:98)-SUMIF(97:97,C29,98:98)+100</f>
        <v>100</v>
      </c>
      <c r="G29" s="1763"/>
      <c r="H29" s="265">
        <f>SUMIF(97:97,G29,98:98)-SUMIF(97:97,C29,98:98)+100</f>
        <v>100</v>
      </c>
      <c r="I29" s="1763"/>
      <c r="J29" s="265">
        <f>SUMIF(97:97,I29,98:98)-SUMIF(97:97,C29,98:98)+100</f>
        <v>100</v>
      </c>
      <c r="K29" s="1926"/>
      <c r="L29" s="415"/>
      <c r="M29" s="398"/>
      <c r="N29" s="398"/>
      <c r="O29" s="414"/>
      <c r="P29" s="419"/>
      <c r="Q29" s="407" t="str">
        <f t="shared" si="8"/>
        <v>临街状况</v>
      </c>
      <c r="R29" s="489" t="s">
        <v>1299</v>
      </c>
      <c r="S29" s="490">
        <f t="shared" ref="S29:S42" si="10">F29</f>
        <v>100</v>
      </c>
      <c r="T29" s="489" t="s">
        <v>1299</v>
      </c>
      <c r="U29" s="490">
        <f t="shared" ref="U29:U42" si="11">H29</f>
        <v>100</v>
      </c>
      <c r="V29" s="489" t="s">
        <v>1299</v>
      </c>
      <c r="W29" s="490">
        <f t="shared" ref="W29:W42" si="12">J29</f>
        <v>100</v>
      </c>
      <c r="X29" s="476"/>
      <c r="Y29" s="419"/>
      <c r="Z29" s="475" t="str">
        <f t="shared" ref="Z29:Z42" si="13">Q29</f>
        <v>临街状况</v>
      </c>
      <c r="AA29" s="495">
        <f t="shared" si="3"/>
        <v>1</v>
      </c>
      <c r="AB29" s="495">
        <f t="shared" si="4"/>
        <v>1</v>
      </c>
      <c r="AC29" s="495">
        <f t="shared" si="5"/>
        <v>1</v>
      </c>
    </row>
    <row r="30" ht="27" spans="1:29">
      <c r="A30" s="273"/>
      <c r="B30" s="585" t="s">
        <v>1312</v>
      </c>
      <c r="C30" s="1868">
        <f>估价对象房地状况!G22</f>
        <v>0</v>
      </c>
      <c r="D30" s="278">
        <v>100</v>
      </c>
      <c r="E30" s="288"/>
      <c r="F30" s="278">
        <f>SUMIF(99:99,E31,100:100)-SUMIF(99:99,C31,100:100)+100</f>
        <v>100</v>
      </c>
      <c r="G30" s="288"/>
      <c r="H30" s="278">
        <f>SUMIF(99:99,G31,100:100)-SUMIF(99:99,C31,100:100)+100</f>
        <v>100</v>
      </c>
      <c r="I30" s="290"/>
      <c r="J30" s="278">
        <f>SUMIF(99:99,I31,100:100)-SUMIF(99:99,C31,100:100)+100</f>
        <v>100</v>
      </c>
      <c r="K30" s="1926"/>
      <c r="L30" s="415"/>
      <c r="M30" s="398"/>
      <c r="N30" s="398"/>
      <c r="O30" s="414"/>
      <c r="P30" s="419"/>
      <c r="Q30" s="407" t="str">
        <f t="shared" si="8"/>
        <v>毗邻道路的类型与等级</v>
      </c>
      <c r="R30" s="489" t="s">
        <v>1299</v>
      </c>
      <c r="S30" s="490">
        <f t="shared" si="10"/>
        <v>100</v>
      </c>
      <c r="T30" s="489" t="s">
        <v>1299</v>
      </c>
      <c r="U30" s="490">
        <f t="shared" si="11"/>
        <v>100</v>
      </c>
      <c r="V30" s="489" t="s">
        <v>1299</v>
      </c>
      <c r="W30" s="490">
        <f t="shared" si="12"/>
        <v>100</v>
      </c>
      <c r="X30" s="476"/>
      <c r="Y30" s="419"/>
      <c r="Z30" s="475" t="str">
        <f t="shared" si="13"/>
        <v>毗邻道路的类型与等级</v>
      </c>
      <c r="AA30" s="495">
        <f t="shared" si="3"/>
        <v>1</v>
      </c>
      <c r="AB30" s="495">
        <f t="shared" si="4"/>
        <v>1</v>
      </c>
      <c r="AC30" s="495">
        <f t="shared" si="5"/>
        <v>1</v>
      </c>
    </row>
    <row r="31" ht="15" spans="1:29">
      <c r="A31" s="273"/>
      <c r="B31" s="293"/>
      <c r="C31" s="275"/>
      <c r="D31" s="276"/>
      <c r="E31" s="275"/>
      <c r="F31" s="276"/>
      <c r="G31" s="275"/>
      <c r="H31" s="276"/>
      <c r="I31" s="275"/>
      <c r="J31" s="276"/>
      <c r="K31" s="412"/>
      <c r="L31" s="415"/>
      <c r="M31" s="398"/>
      <c r="N31" s="398"/>
      <c r="O31" s="414"/>
      <c r="P31" s="419"/>
      <c r="Q31" s="407"/>
      <c r="R31" s="489"/>
      <c r="S31" s="490"/>
      <c r="T31" s="489"/>
      <c r="U31" s="490"/>
      <c r="V31" s="489"/>
      <c r="W31" s="490"/>
      <c r="X31" s="476"/>
      <c r="Y31" s="419"/>
      <c r="Z31" s="475"/>
      <c r="AA31" s="495">
        <v>1</v>
      </c>
      <c r="AB31" s="495">
        <v>1</v>
      </c>
      <c r="AC31" s="495">
        <v>1</v>
      </c>
    </row>
    <row r="32" ht="15" spans="1:29">
      <c r="A32" s="273"/>
      <c r="B32" s="307" t="s">
        <v>1313</v>
      </c>
      <c r="C32" s="1869">
        <f>估价对象房地状况!G23</f>
        <v>0</v>
      </c>
      <c r="D32" s="265">
        <v>100</v>
      </c>
      <c r="E32" s="1763"/>
      <c r="F32" s="265">
        <f>SUMIF(101:101,E32,102:102)-SUMIF(101:101,C32,102:102)+100</f>
        <v>100</v>
      </c>
      <c r="G32" s="1763"/>
      <c r="H32" s="265">
        <f>SUMIF(101:101,G32,102:102)-SUMIF(101:101,C32,102:102)+100</f>
        <v>100</v>
      </c>
      <c r="I32" s="1763"/>
      <c r="J32" s="265">
        <f>SUMIF(101:101,I32,102:102)-SUMIF(101:101,C32,102:102)+100</f>
        <v>100</v>
      </c>
      <c r="K32" s="408"/>
      <c r="L32" s="415"/>
      <c r="M32" s="398"/>
      <c r="N32" s="398"/>
      <c r="O32" s="414"/>
      <c r="P32" s="419"/>
      <c r="Q32" s="407" t="str">
        <f t="shared" si="8"/>
        <v>土地级别</v>
      </c>
      <c r="R32" s="489" t="s">
        <v>1299</v>
      </c>
      <c r="S32" s="490">
        <f t="shared" si="10"/>
        <v>100</v>
      </c>
      <c r="T32" s="489" t="s">
        <v>1299</v>
      </c>
      <c r="U32" s="490">
        <f t="shared" si="11"/>
        <v>100</v>
      </c>
      <c r="V32" s="489" t="s">
        <v>1299</v>
      </c>
      <c r="W32" s="490">
        <f t="shared" si="12"/>
        <v>100</v>
      </c>
      <c r="X32" s="476"/>
      <c r="Y32" s="419"/>
      <c r="Z32" s="475" t="str">
        <f t="shared" si="13"/>
        <v>土地级别</v>
      </c>
      <c r="AA32" s="495">
        <f t="shared" si="3"/>
        <v>1</v>
      </c>
      <c r="AB32" s="495">
        <f t="shared" si="4"/>
        <v>1</v>
      </c>
      <c r="AC32" s="495">
        <f t="shared" si="5"/>
        <v>1</v>
      </c>
    </row>
    <row r="33" ht="15" spans="1:29">
      <c r="A33" s="226"/>
      <c r="B33" s="586">
        <v>111</v>
      </c>
      <c r="C33" s="1865"/>
      <c r="D33" s="265">
        <v>100</v>
      </c>
      <c r="E33" s="655"/>
      <c r="F33" s="265">
        <f>SUMIF(103:103,E33,104:104)-SUMIF(103:103,C33,104:104)+100</f>
        <v>100</v>
      </c>
      <c r="G33" s="655"/>
      <c r="H33" s="265">
        <f>SUMIF(103:103,G33,104:104)-SUMIF(103:103,C33,104:104)+100</f>
        <v>100</v>
      </c>
      <c r="I33" s="381"/>
      <c r="J33" s="265">
        <f>SUMIF(103:103,I33,104:104)-SUMIF(103:103,C33,104:104)+100</f>
        <v>100</v>
      </c>
      <c r="K33" s="412"/>
      <c r="L33" s="415"/>
      <c r="M33" s="398"/>
      <c r="N33" s="398"/>
      <c r="O33" s="414"/>
      <c r="P33" s="419"/>
      <c r="Q33" s="407">
        <f t="shared" si="8"/>
        <v>111</v>
      </c>
      <c r="R33" s="489" t="s">
        <v>1299</v>
      </c>
      <c r="S33" s="490">
        <f t="shared" si="10"/>
        <v>100</v>
      </c>
      <c r="T33" s="489" t="s">
        <v>1299</v>
      </c>
      <c r="U33" s="490">
        <f t="shared" si="11"/>
        <v>100</v>
      </c>
      <c r="V33" s="489" t="s">
        <v>1299</v>
      </c>
      <c r="W33" s="490">
        <f t="shared" si="12"/>
        <v>100</v>
      </c>
      <c r="X33" s="476"/>
      <c r="Y33" s="419"/>
      <c r="Z33" s="475">
        <f t="shared" si="13"/>
        <v>111</v>
      </c>
      <c r="AA33" s="495">
        <f t="shared" si="3"/>
        <v>1</v>
      </c>
      <c r="AB33" s="495">
        <f t="shared" si="4"/>
        <v>1</v>
      </c>
      <c r="AC33" s="495">
        <f t="shared" si="5"/>
        <v>1</v>
      </c>
    </row>
    <row r="34" ht="15" spans="1:29">
      <c r="A34" s="1870"/>
      <c r="B34" s="1871">
        <v>111</v>
      </c>
      <c r="C34" s="1865"/>
      <c r="D34" s="265">
        <v>100</v>
      </c>
      <c r="E34" s="655"/>
      <c r="F34" s="265">
        <f>SUMIF(105:105,E35,106:106)-SUMIF(105:105,C35,106:106)+100</f>
        <v>100</v>
      </c>
      <c r="G34" s="655"/>
      <c r="H34" s="265">
        <f>SUMIF(105:105,G34,106:106)-SUMIF(105:105,C34,106:106)+100</f>
        <v>100</v>
      </c>
      <c r="I34" s="1865"/>
      <c r="J34" s="265">
        <f>SUMIF(105:105,I34,106:106)-SUMIF(105:105,C34,106:106)+100</f>
        <v>100</v>
      </c>
      <c r="K34" s="412"/>
      <c r="L34" s="415"/>
      <c r="M34" s="398"/>
      <c r="N34" s="398"/>
      <c r="O34" s="414"/>
      <c r="P34" s="421" t="s">
        <v>1314</v>
      </c>
      <c r="Q34" s="407">
        <f t="shared" si="8"/>
        <v>111</v>
      </c>
      <c r="R34" s="489" t="s">
        <v>1299</v>
      </c>
      <c r="S34" s="490">
        <f t="shared" si="10"/>
        <v>100</v>
      </c>
      <c r="T34" s="489" t="s">
        <v>1299</v>
      </c>
      <c r="U34" s="490">
        <f t="shared" si="11"/>
        <v>100</v>
      </c>
      <c r="V34" s="489" t="s">
        <v>1299</v>
      </c>
      <c r="W34" s="490">
        <f t="shared" si="12"/>
        <v>100</v>
      </c>
      <c r="X34" s="476"/>
      <c r="Y34" s="424" t="s">
        <v>1314</v>
      </c>
      <c r="Z34" s="475">
        <f t="shared" si="13"/>
        <v>111</v>
      </c>
      <c r="AA34" s="495">
        <f t="shared" si="3"/>
        <v>1</v>
      </c>
      <c r="AB34" s="495">
        <f t="shared" si="4"/>
        <v>1</v>
      </c>
      <c r="AC34" s="495">
        <f t="shared" si="5"/>
        <v>1</v>
      </c>
    </row>
    <row r="35" s="198" customFormat="1" ht="15.75" spans="1:29">
      <c r="A35" s="1872"/>
      <c r="B35" s="1873">
        <v>111</v>
      </c>
      <c r="C35" s="1874"/>
      <c r="D35" s="1875">
        <v>100</v>
      </c>
      <c r="E35" s="1876"/>
      <c r="F35" s="318">
        <f>SUMIF(107:107,E35,108:108)-SUMIF(107:107,C35,108:108)+100</f>
        <v>100</v>
      </c>
      <c r="G35" s="1876"/>
      <c r="H35" s="318">
        <f>SUMIF(107:107,G35,108:108)-SUMIF(107:107,C35,108:108)+100</f>
        <v>100</v>
      </c>
      <c r="I35" s="1874"/>
      <c r="J35" s="318">
        <f>SUMIF(107:107,I35,108:108)-SUMIF(107:107,C35,108:108)+100</f>
        <v>100</v>
      </c>
      <c r="K35" s="412"/>
      <c r="L35" s="413"/>
      <c r="M35" s="422"/>
      <c r="N35" s="422"/>
      <c r="O35" s="423"/>
      <c r="P35" s="424"/>
      <c r="Q35" s="407">
        <f t="shared" si="8"/>
        <v>111</v>
      </c>
      <c r="R35" s="492" t="s">
        <v>1299</v>
      </c>
      <c r="S35" s="493">
        <f t="shared" si="10"/>
        <v>100</v>
      </c>
      <c r="T35" s="492" t="s">
        <v>1299</v>
      </c>
      <c r="U35" s="493">
        <f t="shared" si="11"/>
        <v>100</v>
      </c>
      <c r="V35" s="492" t="s">
        <v>1299</v>
      </c>
      <c r="W35" s="493">
        <f t="shared" si="12"/>
        <v>100</v>
      </c>
      <c r="X35" s="494"/>
      <c r="Y35" s="424"/>
      <c r="Z35" s="510">
        <f t="shared" si="13"/>
        <v>111</v>
      </c>
      <c r="AA35" s="495">
        <f t="shared" si="3"/>
        <v>1</v>
      </c>
      <c r="AB35" s="495">
        <f t="shared" si="4"/>
        <v>1</v>
      </c>
      <c r="AC35" s="495">
        <f t="shared" si="5"/>
        <v>1</v>
      </c>
    </row>
    <row r="36" ht="15" spans="1:29">
      <c r="A36" s="301" t="s">
        <v>1315</v>
      </c>
      <c r="B36" s="293" t="s">
        <v>1316</v>
      </c>
      <c r="C36" s="1877"/>
      <c r="D36" s="304">
        <v>100</v>
      </c>
      <c r="E36" s="1877"/>
      <c r="F36" s="304" t="e">
        <f>LOOKUP(E36,110:110,111:111)-LOOKUP(C36,110:110,111:111)+100</f>
        <v>#N/A</v>
      </c>
      <c r="G36" s="1877"/>
      <c r="H36" s="304" t="e">
        <f>LOOKUP(G36,110:110,111:111)-LOOKUP(C36,110:110,111:111)+100</f>
        <v>#N/A</v>
      </c>
      <c r="I36" s="372"/>
      <c r="J36" s="304" t="e">
        <f>LOOKUP(I36,110:110,111:111)-LOOKUP(C36,110:110,111:111)+100</f>
        <v>#N/A</v>
      </c>
      <c r="K36" s="412"/>
      <c r="L36" s="415"/>
      <c r="M36" s="398"/>
      <c r="N36" s="398"/>
      <c r="O36" s="414"/>
      <c r="P36" s="424"/>
      <c r="Q36" s="407" t="str">
        <f t="shared" si="8"/>
        <v>宗地面积</v>
      </c>
      <c r="R36" s="489" t="s">
        <v>1299</v>
      </c>
      <c r="S36" s="490" t="e">
        <f t="shared" si="10"/>
        <v>#N/A</v>
      </c>
      <c r="T36" s="489" t="s">
        <v>1299</v>
      </c>
      <c r="U36" s="490" t="e">
        <f t="shared" si="11"/>
        <v>#N/A</v>
      </c>
      <c r="V36" s="489" t="s">
        <v>1299</v>
      </c>
      <c r="W36" s="490" t="e">
        <f t="shared" si="12"/>
        <v>#N/A</v>
      </c>
      <c r="X36" s="476"/>
      <c r="Y36" s="424"/>
      <c r="Z36" s="475" t="str">
        <f t="shared" si="13"/>
        <v>宗地面积</v>
      </c>
      <c r="AA36" s="495" t="e">
        <f t="shared" si="3"/>
        <v>#N/A</v>
      </c>
      <c r="AB36" s="495" t="e">
        <f t="shared" si="4"/>
        <v>#N/A</v>
      </c>
      <c r="AC36" s="495" t="e">
        <f t="shared" si="5"/>
        <v>#N/A</v>
      </c>
    </row>
    <row r="37" ht="15" spans="1:29">
      <c r="A37" s="311"/>
      <c r="B37" s="307" t="s">
        <v>1317</v>
      </c>
      <c r="C37" s="622"/>
      <c r="D37" s="265">
        <v>100</v>
      </c>
      <c r="E37" s="622"/>
      <c r="F37" s="265">
        <f>SUMIF(112:112,E37,113:113)-SUMIF(112:112,C37,113:113)+100</f>
        <v>100</v>
      </c>
      <c r="G37" s="622"/>
      <c r="H37" s="265">
        <f>SUMIF(112:112,G37,113:113)-SUMIF(112:112,C37,113:113)+100</f>
        <v>100</v>
      </c>
      <c r="I37" s="622"/>
      <c r="J37" s="265">
        <f>SUMIF(112:112,I37,113:113)-SUMIF(112:112,C37,113:113)+100</f>
        <v>100</v>
      </c>
      <c r="K37" s="408"/>
      <c r="L37" s="415"/>
      <c r="M37" s="398"/>
      <c r="N37" s="398"/>
      <c r="O37" s="414"/>
      <c r="P37" s="424"/>
      <c r="Q37" s="407" t="str">
        <f t="shared" ref="Q37:Q42" si="14">B37</f>
        <v>宗地形状</v>
      </c>
      <c r="R37" s="489" t="s">
        <v>1299</v>
      </c>
      <c r="S37" s="490">
        <f t="shared" si="10"/>
        <v>100</v>
      </c>
      <c r="T37" s="489" t="s">
        <v>1299</v>
      </c>
      <c r="U37" s="490">
        <f t="shared" si="11"/>
        <v>100</v>
      </c>
      <c r="V37" s="489" t="s">
        <v>1299</v>
      </c>
      <c r="W37" s="490">
        <f t="shared" si="12"/>
        <v>100</v>
      </c>
      <c r="X37" s="476"/>
      <c r="Y37" s="424"/>
      <c r="Z37" s="475" t="str">
        <f t="shared" si="13"/>
        <v>宗地形状</v>
      </c>
      <c r="AA37" s="495">
        <f t="shared" si="3"/>
        <v>1</v>
      </c>
      <c r="AB37" s="495">
        <f t="shared" si="4"/>
        <v>1</v>
      </c>
      <c r="AC37" s="495">
        <f t="shared" si="5"/>
        <v>1</v>
      </c>
    </row>
    <row r="38" s="196" customFormat="1" ht="15" spans="1:29">
      <c r="A38" s="314"/>
      <c r="B38" s="591" t="s">
        <v>1319</v>
      </c>
      <c r="C38" s="1878"/>
      <c r="D38" s="255">
        <v>100</v>
      </c>
      <c r="E38" s="1878"/>
      <c r="F38" s="265">
        <f>SUMIF(114:114,E38,115:115)-SUMIF(114:114,C38,115:115)+100</f>
        <v>100</v>
      </c>
      <c r="G38" s="1878"/>
      <c r="H38" s="265">
        <f>SUMIF(114:114,G38,115:115)-SUMIF(114:114,C38,115:115)+100</f>
        <v>100</v>
      </c>
      <c r="I38" s="1878"/>
      <c r="J38" s="265">
        <f>SUMIF(114:114,I38,115:115)-SUMIF(114:114,C38,115:115)+100</f>
        <v>100</v>
      </c>
      <c r="K38" s="408"/>
      <c r="L38" s="403"/>
      <c r="M38" s="404"/>
      <c r="N38" s="404"/>
      <c r="O38" s="406"/>
      <c r="P38" s="424"/>
      <c r="Q38" s="407" t="str">
        <f t="shared" si="14"/>
        <v>宗地开发程度</v>
      </c>
      <c r="R38" s="484" t="s">
        <v>1299</v>
      </c>
      <c r="S38" s="485">
        <f t="shared" si="10"/>
        <v>100</v>
      </c>
      <c r="T38" s="484" t="s">
        <v>1299</v>
      </c>
      <c r="U38" s="485">
        <f t="shared" si="11"/>
        <v>100</v>
      </c>
      <c r="V38" s="484" t="s">
        <v>1299</v>
      </c>
      <c r="W38" s="485">
        <f t="shared" si="12"/>
        <v>100</v>
      </c>
      <c r="X38" s="486"/>
      <c r="Y38" s="424"/>
      <c r="Z38" s="509" t="str">
        <f t="shared" si="13"/>
        <v>宗地开发程度</v>
      </c>
      <c r="AA38" s="508">
        <f t="shared" si="3"/>
        <v>1</v>
      </c>
      <c r="AB38" s="508">
        <f t="shared" si="4"/>
        <v>1</v>
      </c>
      <c r="AC38" s="508">
        <f t="shared" si="5"/>
        <v>1</v>
      </c>
    </row>
    <row r="39" ht="15" spans="1:29">
      <c r="A39" s="311"/>
      <c r="B39" s="307" t="s">
        <v>1320</v>
      </c>
      <c r="C39" s="622"/>
      <c r="D39" s="265">
        <v>100</v>
      </c>
      <c r="E39" s="622"/>
      <c r="F39" s="265">
        <f>SUMIF(116:116,E39,117:117)-SUMIF(116:116,C39,117:117)+100</f>
        <v>100</v>
      </c>
      <c r="G39" s="622"/>
      <c r="H39" s="265">
        <f>SUMIF(116:116,G39,117:117)-SUMIF(116:116,C39,117:117)+100</f>
        <v>100</v>
      </c>
      <c r="I39" s="622"/>
      <c r="J39" s="265">
        <f>SUMIF(116:116,I39,117:117)-SUMIF(116:116,C39,117:117)+100</f>
        <v>100</v>
      </c>
      <c r="K39" s="408"/>
      <c r="L39" s="415"/>
      <c r="M39" s="398"/>
      <c r="N39" s="398"/>
      <c r="O39" s="414"/>
      <c r="P39" s="424" t="s">
        <v>1314</v>
      </c>
      <c r="Q39" s="407" t="str">
        <f t="shared" si="14"/>
        <v>工程地质条件</v>
      </c>
      <c r="R39" s="489" t="s">
        <v>1299</v>
      </c>
      <c r="S39" s="490">
        <f t="shared" si="10"/>
        <v>100</v>
      </c>
      <c r="T39" s="489" t="s">
        <v>1299</v>
      </c>
      <c r="U39" s="490">
        <f t="shared" si="11"/>
        <v>100</v>
      </c>
      <c r="V39" s="489" t="s">
        <v>1299</v>
      </c>
      <c r="W39" s="490">
        <f t="shared" si="12"/>
        <v>100</v>
      </c>
      <c r="X39" s="476"/>
      <c r="Y39" s="424" t="s">
        <v>1314</v>
      </c>
      <c r="Z39" s="475" t="str">
        <f t="shared" si="13"/>
        <v>工程地质条件</v>
      </c>
      <c r="AA39" s="495">
        <f t="shared" si="3"/>
        <v>1</v>
      </c>
      <c r="AB39" s="495">
        <f t="shared" si="4"/>
        <v>1</v>
      </c>
      <c r="AC39" s="495">
        <f t="shared" si="5"/>
        <v>1</v>
      </c>
    </row>
    <row r="40" ht="15" spans="1:29">
      <c r="A40" s="311"/>
      <c r="B40" s="1871">
        <v>111</v>
      </c>
      <c r="C40" s="1865"/>
      <c r="D40" s="265">
        <v>100</v>
      </c>
      <c r="E40" s="1865"/>
      <c r="F40" s="265">
        <f>SUMIF(118:118,E40,119:119)-SUMIF(118:118,C40,119:119)+100</f>
        <v>100</v>
      </c>
      <c r="G40" s="1865"/>
      <c r="H40" s="265">
        <f>SUMIF(118:118,G40,119:119)-SUMIF(118:118,C40,119:119)+100</f>
        <v>100</v>
      </c>
      <c r="I40" s="381"/>
      <c r="J40" s="265">
        <f>SUMIF(118:118,I40,119:119)-SUMIF(118:118,C40,119:119)+100</f>
        <v>100</v>
      </c>
      <c r="K40" s="412"/>
      <c r="L40" s="415"/>
      <c r="M40" s="398"/>
      <c r="N40" s="398"/>
      <c r="O40" s="414"/>
      <c r="P40" s="424"/>
      <c r="Q40" s="407">
        <f t="shared" si="14"/>
        <v>111</v>
      </c>
      <c r="R40" s="489" t="s">
        <v>1299</v>
      </c>
      <c r="S40" s="490">
        <f t="shared" si="10"/>
        <v>100</v>
      </c>
      <c r="T40" s="489" t="s">
        <v>1299</v>
      </c>
      <c r="U40" s="490">
        <f t="shared" si="11"/>
        <v>100</v>
      </c>
      <c r="V40" s="489" t="s">
        <v>1299</v>
      </c>
      <c r="W40" s="490">
        <f t="shared" si="12"/>
        <v>100</v>
      </c>
      <c r="X40" s="476"/>
      <c r="Y40" s="424"/>
      <c r="Z40" s="475">
        <f t="shared" si="13"/>
        <v>111</v>
      </c>
      <c r="AA40" s="495">
        <f t="shared" si="3"/>
        <v>1</v>
      </c>
      <c r="AB40" s="495">
        <f t="shared" si="4"/>
        <v>1</v>
      </c>
      <c r="AC40" s="495">
        <f t="shared" si="5"/>
        <v>1</v>
      </c>
    </row>
    <row r="41" ht="15" spans="1:29">
      <c r="A41" s="311"/>
      <c r="B41" s="1871">
        <v>111</v>
      </c>
      <c r="C41" s="1865"/>
      <c r="D41" s="265">
        <v>100</v>
      </c>
      <c r="E41" s="1865"/>
      <c r="F41" s="265">
        <f>SUMIF(120:120,E41,121:121)-SUMIF(120:120,C41,121:121)+100</f>
        <v>100</v>
      </c>
      <c r="G41" s="1865"/>
      <c r="H41" s="265">
        <f>SUMIF(120:120,G41,121:121)-SUMIF(120:120,C41,121:121)+100</f>
        <v>100</v>
      </c>
      <c r="I41" s="381"/>
      <c r="J41" s="265">
        <f>SUMIF(120:120,I41,121:121)-SUMIF(120:120,C41,121:121)+100</f>
        <v>100</v>
      </c>
      <c r="K41" s="412"/>
      <c r="L41" s="415"/>
      <c r="M41" s="398"/>
      <c r="N41" s="398"/>
      <c r="O41" s="414"/>
      <c r="P41" s="424"/>
      <c r="Q41" s="407">
        <f t="shared" si="14"/>
        <v>111</v>
      </c>
      <c r="R41" s="489" t="s">
        <v>1299</v>
      </c>
      <c r="S41" s="490">
        <f t="shared" si="10"/>
        <v>100</v>
      </c>
      <c r="T41" s="489" t="s">
        <v>1299</v>
      </c>
      <c r="U41" s="490">
        <f t="shared" si="11"/>
        <v>100</v>
      </c>
      <c r="V41" s="489" t="s">
        <v>1299</v>
      </c>
      <c r="W41" s="490">
        <f t="shared" si="12"/>
        <v>100</v>
      </c>
      <c r="X41" s="476"/>
      <c r="Y41" s="424"/>
      <c r="Z41" s="475">
        <f t="shared" si="13"/>
        <v>111</v>
      </c>
      <c r="AA41" s="495">
        <f t="shared" si="3"/>
        <v>1</v>
      </c>
      <c r="AB41" s="495">
        <f t="shared" si="4"/>
        <v>1</v>
      </c>
      <c r="AC41" s="495">
        <f t="shared" si="5"/>
        <v>1</v>
      </c>
    </row>
    <row r="42" s="198" customFormat="1" ht="15.75" spans="1:29">
      <c r="A42" s="306"/>
      <c r="B42" s="1871">
        <v>111</v>
      </c>
      <c r="C42" s="1879"/>
      <c r="D42" s="1875">
        <v>100</v>
      </c>
      <c r="E42" s="1865"/>
      <c r="F42" s="318">
        <f>SUMIF(122:122,E42,123:123)-SUMIF(122:122,C42,123:123)+100</f>
        <v>100</v>
      </c>
      <c r="G42" s="1865"/>
      <c r="H42" s="318">
        <f>SUMIF(122:122,G42,123:123)-SUMIF(122:122,C42,123:123)+100</f>
        <v>100</v>
      </c>
      <c r="I42" s="381"/>
      <c r="J42" s="318">
        <f>SUMIF(122:122,I42,123:123)-SUMIF(122:122,C42,123:123)+100</f>
        <v>100</v>
      </c>
      <c r="K42" s="1929"/>
      <c r="L42" s="413"/>
      <c r="M42" s="422"/>
      <c r="N42" s="422"/>
      <c r="O42" s="423"/>
      <c r="P42" s="424"/>
      <c r="Q42" s="407">
        <f t="shared" si="14"/>
        <v>111</v>
      </c>
      <c r="R42" s="492" t="s">
        <v>1299</v>
      </c>
      <c r="S42" s="493">
        <f t="shared" si="10"/>
        <v>100</v>
      </c>
      <c r="T42" s="492" t="s">
        <v>1299</v>
      </c>
      <c r="U42" s="493">
        <f t="shared" si="11"/>
        <v>100</v>
      </c>
      <c r="V42" s="492" t="s">
        <v>1299</v>
      </c>
      <c r="W42" s="493">
        <f t="shared" si="12"/>
        <v>100</v>
      </c>
      <c r="X42" s="494"/>
      <c r="Y42" s="424"/>
      <c r="Z42" s="510">
        <f t="shared" si="13"/>
        <v>111</v>
      </c>
      <c r="AA42" s="495">
        <f t="shared" si="3"/>
        <v>1</v>
      </c>
      <c r="AB42" s="495">
        <f t="shared" si="4"/>
        <v>1</v>
      </c>
      <c r="AC42" s="495">
        <f t="shared" si="5"/>
        <v>1</v>
      </c>
    </row>
    <row r="43" ht="15" spans="1:29">
      <c r="A43" s="321" t="s">
        <v>1321</v>
      </c>
      <c r="B43" s="1880" t="s">
        <v>1322</v>
      </c>
      <c r="C43" s="1881" t="s">
        <v>138</v>
      </c>
      <c r="D43" s="1882"/>
      <c r="E43" s="1883"/>
      <c r="F43" s="1884"/>
      <c r="G43" s="1885"/>
      <c r="H43" s="1886"/>
      <c r="I43" s="1883"/>
      <c r="J43" s="1886"/>
      <c r="K43" s="1930"/>
      <c r="L43" s="426"/>
      <c r="M43" s="398"/>
      <c r="N43" s="398"/>
      <c r="O43" s="349"/>
      <c r="P43" s="407" t="str">
        <f>A43</f>
        <v>成交单价</v>
      </c>
      <c r="Q43" s="407"/>
      <c r="R43" s="475">
        <f>E43</f>
        <v>0</v>
      </c>
      <c r="S43" s="475"/>
      <c r="T43" s="475">
        <f>G43</f>
        <v>0</v>
      </c>
      <c r="U43" s="475"/>
      <c r="V43" s="475">
        <f>I43</f>
        <v>0</v>
      </c>
      <c r="W43" s="475"/>
      <c r="X43" s="351"/>
      <c r="Y43" s="511"/>
      <c r="Z43" s="351"/>
      <c r="AA43" s="351"/>
      <c r="AB43" s="351"/>
      <c r="AC43" s="351"/>
    </row>
    <row r="44" ht="15.75" spans="1:29">
      <c r="A44" s="329" t="s">
        <v>1323</v>
      </c>
      <c r="B44" s="1887"/>
      <c r="C44" s="1888" t="e">
        <f ca="1">R45</f>
        <v>#DIV/0!</v>
      </c>
      <c r="D44" s="332" t="s">
        <v>1324</v>
      </c>
      <c r="E44" s="1888" t="e">
        <f ca="1">R44</f>
        <v>#DIV/0!</v>
      </c>
      <c r="F44" s="334"/>
      <c r="G44" s="1889" t="e">
        <f ca="1">T44</f>
        <v>#DIV/0!</v>
      </c>
      <c r="H44" s="334"/>
      <c r="I44" s="1888" t="e">
        <f ca="1">V44</f>
        <v>#DIV/0!</v>
      </c>
      <c r="J44" s="334"/>
      <c r="K44" s="1931">
        <f>F44+H44+J44</f>
        <v>0</v>
      </c>
      <c r="L44" s="426"/>
      <c r="M44" s="398"/>
      <c r="N44" s="398"/>
      <c r="O44" s="349"/>
      <c r="P44" s="407" t="str">
        <f>A44</f>
        <v>比较价格（元/平方米）</v>
      </c>
      <c r="Q44" s="407"/>
      <c r="R44" s="1942" t="e">
        <f ca="1">ROUND(PRODUCT(R43,AA9:AA42),0)</f>
        <v>#DIV/0!</v>
      </c>
      <c r="S44" s="1942"/>
      <c r="T44" s="1942" t="e">
        <f ca="1">ROUND(PRODUCT(T43,AB9:AB42),0)</f>
        <v>#DIV/0!</v>
      </c>
      <c r="U44" s="1942"/>
      <c r="V44" s="1942" t="e">
        <f ca="1">ROUND(PRODUCT(V43,AC9:AC42),0)</f>
        <v>#DIV/0!</v>
      </c>
      <c r="W44" s="1942"/>
      <c r="X44" s="351"/>
      <c r="Y44" s="351"/>
      <c r="Z44" s="351"/>
      <c r="AA44" s="351"/>
      <c r="AB44" s="351"/>
      <c r="AC44" s="351"/>
    </row>
    <row r="45" ht="15.75" spans="1:29">
      <c r="A45" s="335" t="s">
        <v>1325</v>
      </c>
      <c r="B45" s="336"/>
      <c r="C45" s="1890" t="e">
        <f ca="1">R45</f>
        <v>#DIV/0!</v>
      </c>
      <c r="D45" s="1890"/>
      <c r="E45" s="1890"/>
      <c r="F45" s="1890"/>
      <c r="G45" s="1890"/>
      <c r="H45" s="1890"/>
      <c r="I45" s="1890"/>
      <c r="J45" s="1890"/>
      <c r="K45" s="1932"/>
      <c r="L45" s="426"/>
      <c r="M45" s="398"/>
      <c r="N45" s="398"/>
      <c r="O45" s="349"/>
      <c r="P45" s="429" t="str">
        <f>A45</f>
        <v>估价对象XX用房的比较价格（楼面单价，元/平方米）</v>
      </c>
      <c r="Q45" s="496"/>
      <c r="R45" s="1943" t="e">
        <f ca="1">ROUND(IF(D44="简单平均",AVERAGE(R44:W44),R44*F44+T44*H44+V44*J44),0)</f>
        <v>#DIV/0!</v>
      </c>
      <c r="S45" s="1943"/>
      <c r="T45" s="1943"/>
      <c r="U45" s="1943"/>
      <c r="V45" s="1943"/>
      <c r="W45" s="1943"/>
      <c r="X45" s="351"/>
      <c r="Y45" s="351"/>
      <c r="Z45" s="351"/>
      <c r="AA45" s="351"/>
      <c r="AB45" s="351"/>
      <c r="AC45" s="351"/>
    </row>
    <row r="46" spans="1:29">
      <c r="A46" s="338"/>
      <c r="B46" s="338"/>
      <c r="C46" s="338"/>
      <c r="D46" s="338"/>
      <c r="E46" s="338"/>
      <c r="F46" s="338"/>
      <c r="G46" s="339"/>
      <c r="H46" s="338"/>
      <c r="I46" s="338"/>
      <c r="J46" s="338"/>
      <c r="K46" s="430"/>
      <c r="L46" s="431"/>
      <c r="M46" s="398"/>
      <c r="N46" s="398"/>
      <c r="O46" s="349"/>
      <c r="P46" s="349"/>
      <c r="Q46" s="349"/>
      <c r="R46" s="349"/>
      <c r="S46" s="349"/>
      <c r="T46" s="349"/>
      <c r="U46" s="349"/>
      <c r="V46" s="349"/>
      <c r="W46" s="349"/>
      <c r="X46" s="349"/>
      <c r="Y46" s="349"/>
      <c r="Z46" s="349"/>
      <c r="AA46" s="349"/>
      <c r="AB46" s="349"/>
      <c r="AC46" s="349"/>
    </row>
    <row r="47" spans="1:29">
      <c r="A47" s="338"/>
      <c r="B47" s="338"/>
      <c r="C47" s="338"/>
      <c r="D47" s="338"/>
      <c r="E47" s="338"/>
      <c r="F47" s="338"/>
      <c r="G47" s="338"/>
      <c r="H47" s="338"/>
      <c r="I47" s="338"/>
      <c r="J47" s="338"/>
      <c r="K47" s="430"/>
      <c r="L47" s="431"/>
      <c r="M47" s="398"/>
      <c r="N47" s="398"/>
      <c r="O47" s="349"/>
      <c r="P47" s="349"/>
      <c r="Q47" s="349"/>
      <c r="R47" s="349"/>
      <c r="S47" s="349"/>
      <c r="T47" s="349"/>
      <c r="U47" s="349"/>
      <c r="V47" s="349"/>
      <c r="W47" s="349"/>
      <c r="X47" s="349"/>
      <c r="Y47" s="349"/>
      <c r="Z47" s="349"/>
      <c r="AA47" s="349"/>
      <c r="AB47" s="349"/>
      <c r="AC47" s="349"/>
    </row>
    <row r="48" ht="13.5" customHeight="1" spans="1:29">
      <c r="A48" s="338"/>
      <c r="B48" s="338"/>
      <c r="C48" s="340" t="s">
        <v>1326</v>
      </c>
      <c r="D48" s="341"/>
      <c r="E48" s="342" t="e">
        <f ca="1">IF(E43&lt;E44,E44/E43-1,E43/E44-1)</f>
        <v>#DIV/0!</v>
      </c>
      <c r="F48" s="343" t="e">
        <f ca="1">IF(OR(E48&gt;=0.3,E48&lt;=-0.3),"超过30%","")</f>
        <v>#DIV/0!</v>
      </c>
      <c r="G48" s="342" t="e">
        <f ca="1">IF(G43&lt;G44,G44/G43-1,G43/G44-1)</f>
        <v>#DIV/0!</v>
      </c>
      <c r="H48" s="343" t="e">
        <f ca="1">IF(OR(G48&gt;=0.3,G48&lt;=-0.3),"超过30%","")</f>
        <v>#DIV/0!</v>
      </c>
      <c r="I48" s="342" t="e">
        <f ca="1">IF(I43&lt;I44,I44/I43-1,I43/I44-1)</f>
        <v>#DIV/0!</v>
      </c>
      <c r="J48" s="343" t="e">
        <f ca="1">IF(OR(I48&gt;=0.3,I48&lt;=-0.3),"超过30%","")</f>
        <v>#DIV/0!</v>
      </c>
      <c r="K48" s="430"/>
      <c r="L48" s="431"/>
      <c r="M48" s="398"/>
      <c r="N48" s="398"/>
      <c r="O48" s="349"/>
      <c r="P48" s="349"/>
      <c r="Q48" s="349"/>
      <c r="R48" s="349"/>
      <c r="S48" s="349"/>
      <c r="T48" s="349"/>
      <c r="U48" s="349"/>
      <c r="V48" s="349"/>
      <c r="W48" s="349"/>
      <c r="X48" s="349"/>
      <c r="Y48" s="349"/>
      <c r="Z48" s="349"/>
      <c r="AA48" s="349"/>
      <c r="AB48" s="349"/>
      <c r="AC48" s="349"/>
    </row>
    <row r="49" ht="13.5" customHeight="1" spans="1:29">
      <c r="A49" s="338"/>
      <c r="B49" s="338"/>
      <c r="C49" s="340" t="s">
        <v>1327</v>
      </c>
      <c r="D49" s="344"/>
      <c r="E49" s="342" t="e">
        <f ca="1">IF(E44&lt;G44,G44/E44-1,E44/G44-1)</f>
        <v>#DIV/0!</v>
      </c>
      <c r="F49" s="343" t="e">
        <f ca="1">IF(OR(E49&gt;=0.2,E49&lt;=-0.2),"超过20%","")</f>
        <v>#DIV/0!</v>
      </c>
      <c r="G49" s="342" t="e">
        <f ca="1">IF(G44&lt;I44,I44/G44-1,G44/I44-1)</f>
        <v>#DIV/0!</v>
      </c>
      <c r="H49" s="343" t="e">
        <f ca="1">IF(OR(G49&gt;=0.2,G49&lt;=-0.2),"超过20%","")</f>
        <v>#DIV/0!</v>
      </c>
      <c r="I49" s="342" t="e">
        <f ca="1">IF(I44&lt;E44,E44/I44-1,I44/E44-1)</f>
        <v>#DIV/0!</v>
      </c>
      <c r="J49" s="343" t="e">
        <f ca="1">IF(OR(I49&gt;=0.2,I49&lt;=-0.2),"超过20%","")</f>
        <v>#DIV/0!</v>
      </c>
      <c r="K49" s="430"/>
      <c r="L49" s="431"/>
      <c r="M49" s="349"/>
      <c r="N49" s="349"/>
      <c r="O49" s="349"/>
      <c r="P49" s="349"/>
      <c r="Q49" s="349"/>
      <c r="R49" s="349"/>
      <c r="S49" s="349"/>
      <c r="T49" s="349"/>
      <c r="U49" s="349"/>
      <c r="V49" s="349"/>
      <c r="W49" s="349"/>
      <c r="X49" s="349"/>
      <c r="Y49" s="349"/>
      <c r="Z49" s="349"/>
      <c r="AA49" s="349"/>
      <c r="AB49" s="349"/>
      <c r="AC49" s="349"/>
    </row>
    <row r="50" s="199" customFormat="1" ht="13.5" customHeight="1" spans="1:29">
      <c r="A50" s="345"/>
      <c r="B50" s="345"/>
      <c r="C50" s="340" t="s">
        <v>1328</v>
      </c>
      <c r="D50" s="344"/>
      <c r="E50" s="342" t="e">
        <f>IF(E43&lt;G43,G43/E43-1,E43/G43-1)</f>
        <v>#DIV/0!</v>
      </c>
      <c r="F50" s="343" t="e">
        <f>IF(OR(E50&gt;=0.3,E50&lt;=-0.3),"超过30%","")</f>
        <v>#DIV/0!</v>
      </c>
      <c r="G50" s="342" t="e">
        <f>IF(G43&lt;I43,I43/G43-1,G43/I43-1)</f>
        <v>#DIV/0!</v>
      </c>
      <c r="H50" s="343" t="e">
        <f>IF(OR(G50&gt;=0.3,G50&lt;=-0.3),"超过30%","")</f>
        <v>#DIV/0!</v>
      </c>
      <c r="I50" s="342" t="e">
        <f>IF(I43&lt;E43,E43/I43-1,I43/E43-1)</f>
        <v>#DIV/0!</v>
      </c>
      <c r="J50" s="343" t="e">
        <f>IF(OR(I50&gt;=0.3,I50&lt;=-0.3),"超过30%","")</f>
        <v>#DIV/0!</v>
      </c>
      <c r="K50" s="432"/>
      <c r="L50" s="433"/>
      <c r="M50" s="346"/>
      <c r="N50" s="346"/>
      <c r="O50" s="346"/>
      <c r="P50" s="346"/>
      <c r="Q50" s="346"/>
      <c r="R50" s="346"/>
      <c r="S50" s="346"/>
      <c r="T50" s="346"/>
      <c r="U50" s="346"/>
      <c r="V50" s="346"/>
      <c r="W50" s="346"/>
      <c r="X50" s="346"/>
      <c r="Y50" s="346"/>
      <c r="Z50" s="346"/>
      <c r="AA50" s="346"/>
      <c r="AB50" s="346"/>
      <c r="AC50" s="346"/>
    </row>
    <row r="51" s="199" customFormat="1" ht="15" spans="1:29">
      <c r="A51" s="345"/>
      <c r="B51" s="1891"/>
      <c r="C51" s="348"/>
      <c r="D51" s="346"/>
      <c r="E51" s="346"/>
      <c r="F51" s="346"/>
      <c r="G51" s="346"/>
      <c r="H51" s="346"/>
      <c r="I51" s="346"/>
      <c r="J51" s="346"/>
      <c r="K51" s="432"/>
      <c r="L51" s="433"/>
      <c r="M51" s="346"/>
      <c r="N51" s="346"/>
      <c r="O51" s="346"/>
      <c r="P51" s="346"/>
      <c r="Q51" s="346"/>
      <c r="R51" s="346"/>
      <c r="S51" s="346"/>
      <c r="T51" s="346"/>
      <c r="U51" s="346"/>
      <c r="V51" s="346"/>
      <c r="W51" s="346"/>
      <c r="X51" s="346"/>
      <c r="Y51" s="346"/>
      <c r="Z51" s="346"/>
      <c r="AA51" s="346"/>
      <c r="AB51" s="346"/>
      <c r="AC51" s="346"/>
    </row>
    <row r="52" ht="27" spans="1:29">
      <c r="A52" s="1892" t="s">
        <v>1329</v>
      </c>
      <c r="B52" s="1893" t="s">
        <v>1330</v>
      </c>
      <c r="C52" s="1894" t="s">
        <v>1331</v>
      </c>
      <c r="D52" s="1895" t="s">
        <v>1332</v>
      </c>
      <c r="E52" s="1896" t="s">
        <v>1333</v>
      </c>
      <c r="F52" s="1897" t="s">
        <v>1334</v>
      </c>
      <c r="G52" s="1898" t="s">
        <v>1335</v>
      </c>
      <c r="H52" s="1899"/>
      <c r="I52" s="1933" t="s">
        <v>363</v>
      </c>
      <c r="J52" s="1934">
        <f>项目基本情况!F41</f>
        <v>0</v>
      </c>
      <c r="K52" s="1935" t="s">
        <v>1336</v>
      </c>
      <c r="L52" s="431"/>
      <c r="M52" s="349"/>
      <c r="N52" s="349"/>
      <c r="O52" s="349"/>
      <c r="P52" s="349"/>
      <c r="Q52" s="349"/>
      <c r="R52" s="349"/>
      <c r="S52" s="349"/>
      <c r="T52" s="349"/>
      <c r="U52" s="349"/>
      <c r="V52" s="349"/>
      <c r="W52" s="349"/>
      <c r="X52" s="349"/>
      <c r="Y52" s="349"/>
      <c r="Z52" s="349"/>
      <c r="AA52" s="349"/>
      <c r="AB52" s="349"/>
      <c r="AC52" s="349"/>
    </row>
    <row r="53" s="1856" customFormat="1" ht="12.75" spans="1:29">
      <c r="A53" s="1900" t="s">
        <v>1337</v>
      </c>
      <c r="B53" s="1901" t="e">
        <f ca="1">C45</f>
        <v>#DIV/0!</v>
      </c>
      <c r="C53" s="1902">
        <v>1</v>
      </c>
      <c r="D53" s="1903">
        <v>1</v>
      </c>
      <c r="E53" s="1902">
        <f>'数据-汇总表'!E8+'数据-汇总表'!E9</f>
        <v>25022.71</v>
      </c>
      <c r="F53" s="1904" t="e">
        <f ca="1" t="shared" ref="F53:F62" si="15">ROUND(B53*E53/10000,0)</f>
        <v>#DIV/0!</v>
      </c>
      <c r="G53" s="1905"/>
      <c r="H53" s="1906"/>
      <c r="I53" s="1936">
        <v>1</v>
      </c>
      <c r="J53" s="1937">
        <v>1</v>
      </c>
      <c r="K53" s="1938"/>
      <c r="L53" s="1939"/>
      <c r="M53" s="1939"/>
      <c r="N53" s="1939"/>
      <c r="O53" s="1939"/>
      <c r="P53" s="1939"/>
      <c r="Q53" s="1939"/>
      <c r="R53" s="1939"/>
      <c r="S53" s="1939"/>
      <c r="T53" s="1939"/>
      <c r="U53" s="1939"/>
      <c r="V53" s="1939"/>
      <c r="W53" s="1939"/>
      <c r="X53" s="1939"/>
      <c r="Y53" s="1939"/>
      <c r="Z53" s="1939"/>
      <c r="AA53" s="1939"/>
      <c r="AB53" s="1939"/>
      <c r="AC53" s="1939"/>
    </row>
    <row r="54" s="1856" customFormat="1" ht="12.75" spans="1:29">
      <c r="A54" s="1907" t="s">
        <v>1338</v>
      </c>
      <c r="B54" s="1908" t="e">
        <f ca="1">ROUND($C$45*C54*D54,0)</f>
        <v>#DIV/0!</v>
      </c>
      <c r="C54" s="1555">
        <f t="shared" ref="C54:C62" si="16">IF($C$52="北京市系数",I54,J54)</f>
        <v>0</v>
      </c>
      <c r="D54" s="1909">
        <v>0.25</v>
      </c>
      <c r="E54" s="1910"/>
      <c r="F54" s="1904" t="e">
        <f ca="1" t="shared" si="15"/>
        <v>#DIV/0!</v>
      </c>
      <c r="G54" s="1911" t="s">
        <v>1339</v>
      </c>
      <c r="H54" s="1912">
        <f>项目基本情况!B43</f>
        <v>0</v>
      </c>
      <c r="I54" s="1936">
        <f>SUMIF(修正!$A$45:$A$56,H54,修正!B45:B56)</f>
        <v>0</v>
      </c>
      <c r="J54" s="1940"/>
      <c r="K54" s="1938"/>
      <c r="L54" s="1939"/>
      <c r="M54" s="1939"/>
      <c r="N54" s="1939"/>
      <c r="O54" s="1939"/>
      <c r="P54" s="1939"/>
      <c r="Q54" s="1939"/>
      <c r="R54" s="1939"/>
      <c r="S54" s="1939"/>
      <c r="T54" s="1939"/>
      <c r="U54" s="1939"/>
      <c r="V54" s="1939"/>
      <c r="W54" s="1939"/>
      <c r="X54" s="1939"/>
      <c r="Y54" s="1939"/>
      <c r="Z54" s="1939"/>
      <c r="AA54" s="1939"/>
      <c r="AB54" s="1939"/>
      <c r="AC54" s="1939"/>
    </row>
    <row r="55" s="1856" customFormat="1" ht="12.75" spans="1:29">
      <c r="A55" s="1907" t="s">
        <v>1340</v>
      </c>
      <c r="B55" s="1908" t="e">
        <f ca="1" t="shared" ref="B55:B62" si="17">ROUND($C$45*C55*D55,0)</f>
        <v>#DIV/0!</v>
      </c>
      <c r="C55" s="1555">
        <f t="shared" si="16"/>
        <v>0</v>
      </c>
      <c r="D55" s="1909">
        <v>0.25</v>
      </c>
      <c r="E55" s="1910"/>
      <c r="F55" s="1904" t="e">
        <f ca="1" t="shared" si="15"/>
        <v>#DIV/0!</v>
      </c>
      <c r="G55" s="1911"/>
      <c r="H55" s="1913">
        <f>项目基本情况!B43</f>
        <v>0</v>
      </c>
      <c r="I55" s="1936">
        <f>SUMIF(修正!$A$45:$A$56,H55,修正!C45:C56)</f>
        <v>0</v>
      </c>
      <c r="J55" s="1940"/>
      <c r="K55" s="1938"/>
      <c r="L55" s="1939"/>
      <c r="M55" s="1939"/>
      <c r="N55" s="1939"/>
      <c r="O55" s="1939"/>
      <c r="P55" s="1939"/>
      <c r="Q55" s="1939"/>
      <c r="R55" s="1939"/>
      <c r="S55" s="1939"/>
      <c r="T55" s="1939"/>
      <c r="U55" s="1939"/>
      <c r="V55" s="1939"/>
      <c r="W55" s="1939"/>
      <c r="X55" s="1939"/>
      <c r="Y55" s="1939"/>
      <c r="Z55" s="1939"/>
      <c r="AA55" s="1939"/>
      <c r="AB55" s="1939"/>
      <c r="AC55" s="1939"/>
    </row>
    <row r="56" s="1856" customFormat="1" ht="12.75" spans="1:29">
      <c r="A56" s="1907" t="s">
        <v>1341</v>
      </c>
      <c r="B56" s="1908" t="e">
        <f ca="1" t="shared" si="17"/>
        <v>#DIV/0!</v>
      </c>
      <c r="C56" s="1555">
        <f t="shared" si="16"/>
        <v>0</v>
      </c>
      <c r="D56" s="1909">
        <v>0.25</v>
      </c>
      <c r="E56" s="1910"/>
      <c r="F56" s="1904" t="e">
        <f ca="1" t="shared" si="15"/>
        <v>#DIV/0!</v>
      </c>
      <c r="G56" s="1911"/>
      <c r="H56" s="1913">
        <f>项目基本情况!B43</f>
        <v>0</v>
      </c>
      <c r="I56" s="1936">
        <f>SUMIF(修正!$A$45:$A$56,H56,修正!D45:D56)</f>
        <v>0</v>
      </c>
      <c r="J56" s="1940"/>
      <c r="K56" s="1938"/>
      <c r="L56" s="1939"/>
      <c r="M56" s="1939"/>
      <c r="N56" s="1939"/>
      <c r="O56" s="1939"/>
      <c r="P56" s="1939"/>
      <c r="Q56" s="1939"/>
      <c r="R56" s="1939"/>
      <c r="S56" s="1939"/>
      <c r="T56" s="1939"/>
      <c r="U56" s="1939"/>
      <c r="V56" s="1939"/>
      <c r="W56" s="1939"/>
      <c r="X56" s="1939"/>
      <c r="Y56" s="1939"/>
      <c r="Z56" s="1939"/>
      <c r="AA56" s="1939"/>
      <c r="AB56" s="1939"/>
      <c r="AC56" s="1939"/>
    </row>
    <row r="57" s="1856" customFormat="1" ht="12.75" spans="1:29">
      <c r="A57" s="1907" t="s">
        <v>1342</v>
      </c>
      <c r="B57" s="1908" t="e">
        <f ca="1" t="shared" si="17"/>
        <v>#DIV/0!</v>
      </c>
      <c r="C57" s="1555">
        <f t="shared" si="16"/>
        <v>0</v>
      </c>
      <c r="D57" s="1909">
        <v>0.25</v>
      </c>
      <c r="E57" s="1910"/>
      <c r="F57" s="1904" t="e">
        <f ca="1" t="shared" si="15"/>
        <v>#DIV/0!</v>
      </c>
      <c r="G57" s="1911"/>
      <c r="H57" s="1913">
        <f>项目基本情况!B43</f>
        <v>0</v>
      </c>
      <c r="I57" s="1936">
        <f>SUMIF(修正!$A$45:$A$56,H57,修正!E45:E56)</f>
        <v>0</v>
      </c>
      <c r="J57" s="1940"/>
      <c r="K57" s="1938"/>
      <c r="L57" s="1939"/>
      <c r="M57" s="1939"/>
      <c r="N57" s="1939"/>
      <c r="O57" s="1939"/>
      <c r="P57" s="1939"/>
      <c r="Q57" s="1939"/>
      <c r="R57" s="1939"/>
      <c r="S57" s="1939"/>
      <c r="T57" s="1939"/>
      <c r="U57" s="1939"/>
      <c r="V57" s="1939"/>
      <c r="W57" s="1939"/>
      <c r="X57" s="1939"/>
      <c r="Y57" s="1939"/>
      <c r="Z57" s="1939"/>
      <c r="AA57" s="1939"/>
      <c r="AB57" s="1939"/>
      <c r="AC57" s="1939"/>
    </row>
    <row r="58" s="1856" customFormat="1" ht="12.75" spans="1:29">
      <c r="A58" s="1914" t="s">
        <v>547</v>
      </c>
      <c r="B58" s="1908" t="e">
        <f ca="1" t="shared" si="17"/>
        <v>#DIV/0!</v>
      </c>
      <c r="C58" s="1555">
        <f t="shared" si="16"/>
        <v>0.2</v>
      </c>
      <c r="D58" s="1909">
        <v>0.25</v>
      </c>
      <c r="E58" s="1915">
        <f>'数据-汇总表'!E11</f>
        <v>26429.67</v>
      </c>
      <c r="F58" s="1904" t="e">
        <f ca="1" t="shared" si="15"/>
        <v>#DIV/0!</v>
      </c>
      <c r="G58" s="1911" t="s">
        <v>1343</v>
      </c>
      <c r="H58" s="1913" t="str">
        <f>项目基本情况!C43</f>
        <v>八级</v>
      </c>
      <c r="I58" s="1936">
        <f>SUMIF(修正!$A$45:$A$56,H58,修正!F45:F56)</f>
        <v>0.2</v>
      </c>
      <c r="J58" s="1940"/>
      <c r="K58" s="1938"/>
      <c r="L58" s="1939"/>
      <c r="M58" s="1939"/>
      <c r="N58" s="1939"/>
      <c r="O58" s="1939"/>
      <c r="P58" s="1939"/>
      <c r="Q58" s="1939"/>
      <c r="R58" s="1939"/>
      <c r="S58" s="1939"/>
      <c r="T58" s="1939"/>
      <c r="U58" s="1939"/>
      <c r="V58" s="1939"/>
      <c r="W58" s="1939"/>
      <c r="X58" s="1939"/>
      <c r="Y58" s="1939"/>
      <c r="Z58" s="1939"/>
      <c r="AA58" s="1939"/>
      <c r="AB58" s="1939"/>
      <c r="AC58" s="1939"/>
    </row>
    <row r="59" s="1856" customFormat="1" ht="12.75" spans="1:29">
      <c r="A59" s="1907" t="s">
        <v>1344</v>
      </c>
      <c r="B59" s="1908" t="e">
        <f ca="1" t="shared" si="17"/>
        <v>#DIV/0!</v>
      </c>
      <c r="C59" s="1555">
        <f t="shared" si="16"/>
        <v>0.2</v>
      </c>
      <c r="D59" s="1909">
        <v>0.25</v>
      </c>
      <c r="E59" s="1915">
        <f>'数据-汇总表'!E12</f>
        <v>0</v>
      </c>
      <c r="F59" s="1904" t="e">
        <f ca="1" t="shared" si="15"/>
        <v>#DIV/0!</v>
      </c>
      <c r="G59" s="1916" t="s">
        <v>377</v>
      </c>
      <c r="H59" s="1912" t="str">
        <f>IF(G59="商业",项目基本情况!B43,IF(G59="办公",项目基本情况!C43,IF(G59="住宅",项目基本情况!D43,项目基本情况!E43)))</f>
        <v>八级</v>
      </c>
      <c r="I59" s="1936">
        <f>SUMIF(修正!$A$45:$A$56,H59,修正!G45:G56)</f>
        <v>0.2</v>
      </c>
      <c r="J59" s="1940"/>
      <c r="K59" s="1938"/>
      <c r="L59" s="1939"/>
      <c r="M59" s="1939"/>
      <c r="N59" s="1939"/>
      <c r="O59" s="1939"/>
      <c r="P59" s="1939"/>
      <c r="Q59" s="1939"/>
      <c r="R59" s="1939"/>
      <c r="S59" s="1939"/>
      <c r="T59" s="1939"/>
      <c r="U59" s="1939"/>
      <c r="V59" s="1939"/>
      <c r="W59" s="1939"/>
      <c r="X59" s="1939"/>
      <c r="Y59" s="1939"/>
      <c r="Z59" s="1939"/>
      <c r="AA59" s="1939"/>
      <c r="AB59" s="1939"/>
      <c r="AC59" s="1939"/>
    </row>
    <row r="60" s="1856" customFormat="1" ht="12.75" spans="1:29">
      <c r="A60" s="1907" t="s">
        <v>1345</v>
      </c>
      <c r="B60" s="1908" t="e">
        <f ca="1" t="shared" si="17"/>
        <v>#DIV/0!</v>
      </c>
      <c r="C60" s="1555">
        <f t="shared" si="16"/>
        <v>0</v>
      </c>
      <c r="D60" s="1909">
        <v>0.25</v>
      </c>
      <c r="E60" s="1915">
        <f>'数据-汇总表'!E13</f>
        <v>2196.98</v>
      </c>
      <c r="F60" s="1904" t="e">
        <f ca="1" t="shared" si="15"/>
        <v>#DIV/0!</v>
      </c>
      <c r="G60" s="1916" t="s">
        <v>375</v>
      </c>
      <c r="H60" s="1912">
        <f>IF(G60="商业",项目基本情况!B43,IF(G60="办公",项目基本情况!C43,IF(G60="住宅",项目基本情况!D43,项目基本情况!E43)))</f>
        <v>0</v>
      </c>
      <c r="I60" s="1936">
        <f>SUMIF(修正!$A$45:$A$56,H60,修正!H45:H56)</f>
        <v>0</v>
      </c>
      <c r="J60" s="1940"/>
      <c r="K60" s="1938"/>
      <c r="L60" s="1939"/>
      <c r="M60" s="1939"/>
      <c r="N60" s="1939"/>
      <c r="O60" s="1939"/>
      <c r="P60" s="1939"/>
      <c r="Q60" s="1939"/>
      <c r="R60" s="1939"/>
      <c r="S60" s="1939"/>
      <c r="T60" s="1939"/>
      <c r="U60" s="1939"/>
      <c r="V60" s="1939"/>
      <c r="W60" s="1939"/>
      <c r="X60" s="1939"/>
      <c r="Y60" s="1939"/>
      <c r="Z60" s="1939"/>
      <c r="AA60" s="1939"/>
      <c r="AB60" s="1939"/>
      <c r="AC60" s="1939"/>
    </row>
    <row r="61" s="1856" customFormat="1" ht="12.75" spans="1:29">
      <c r="A61" s="1907" t="s">
        <v>1346</v>
      </c>
      <c r="B61" s="1908" t="e">
        <f ca="1" t="shared" si="17"/>
        <v>#DIV/0!</v>
      </c>
      <c r="C61" s="1555">
        <f t="shared" si="16"/>
        <v>0</v>
      </c>
      <c r="D61" s="1909">
        <v>0.25</v>
      </c>
      <c r="E61" s="1915">
        <f>'数据-汇总表'!E14</f>
        <v>0</v>
      </c>
      <c r="F61" s="1904" t="e">
        <f ca="1" t="shared" si="15"/>
        <v>#DIV/0!</v>
      </c>
      <c r="G61" s="1911" t="s">
        <v>1339</v>
      </c>
      <c r="H61" s="1913">
        <f>项目基本情况!B43</f>
        <v>0</v>
      </c>
      <c r="I61" s="1936">
        <f>SUMIF(修正!$A$45:$A$56,H61,修正!H45:H56)</f>
        <v>0</v>
      </c>
      <c r="J61" s="1940"/>
      <c r="K61" s="1938"/>
      <c r="L61" s="1939"/>
      <c r="M61" s="1939"/>
      <c r="N61" s="1939"/>
      <c r="O61" s="1939"/>
      <c r="P61" s="1939"/>
      <c r="Q61" s="1939"/>
      <c r="R61" s="1939"/>
      <c r="S61" s="1939"/>
      <c r="T61" s="1939"/>
      <c r="U61" s="1939"/>
      <c r="V61" s="1939"/>
      <c r="W61" s="1939"/>
      <c r="X61" s="1939"/>
      <c r="Y61" s="1939"/>
      <c r="Z61" s="1939"/>
      <c r="AA61" s="1939"/>
      <c r="AB61" s="1939"/>
      <c r="AC61" s="1939"/>
    </row>
    <row r="62" s="1856" customFormat="1" ht="13.5" spans="1:29">
      <c r="A62" s="1907" t="s">
        <v>1347</v>
      </c>
      <c r="B62" s="1908" t="e">
        <f ca="1" t="shared" si="17"/>
        <v>#DIV/0!</v>
      </c>
      <c r="C62" s="1555">
        <f t="shared" si="16"/>
        <v>0.15</v>
      </c>
      <c r="D62" s="1909">
        <v>0.25</v>
      </c>
      <c r="E62" s="1915">
        <f>'数据-汇总表'!E15</f>
        <v>0</v>
      </c>
      <c r="F62" s="1904" t="e">
        <f ca="1" t="shared" si="15"/>
        <v>#DIV/0!</v>
      </c>
      <c r="G62" s="1917" t="s">
        <v>1343</v>
      </c>
      <c r="H62" s="1918" t="str">
        <f>项目基本情况!C43</f>
        <v>八级</v>
      </c>
      <c r="I62" s="1936">
        <f>SUMIF(修正!$A$45:$A$56,H62,修正!H45:H56)</f>
        <v>0.15</v>
      </c>
      <c r="J62" s="1940"/>
      <c r="K62" s="1938"/>
      <c r="L62" s="1939"/>
      <c r="M62" s="1939"/>
      <c r="N62" s="1939"/>
      <c r="O62" s="1939"/>
      <c r="P62" s="1939"/>
      <c r="Q62" s="1939"/>
      <c r="R62" s="1939"/>
      <c r="S62" s="1939"/>
      <c r="T62" s="1939"/>
      <c r="U62" s="1939"/>
      <c r="V62" s="1939"/>
      <c r="W62" s="1939"/>
      <c r="X62" s="1939"/>
      <c r="Y62" s="1939"/>
      <c r="Z62" s="1939"/>
      <c r="AA62" s="1939"/>
      <c r="AB62" s="1939"/>
      <c r="AC62" s="1939"/>
    </row>
    <row r="63" s="1856" customFormat="1" ht="13.5" spans="1:29">
      <c r="A63" s="1919" t="s">
        <v>1348</v>
      </c>
      <c r="B63" s="1920" t="s">
        <v>1349</v>
      </c>
      <c r="C63" s="1920" t="s">
        <v>1349</v>
      </c>
      <c r="D63" s="1920" t="s">
        <v>1349</v>
      </c>
      <c r="E63" s="1920">
        <f>IF(B43="楼面地价",SUM(E53:E62),'数据-汇总表'!D3)</f>
        <v>20468.06</v>
      </c>
      <c r="F63" s="1921" t="e">
        <f ca="1">IF(B43="楼面地价",SUM(F53:F62),ROUND(C45*E63/10000,0))</f>
        <v>#DIV/0!</v>
      </c>
      <c r="G63" s="1922"/>
      <c r="H63" s="1922"/>
      <c r="I63" s="1922"/>
      <c r="J63" s="1922"/>
      <c r="K63" s="1941"/>
      <c r="L63" s="1939"/>
      <c r="M63" s="1939"/>
      <c r="N63" s="1939"/>
      <c r="O63" s="1939"/>
      <c r="P63" s="1939"/>
      <c r="Q63" s="1939"/>
      <c r="R63" s="1939"/>
      <c r="S63" s="1939"/>
      <c r="T63" s="1939"/>
      <c r="U63" s="1939"/>
      <c r="V63" s="1939"/>
      <c r="W63" s="1939"/>
      <c r="X63" s="1939"/>
      <c r="Y63" s="1939"/>
      <c r="Z63" s="1939"/>
      <c r="AA63" s="1939"/>
      <c r="AB63" s="1939"/>
      <c r="AC63" s="1939"/>
    </row>
    <row r="64" spans="1:29">
      <c r="A64" s="349"/>
      <c r="B64" s="347"/>
      <c r="C64" s="348"/>
      <c r="D64" s="349"/>
      <c r="E64" s="349"/>
      <c r="F64" s="349"/>
      <c r="G64" s="349"/>
      <c r="H64" s="349"/>
      <c r="I64" s="349"/>
      <c r="J64" s="349"/>
      <c r="K64" s="435"/>
      <c r="L64" s="431"/>
      <c r="M64" s="349"/>
      <c r="N64" s="349"/>
      <c r="O64" s="349"/>
      <c r="P64" s="349"/>
      <c r="Q64" s="349"/>
      <c r="R64" s="349"/>
      <c r="S64" s="349"/>
      <c r="T64" s="349"/>
      <c r="U64" s="349"/>
      <c r="V64" s="349"/>
      <c r="W64" s="349"/>
      <c r="X64" s="349"/>
      <c r="Y64" s="349"/>
      <c r="Z64" s="349"/>
      <c r="AA64" s="349"/>
      <c r="AB64" s="349"/>
      <c r="AC64" s="349"/>
    </row>
    <row r="65" spans="1:29">
      <c r="A65" s="349"/>
      <c r="B65" s="347"/>
      <c r="C65" s="1944" t="str">
        <f>YEAR(C9)&amp;"-"&amp;MONTH(C9)&amp;"-1"</f>
        <v>2021-11-1</v>
      </c>
      <c r="D65" s="1945">
        <f>EDATE(C65,-3)</f>
        <v>44409</v>
      </c>
      <c r="E65" s="1945">
        <f t="shared" ref="E65:N65" si="18">EDATE(D65,-3)</f>
        <v>44317</v>
      </c>
      <c r="F65" s="1945">
        <f t="shared" si="18"/>
        <v>44228</v>
      </c>
      <c r="G65" s="1945">
        <f t="shared" si="18"/>
        <v>44136</v>
      </c>
      <c r="H65" s="1945">
        <f t="shared" si="18"/>
        <v>44044</v>
      </c>
      <c r="I65" s="1945">
        <f t="shared" si="18"/>
        <v>43952</v>
      </c>
      <c r="J65" s="1945">
        <f t="shared" si="18"/>
        <v>43862</v>
      </c>
      <c r="K65" s="1945">
        <f t="shared" si="18"/>
        <v>43770</v>
      </c>
      <c r="L65" s="1945">
        <f t="shared" si="18"/>
        <v>43678</v>
      </c>
      <c r="M65" s="1945">
        <f t="shared" si="18"/>
        <v>43586</v>
      </c>
      <c r="N65" s="1945">
        <f t="shared" si="18"/>
        <v>43497</v>
      </c>
      <c r="O65" s="349"/>
      <c r="P65" s="349"/>
      <c r="Q65" s="349"/>
      <c r="R65" s="349"/>
      <c r="S65" s="349"/>
      <c r="T65" s="349"/>
      <c r="U65" s="349"/>
      <c r="V65" s="349"/>
      <c r="W65" s="349"/>
      <c r="X65" s="349"/>
      <c r="Y65" s="349"/>
      <c r="Z65" s="349"/>
      <c r="AA65" s="349"/>
      <c r="AB65" s="349"/>
      <c r="AC65" s="349"/>
    </row>
    <row r="66" ht="21" spans="1:29">
      <c r="A66" s="350" t="s">
        <v>1350</v>
      </c>
      <c r="B66" s="351"/>
      <c r="C66" s="352"/>
      <c r="D66" s="352"/>
      <c r="E66" s="352"/>
      <c r="F66" s="353"/>
      <c r="G66" s="353"/>
      <c r="H66" s="352"/>
      <c r="I66" s="352"/>
      <c r="J66" s="352"/>
      <c r="K66" s="436"/>
      <c r="L66" s="437"/>
      <c r="M66" s="352"/>
      <c r="N66" s="352"/>
      <c r="O66" s="438"/>
      <c r="P66" s="438"/>
      <c r="Q66" s="442"/>
      <c r="R66" s="349"/>
      <c r="S66" s="349"/>
      <c r="T66" s="349"/>
      <c r="U66" s="349"/>
      <c r="V66" s="349"/>
      <c r="W66" s="349"/>
      <c r="X66" s="349"/>
      <c r="Y66" s="349"/>
      <c r="Z66" s="349"/>
      <c r="AA66" s="349"/>
      <c r="AB66" s="349"/>
      <c r="AC66" s="349"/>
    </row>
    <row r="67" s="200" customFormat="1" ht="15" spans="1:29">
      <c r="A67" s="1946" t="s">
        <v>1365</v>
      </c>
      <c r="B67" s="355"/>
      <c r="C67" s="1947" t="str">
        <f>YEAR(C65)&amp;"-"&amp;ROUNDUP(MONTH(C65)/3,0)</f>
        <v>2021-4</v>
      </c>
      <c r="D67" s="1947" t="str">
        <f t="shared" ref="D67:N67" si="19">YEAR(D65)&amp;"-"&amp;ROUNDUP(MONTH(D65)/3,0)</f>
        <v>2021-3</v>
      </c>
      <c r="E67" s="1947" t="str">
        <f t="shared" si="19"/>
        <v>2021-2</v>
      </c>
      <c r="F67" s="1947" t="str">
        <f t="shared" si="19"/>
        <v>2021-1</v>
      </c>
      <c r="G67" s="1947" t="str">
        <f t="shared" si="19"/>
        <v>2020-4</v>
      </c>
      <c r="H67" s="1947" t="str">
        <f t="shared" si="19"/>
        <v>2020-3</v>
      </c>
      <c r="I67" s="1947" t="str">
        <f t="shared" si="19"/>
        <v>2020-2</v>
      </c>
      <c r="J67" s="1947" t="str">
        <f t="shared" si="19"/>
        <v>2020-1</v>
      </c>
      <c r="K67" s="1947" t="str">
        <f t="shared" si="19"/>
        <v>2019-4</v>
      </c>
      <c r="L67" s="1947" t="str">
        <f t="shared" si="19"/>
        <v>2019-3</v>
      </c>
      <c r="M67" s="1947" t="str">
        <f t="shared" si="19"/>
        <v>2019-2</v>
      </c>
      <c r="N67" s="1947" t="str">
        <f t="shared" si="19"/>
        <v>2019-1</v>
      </c>
      <c r="O67" s="1955"/>
      <c r="P67" s="439"/>
      <c r="Q67" s="498"/>
      <c r="R67" s="498"/>
      <c r="S67" s="498"/>
      <c r="T67" s="498"/>
      <c r="U67" s="498"/>
      <c r="V67" s="498"/>
      <c r="W67" s="498"/>
      <c r="X67" s="498"/>
      <c r="Y67" s="498"/>
      <c r="Z67" s="498"/>
      <c r="AA67" s="498"/>
      <c r="AB67" s="498"/>
      <c r="AC67" s="498"/>
    </row>
    <row r="68" s="196" customFormat="1" ht="27.75" customHeight="1" spans="1:29">
      <c r="A68" s="1948" t="s">
        <v>164</v>
      </c>
      <c r="B68" s="1949" t="str">
        <f>"北京市平均增长率"&amp;TEXT(基准地价!P24,"0.00%")</f>
        <v>北京市平均增长率1.22%</v>
      </c>
      <c r="C68" s="517">
        <v>100</v>
      </c>
      <c r="D68" s="520"/>
      <c r="E68" s="520"/>
      <c r="F68" s="520"/>
      <c r="G68" s="520"/>
      <c r="H68" s="520"/>
      <c r="I68" s="520"/>
      <c r="J68" s="520"/>
      <c r="K68" s="520"/>
      <c r="L68" s="520"/>
      <c r="M68" s="1956"/>
      <c r="N68" s="1957"/>
      <c r="O68" s="447"/>
      <c r="P68" s="442"/>
      <c r="Q68" s="499"/>
      <c r="R68" s="499"/>
      <c r="S68" s="499"/>
      <c r="T68" s="499"/>
      <c r="U68" s="499"/>
      <c r="V68" s="499"/>
      <c r="W68" s="499"/>
      <c r="X68" s="499"/>
      <c r="Y68" s="499"/>
      <c r="Z68" s="499"/>
      <c r="AA68" s="499"/>
      <c r="AB68" s="499"/>
      <c r="AC68" s="499"/>
    </row>
    <row r="69" s="196" customFormat="1" ht="15.75" spans="1:29">
      <c r="A69" s="362" t="s">
        <v>1366</v>
      </c>
      <c r="B69" s="363"/>
      <c r="C69" s="1950"/>
      <c r="D69" s="1951"/>
      <c r="E69" s="1951"/>
      <c r="F69" s="1951"/>
      <c r="G69" s="1951"/>
      <c r="H69" s="1951"/>
      <c r="I69" s="1951"/>
      <c r="J69" s="1951"/>
      <c r="K69" s="1951"/>
      <c r="L69" s="1951"/>
      <c r="M69" s="1951"/>
      <c r="N69" s="1951"/>
      <c r="O69" s="447"/>
      <c r="P69" s="442"/>
      <c r="Q69" s="442"/>
      <c r="R69" s="499"/>
      <c r="S69" s="499"/>
      <c r="T69" s="499"/>
      <c r="U69" s="499"/>
      <c r="V69" s="499"/>
      <c r="W69" s="499"/>
      <c r="X69" s="499"/>
      <c r="Y69" s="499"/>
      <c r="Z69" s="499"/>
      <c r="AA69" s="499"/>
      <c r="AB69" s="499"/>
      <c r="AC69" s="499"/>
    </row>
    <row r="70" s="196" customFormat="1" ht="15" spans="1:29">
      <c r="A70" s="366" t="s">
        <v>1300</v>
      </c>
      <c r="B70" s="359"/>
      <c r="C70" s="367" t="s">
        <v>1301</v>
      </c>
      <c r="D70" s="368"/>
      <c r="E70" s="368"/>
      <c r="F70" s="368"/>
      <c r="G70" s="368"/>
      <c r="H70" s="368"/>
      <c r="I70" s="368"/>
      <c r="J70" s="368"/>
      <c r="K70" s="368"/>
      <c r="L70" s="445"/>
      <c r="M70" s="446"/>
      <c r="N70" s="1958"/>
      <c r="O70" s="447"/>
      <c r="P70" s="448"/>
      <c r="Q70" s="442"/>
      <c r="R70" s="499"/>
      <c r="S70" s="499"/>
      <c r="T70" s="499"/>
      <c r="U70" s="499"/>
      <c r="V70" s="499"/>
      <c r="W70" s="499"/>
      <c r="X70" s="499"/>
      <c r="Y70" s="499"/>
      <c r="Z70" s="499"/>
      <c r="AA70" s="499"/>
      <c r="AB70" s="499"/>
      <c r="AC70" s="499"/>
    </row>
    <row r="71" s="196" customFormat="1" ht="15.75" spans="1:29">
      <c r="A71" s="366"/>
      <c r="B71" s="359"/>
      <c r="C71" s="360">
        <v>100</v>
      </c>
      <c r="D71" s="361"/>
      <c r="E71" s="361"/>
      <c r="F71" s="361"/>
      <c r="G71" s="361"/>
      <c r="H71" s="361"/>
      <c r="I71" s="361"/>
      <c r="J71" s="361"/>
      <c r="K71" s="361"/>
      <c r="L71" s="361"/>
      <c r="M71" s="441"/>
      <c r="N71" s="1958"/>
      <c r="O71" s="447"/>
      <c r="P71" s="442"/>
      <c r="Q71" s="442"/>
      <c r="R71" s="499"/>
      <c r="S71" s="499"/>
      <c r="T71" s="499"/>
      <c r="U71" s="499"/>
      <c r="V71" s="499"/>
      <c r="W71" s="499"/>
      <c r="X71" s="499"/>
      <c r="Y71" s="499"/>
      <c r="Z71" s="499"/>
      <c r="AA71" s="499"/>
      <c r="AB71" s="499"/>
      <c r="AC71" s="499"/>
    </row>
    <row r="72" spans="1:29">
      <c r="A72" s="369" t="s">
        <v>1353</v>
      </c>
      <c r="B72" s="370" t="s">
        <v>1354</v>
      </c>
      <c r="C72" s="372"/>
      <c r="D72" s="372"/>
      <c r="E72" s="372"/>
      <c r="F72" s="372"/>
      <c r="G72" s="372"/>
      <c r="H72" s="372"/>
      <c r="I72" s="372"/>
      <c r="J72" s="372"/>
      <c r="K72" s="449"/>
      <c r="L72" s="450"/>
      <c r="M72" s="451"/>
      <c r="N72" s="1959"/>
      <c r="O72" s="452"/>
      <c r="P72" s="453"/>
      <c r="Q72" s="442"/>
      <c r="R72" s="349"/>
      <c r="S72" s="349"/>
      <c r="T72" s="349"/>
      <c r="U72" s="349"/>
      <c r="V72" s="349"/>
      <c r="W72" s="349"/>
      <c r="X72" s="349"/>
      <c r="Y72" s="349"/>
      <c r="Z72" s="349"/>
      <c r="AA72" s="349"/>
      <c r="AB72" s="349"/>
      <c r="AC72" s="349"/>
    </row>
    <row r="73" ht="15.75" spans="1:29">
      <c r="A73" s="373"/>
      <c r="B73" s="374"/>
      <c r="C73" s="375"/>
      <c r="D73" s="375"/>
      <c r="E73" s="375"/>
      <c r="F73" s="375"/>
      <c r="G73" s="375"/>
      <c r="H73" s="375"/>
      <c r="I73" s="375"/>
      <c r="J73" s="375"/>
      <c r="K73" s="375"/>
      <c r="L73" s="375"/>
      <c r="M73" s="454"/>
      <c r="N73" s="1960"/>
      <c r="O73" s="455"/>
      <c r="P73" s="453"/>
      <c r="Q73" s="442"/>
      <c r="R73" s="349"/>
      <c r="S73" s="349"/>
      <c r="T73" s="349"/>
      <c r="U73" s="349"/>
      <c r="V73" s="349"/>
      <c r="W73" s="349"/>
      <c r="X73" s="349"/>
      <c r="Y73" s="349"/>
      <c r="Z73" s="349"/>
      <c r="AA73" s="349"/>
      <c r="AB73" s="349"/>
      <c r="AC73" s="349"/>
    </row>
    <row r="74" ht="27.75" spans="1:29">
      <c r="A74" s="373"/>
      <c r="B74" s="376" t="s">
        <v>1355</v>
      </c>
      <c r="C74" s="377"/>
      <c r="D74" s="377"/>
      <c r="E74" s="377"/>
      <c r="F74" s="377"/>
      <c r="G74" s="377"/>
      <c r="H74" s="377"/>
      <c r="I74" s="377"/>
      <c r="J74" s="377"/>
      <c r="K74" s="456"/>
      <c r="L74" s="457"/>
      <c r="M74" s="458"/>
      <c r="N74" s="1959"/>
      <c r="O74" s="452"/>
      <c r="P74" s="453"/>
      <c r="Q74" s="442"/>
      <c r="R74" s="349"/>
      <c r="S74" s="349"/>
      <c r="T74" s="349"/>
      <c r="U74" s="349"/>
      <c r="V74" s="349"/>
      <c r="W74" s="349"/>
      <c r="X74" s="349"/>
      <c r="Y74" s="349"/>
      <c r="Z74" s="349"/>
      <c r="AA74" s="349"/>
      <c r="AB74" s="349"/>
      <c r="AC74" s="349"/>
    </row>
    <row r="75" ht="15.75" spans="1:29">
      <c r="A75" s="373"/>
      <c r="B75" s="378"/>
      <c r="C75" s="379"/>
      <c r="D75" s="379"/>
      <c r="E75" s="379"/>
      <c r="F75" s="379"/>
      <c r="G75" s="379"/>
      <c r="H75" s="379"/>
      <c r="I75" s="379"/>
      <c r="J75" s="379"/>
      <c r="K75" s="379"/>
      <c r="L75" s="379"/>
      <c r="M75" s="459"/>
      <c r="N75" s="1960"/>
      <c r="O75" s="455"/>
      <c r="P75" s="453"/>
      <c r="Q75" s="442"/>
      <c r="R75" s="349"/>
      <c r="S75" s="349"/>
      <c r="T75" s="349"/>
      <c r="U75" s="349"/>
      <c r="V75" s="349"/>
      <c r="W75" s="349"/>
      <c r="X75" s="349"/>
      <c r="Y75" s="349"/>
      <c r="Z75" s="349"/>
      <c r="AA75" s="349"/>
      <c r="AB75" s="349"/>
      <c r="AC75" s="349"/>
    </row>
    <row r="76" ht="15.75" spans="1:29">
      <c r="A76" s="373"/>
      <c r="B76" s="514" t="s">
        <v>1356</v>
      </c>
      <c r="C76" s="592" t="str">
        <f>C77&amp;"（含）"&amp;"-"&amp;D77</f>
        <v>（含）-</v>
      </c>
      <c r="D76" s="592" t="str">
        <f t="shared" ref="D76:L76" si="20">D77&amp;"（含）"&amp;"-"&amp;E77</f>
        <v>（含）-</v>
      </c>
      <c r="E76" s="592" t="str">
        <f t="shared" si="20"/>
        <v>（含）-</v>
      </c>
      <c r="F76" s="592" t="str">
        <f t="shared" si="20"/>
        <v>（含）-</v>
      </c>
      <c r="G76" s="592" t="str">
        <f t="shared" si="20"/>
        <v>（含）-</v>
      </c>
      <c r="H76" s="592" t="str">
        <f t="shared" si="20"/>
        <v>（含）-</v>
      </c>
      <c r="I76" s="592" t="str">
        <f t="shared" si="20"/>
        <v>（含）-</v>
      </c>
      <c r="J76" s="592" t="str">
        <f t="shared" si="20"/>
        <v>（含）-</v>
      </c>
      <c r="K76" s="592" t="str">
        <f t="shared" si="20"/>
        <v>（含）-</v>
      </c>
      <c r="L76" s="592" t="str">
        <f t="shared" si="20"/>
        <v>（含）-</v>
      </c>
      <c r="M76" s="276" t="str">
        <f>M77&amp;"（含）"&amp;"-"&amp;P77</f>
        <v>（含）-</v>
      </c>
      <c r="N76" s="1960"/>
      <c r="O76" s="455"/>
      <c r="P76" s="453"/>
      <c r="Q76" s="442"/>
      <c r="R76" s="349"/>
      <c r="S76" s="349"/>
      <c r="T76" s="349"/>
      <c r="U76" s="349"/>
      <c r="V76" s="349"/>
      <c r="W76" s="349"/>
      <c r="X76" s="349"/>
      <c r="Y76" s="349"/>
      <c r="Z76" s="349"/>
      <c r="AA76" s="349"/>
      <c r="AB76" s="349"/>
      <c r="AC76" s="349"/>
    </row>
    <row r="77" ht="15" spans="1:29">
      <c r="A77" s="373"/>
      <c r="B77" s="593"/>
      <c r="C77" s="381"/>
      <c r="D77" s="381"/>
      <c r="E77" s="381"/>
      <c r="F77" s="381"/>
      <c r="G77" s="381"/>
      <c r="H77" s="381"/>
      <c r="I77" s="381"/>
      <c r="J77" s="381"/>
      <c r="K77" s="460"/>
      <c r="L77" s="461"/>
      <c r="M77" s="462"/>
      <c r="N77" s="1959"/>
      <c r="O77" s="452"/>
      <c r="P77" s="453"/>
      <c r="Q77" s="442"/>
      <c r="R77" s="349"/>
      <c r="S77" s="349"/>
      <c r="T77" s="349"/>
      <c r="U77" s="349"/>
      <c r="V77" s="349"/>
      <c r="W77" s="349"/>
      <c r="X77" s="349"/>
      <c r="Y77" s="349"/>
      <c r="Z77" s="349"/>
      <c r="AA77" s="349"/>
      <c r="AB77" s="349"/>
      <c r="AC77" s="349"/>
    </row>
    <row r="78" ht="15.75" spans="1:29">
      <c r="A78" s="373"/>
      <c r="B78" s="374"/>
      <c r="C78" s="379">
        <v>100</v>
      </c>
      <c r="D78" s="379">
        <f>IF($B$43="单位面积地价",C78+$K13,C78-$K13)</f>
        <v>100</v>
      </c>
      <c r="E78" s="379">
        <f t="shared" ref="E78:M78" si="21">IF($B$43="单位面积地价",D78+$K13,D78-$K13)</f>
        <v>100</v>
      </c>
      <c r="F78" s="379">
        <f t="shared" si="21"/>
        <v>100</v>
      </c>
      <c r="G78" s="379">
        <f t="shared" si="21"/>
        <v>100</v>
      </c>
      <c r="H78" s="379">
        <f t="shared" si="21"/>
        <v>100</v>
      </c>
      <c r="I78" s="379">
        <f t="shared" si="21"/>
        <v>100</v>
      </c>
      <c r="J78" s="379">
        <f t="shared" si="21"/>
        <v>100</v>
      </c>
      <c r="K78" s="379">
        <f t="shared" si="21"/>
        <v>100</v>
      </c>
      <c r="L78" s="379">
        <f t="shared" si="21"/>
        <v>100</v>
      </c>
      <c r="M78" s="379">
        <f t="shared" si="21"/>
        <v>100</v>
      </c>
      <c r="N78" s="1960"/>
      <c r="O78" s="455"/>
      <c r="P78" s="453"/>
      <c r="Q78" s="442"/>
      <c r="R78" s="349"/>
      <c r="S78" s="349"/>
      <c r="T78" s="349"/>
      <c r="U78" s="349"/>
      <c r="V78" s="349"/>
      <c r="W78" s="349"/>
      <c r="X78" s="349"/>
      <c r="Y78" s="349"/>
      <c r="Z78" s="349"/>
      <c r="AA78" s="349"/>
      <c r="AB78" s="349"/>
      <c r="AC78" s="349"/>
    </row>
    <row r="79" s="198" customFormat="1" ht="15.75" spans="1:29">
      <c r="A79" s="383"/>
      <c r="B79" s="376">
        <f>B14</f>
        <v>111</v>
      </c>
      <c r="C79" s="384"/>
      <c r="D79" s="384"/>
      <c r="E79" s="384"/>
      <c r="F79" s="384"/>
      <c r="G79" s="384"/>
      <c r="H79" s="385"/>
      <c r="I79" s="385"/>
      <c r="J79" s="385"/>
      <c r="K79" s="385"/>
      <c r="L79" s="463"/>
      <c r="M79" s="464"/>
      <c r="N79" s="1961"/>
      <c r="O79" s="465"/>
      <c r="P79" s="466"/>
      <c r="Q79" s="500"/>
      <c r="R79" s="501"/>
      <c r="S79" s="501"/>
      <c r="T79" s="501"/>
      <c r="U79" s="501"/>
      <c r="V79" s="501"/>
      <c r="W79" s="501"/>
      <c r="X79" s="501"/>
      <c r="Y79" s="501"/>
      <c r="Z79" s="501"/>
      <c r="AA79" s="501"/>
      <c r="AB79" s="501"/>
      <c r="AC79" s="501"/>
    </row>
    <row r="80" s="198" customFormat="1" ht="15.75" spans="1:29">
      <c r="A80" s="383"/>
      <c r="B80" s="378"/>
      <c r="C80" s="382"/>
      <c r="D80" s="375"/>
      <c r="E80" s="375"/>
      <c r="F80" s="375"/>
      <c r="G80" s="375"/>
      <c r="H80" s="375"/>
      <c r="I80" s="375"/>
      <c r="J80" s="375"/>
      <c r="K80" s="375"/>
      <c r="L80" s="375"/>
      <c r="M80" s="454"/>
      <c r="N80" s="1960"/>
      <c r="O80" s="455"/>
      <c r="P80" s="466"/>
      <c r="Q80" s="500"/>
      <c r="R80" s="501"/>
      <c r="S80" s="501"/>
      <c r="T80" s="501"/>
      <c r="U80" s="501"/>
      <c r="V80" s="501"/>
      <c r="W80" s="501"/>
      <c r="X80" s="501"/>
      <c r="Y80" s="501"/>
      <c r="Z80" s="501"/>
      <c r="AA80" s="501"/>
      <c r="AB80" s="501"/>
      <c r="AC80" s="501"/>
    </row>
    <row r="81" s="198" customFormat="1" ht="15.75" spans="1:29">
      <c r="A81" s="383"/>
      <c r="B81" s="376">
        <f>B15</f>
        <v>111</v>
      </c>
      <c r="C81" s="384"/>
      <c r="D81" s="384"/>
      <c r="E81" s="384"/>
      <c r="F81" s="384"/>
      <c r="G81" s="384"/>
      <c r="H81" s="385"/>
      <c r="I81" s="385"/>
      <c r="J81" s="385"/>
      <c r="K81" s="385"/>
      <c r="L81" s="463"/>
      <c r="M81" s="464"/>
      <c r="N81" s="1961"/>
      <c r="O81" s="465"/>
      <c r="P81" s="422"/>
      <c r="Q81" s="502"/>
      <c r="R81" s="501"/>
      <c r="S81" s="501"/>
      <c r="T81" s="501"/>
      <c r="U81" s="501"/>
      <c r="V81" s="501"/>
      <c r="W81" s="501"/>
      <c r="X81" s="501"/>
      <c r="Y81" s="501"/>
      <c r="Z81" s="501"/>
      <c r="AA81" s="501"/>
      <c r="AB81" s="501"/>
      <c r="AC81" s="501"/>
    </row>
    <row r="82" s="198" customFormat="1" ht="15.75" spans="1:29">
      <c r="A82" s="383"/>
      <c r="B82" s="378"/>
      <c r="C82" s="382"/>
      <c r="D82" s="382"/>
      <c r="E82" s="382"/>
      <c r="F82" s="382"/>
      <c r="G82" s="382"/>
      <c r="H82" s="386"/>
      <c r="I82" s="386"/>
      <c r="J82" s="386"/>
      <c r="K82" s="386"/>
      <c r="L82" s="386"/>
      <c r="M82" s="467"/>
      <c r="N82" s="1961"/>
      <c r="O82" s="465"/>
      <c r="P82" s="466"/>
      <c r="Q82" s="500"/>
      <c r="R82" s="501"/>
      <c r="S82" s="501"/>
      <c r="T82" s="501"/>
      <c r="U82" s="501"/>
      <c r="V82" s="501"/>
      <c r="W82" s="501"/>
      <c r="X82" s="501"/>
      <c r="Y82" s="501"/>
      <c r="Z82" s="501"/>
      <c r="AA82" s="501"/>
      <c r="AB82" s="501"/>
      <c r="AC82" s="501"/>
    </row>
    <row r="83" s="198" customFormat="1" ht="15.75" spans="1:29">
      <c r="A83" s="383"/>
      <c r="B83" s="514">
        <f>B16</f>
        <v>111</v>
      </c>
      <c r="C83" s="368"/>
      <c r="D83" s="368"/>
      <c r="E83" s="368"/>
      <c r="F83" s="368"/>
      <c r="G83" s="368"/>
      <c r="H83" s="595"/>
      <c r="I83" s="595"/>
      <c r="J83" s="595"/>
      <c r="K83" s="595"/>
      <c r="L83" s="604"/>
      <c r="M83" s="605"/>
      <c r="N83" s="1961"/>
      <c r="O83" s="465"/>
      <c r="P83" s="606"/>
      <c r="Q83" s="500"/>
      <c r="R83" s="501"/>
      <c r="S83" s="501"/>
      <c r="T83" s="501"/>
      <c r="U83" s="501"/>
      <c r="V83" s="501"/>
      <c r="W83" s="501"/>
      <c r="X83" s="501"/>
      <c r="Y83" s="501"/>
      <c r="Z83" s="501"/>
      <c r="AA83" s="501"/>
      <c r="AB83" s="501"/>
      <c r="AC83" s="501"/>
    </row>
    <row r="84" s="198" customFormat="1" ht="15.75" spans="1:29">
      <c r="A84" s="596"/>
      <c r="B84" s="597"/>
      <c r="C84" s="598"/>
      <c r="D84" s="598"/>
      <c r="E84" s="598"/>
      <c r="F84" s="598"/>
      <c r="G84" s="598"/>
      <c r="H84" s="599"/>
      <c r="I84" s="599"/>
      <c r="J84" s="599"/>
      <c r="K84" s="599"/>
      <c r="L84" s="599"/>
      <c r="M84" s="607"/>
      <c r="N84" s="1961"/>
      <c r="O84" s="465"/>
      <c r="P84" s="466"/>
      <c r="Q84" s="500"/>
      <c r="R84" s="501"/>
      <c r="S84" s="501"/>
      <c r="T84" s="501"/>
      <c r="U84" s="501"/>
      <c r="V84" s="501"/>
      <c r="W84" s="501"/>
      <c r="X84" s="501"/>
      <c r="Y84" s="501"/>
      <c r="Z84" s="501"/>
      <c r="AA84" s="501"/>
      <c r="AB84" s="501"/>
      <c r="AC84" s="501"/>
    </row>
    <row r="85" spans="1:29">
      <c r="A85" s="369" t="s">
        <v>1357</v>
      </c>
      <c r="B85" s="370" t="s">
        <v>228</v>
      </c>
      <c r="C85" s="387" t="s">
        <v>246</v>
      </c>
      <c r="D85" s="387" t="s">
        <v>258</v>
      </c>
      <c r="E85" s="387" t="s">
        <v>269</v>
      </c>
      <c r="F85" s="387" t="s">
        <v>279</v>
      </c>
      <c r="G85" s="387" t="s">
        <v>287</v>
      </c>
      <c r="H85" s="371"/>
      <c r="I85" s="371"/>
      <c r="J85" s="371"/>
      <c r="K85" s="468"/>
      <c r="L85" s="469"/>
      <c r="M85" s="470"/>
      <c r="N85" s="1959"/>
      <c r="O85" s="452"/>
      <c r="P85" s="471"/>
      <c r="Q85" s="442"/>
      <c r="R85" s="349"/>
      <c r="S85" s="349"/>
      <c r="T85" s="349"/>
      <c r="U85" s="349"/>
      <c r="V85" s="349"/>
      <c r="W85" s="349"/>
      <c r="X85" s="349"/>
      <c r="Y85" s="349"/>
      <c r="Z85" s="349"/>
      <c r="AA85" s="349"/>
      <c r="AB85" s="349"/>
      <c r="AC85" s="349"/>
    </row>
    <row r="86" ht="15.75" spans="1:29">
      <c r="A86" s="373"/>
      <c r="B86" s="378"/>
      <c r="C86" s="379">
        <v>100</v>
      </c>
      <c r="D86" s="379">
        <f>C86-$K17</f>
        <v>100</v>
      </c>
      <c r="E86" s="379">
        <f>D86-$K17</f>
        <v>100</v>
      </c>
      <c r="F86" s="379">
        <f>E86-$K17</f>
        <v>100</v>
      </c>
      <c r="G86" s="379">
        <f>F86-$K17</f>
        <v>100</v>
      </c>
      <c r="H86" s="379"/>
      <c r="I86" s="379"/>
      <c r="J86" s="379"/>
      <c r="K86" s="379"/>
      <c r="L86" s="379"/>
      <c r="M86" s="459"/>
      <c r="N86" s="1960"/>
      <c r="O86" s="455"/>
      <c r="P86" s="453"/>
      <c r="Q86" s="442"/>
      <c r="R86" s="349"/>
      <c r="S86" s="349"/>
      <c r="T86" s="349"/>
      <c r="U86" s="349"/>
      <c r="V86" s="349"/>
      <c r="W86" s="349"/>
      <c r="X86" s="349"/>
      <c r="Y86" s="349"/>
      <c r="Z86" s="349"/>
      <c r="AA86" s="349"/>
      <c r="AB86" s="349"/>
      <c r="AC86" s="349"/>
    </row>
    <row r="87" ht="15.75" spans="1:29">
      <c r="A87" s="373"/>
      <c r="B87" s="376" t="s">
        <v>229</v>
      </c>
      <c r="C87" s="389" t="s">
        <v>246</v>
      </c>
      <c r="D87" s="389" t="s">
        <v>258</v>
      </c>
      <c r="E87" s="389" t="s">
        <v>269</v>
      </c>
      <c r="F87" s="389" t="s">
        <v>279</v>
      </c>
      <c r="G87" s="389" t="s">
        <v>287</v>
      </c>
      <c r="H87" s="377"/>
      <c r="I87" s="377"/>
      <c r="J87" s="377"/>
      <c r="K87" s="456"/>
      <c r="L87" s="457"/>
      <c r="M87" s="458"/>
      <c r="N87" s="1959"/>
      <c r="O87" s="452"/>
      <c r="P87" s="453"/>
      <c r="Q87" s="442"/>
      <c r="R87" s="349"/>
      <c r="S87" s="349"/>
      <c r="T87" s="349"/>
      <c r="U87" s="349"/>
      <c r="V87" s="349"/>
      <c r="W87" s="349"/>
      <c r="X87" s="349"/>
      <c r="Y87" s="349"/>
      <c r="Z87" s="349"/>
      <c r="AA87" s="349"/>
      <c r="AB87" s="349"/>
      <c r="AC87" s="349"/>
    </row>
    <row r="88" ht="15.75" spans="1:29">
      <c r="A88" s="373"/>
      <c r="B88" s="378"/>
      <c r="C88" s="379">
        <v>100</v>
      </c>
      <c r="D88" s="379">
        <f>C88-$K19</f>
        <v>100</v>
      </c>
      <c r="E88" s="379">
        <f>D88-$K19</f>
        <v>100</v>
      </c>
      <c r="F88" s="379">
        <f>E88-$K19</f>
        <v>100</v>
      </c>
      <c r="G88" s="379">
        <f>F88-$K19</f>
        <v>100</v>
      </c>
      <c r="H88" s="379"/>
      <c r="I88" s="379"/>
      <c r="J88" s="379"/>
      <c r="K88" s="379"/>
      <c r="L88" s="379"/>
      <c r="M88" s="459"/>
      <c r="N88" s="1960"/>
      <c r="O88" s="455"/>
      <c r="P88" s="453"/>
      <c r="Q88" s="442"/>
      <c r="R88" s="349"/>
      <c r="S88" s="349"/>
      <c r="T88" s="349"/>
      <c r="U88" s="349"/>
      <c r="V88" s="349"/>
      <c r="W88" s="349"/>
      <c r="X88" s="349"/>
      <c r="Y88" s="349"/>
      <c r="Z88" s="349"/>
      <c r="AA88" s="349"/>
      <c r="AB88" s="349"/>
      <c r="AC88" s="349"/>
    </row>
    <row r="89" s="196" customFormat="1" ht="15.75" spans="1:29">
      <c r="A89" s="516"/>
      <c r="B89" s="376" t="s">
        <v>230</v>
      </c>
      <c r="C89" s="389" t="s">
        <v>246</v>
      </c>
      <c r="D89" s="389" t="s">
        <v>258</v>
      </c>
      <c r="E89" s="389" t="s">
        <v>269</v>
      </c>
      <c r="F89" s="389" t="s">
        <v>279</v>
      </c>
      <c r="G89" s="389" t="s">
        <v>287</v>
      </c>
      <c r="H89" s="389"/>
      <c r="I89" s="389"/>
      <c r="J89" s="389"/>
      <c r="K89" s="389"/>
      <c r="L89" s="1962"/>
      <c r="M89" s="533"/>
      <c r="N89" s="1958"/>
      <c r="O89" s="447"/>
      <c r="P89" s="453"/>
      <c r="Q89" s="442"/>
      <c r="R89" s="499"/>
      <c r="S89" s="499"/>
      <c r="T89" s="499"/>
      <c r="U89" s="499"/>
      <c r="V89" s="499"/>
      <c r="W89" s="499"/>
      <c r="X89" s="499"/>
      <c r="Y89" s="499"/>
      <c r="Z89" s="499"/>
      <c r="AA89" s="499"/>
      <c r="AB89" s="499"/>
      <c r="AC89" s="499"/>
    </row>
    <row r="90" s="196" customFormat="1" ht="15.75" spans="1:29">
      <c r="A90" s="516"/>
      <c r="B90" s="378"/>
      <c r="C90" s="518">
        <v>100</v>
      </c>
      <c r="D90" s="379">
        <f>C90-$K21</f>
        <v>100</v>
      </c>
      <c r="E90" s="379">
        <f>D90-$K21</f>
        <v>100</v>
      </c>
      <c r="F90" s="379">
        <f>E90-$K21</f>
        <v>100</v>
      </c>
      <c r="G90" s="379">
        <f>F90-$K21</f>
        <v>100</v>
      </c>
      <c r="H90" s="379"/>
      <c r="I90" s="379"/>
      <c r="J90" s="379"/>
      <c r="K90" s="379"/>
      <c r="L90" s="379"/>
      <c r="M90" s="459"/>
      <c r="N90" s="1960"/>
      <c r="O90" s="455"/>
      <c r="P90" s="453"/>
      <c r="Q90" s="442"/>
      <c r="R90" s="499"/>
      <c r="S90" s="499"/>
      <c r="T90" s="499"/>
      <c r="U90" s="499"/>
      <c r="V90" s="499"/>
      <c r="W90" s="499"/>
      <c r="X90" s="499"/>
      <c r="Y90" s="499"/>
      <c r="Z90" s="499"/>
      <c r="AA90" s="499"/>
      <c r="AB90" s="499"/>
      <c r="AC90" s="499"/>
    </row>
    <row r="91" s="196" customFormat="1" ht="27.75" spans="1:29">
      <c r="A91" s="516"/>
      <c r="B91" s="376" t="s">
        <v>1311</v>
      </c>
      <c r="C91" s="387" t="s">
        <v>246</v>
      </c>
      <c r="D91" s="387" t="s">
        <v>258</v>
      </c>
      <c r="E91" s="387" t="s">
        <v>269</v>
      </c>
      <c r="F91" s="387" t="s">
        <v>279</v>
      </c>
      <c r="G91" s="387" t="s">
        <v>287</v>
      </c>
      <c r="H91" s="389"/>
      <c r="I91" s="389"/>
      <c r="J91" s="389"/>
      <c r="K91" s="389"/>
      <c r="L91" s="389"/>
      <c r="M91" s="533"/>
      <c r="N91" s="1958"/>
      <c r="O91" s="447"/>
      <c r="P91" s="453"/>
      <c r="Q91" s="442"/>
      <c r="R91" s="499"/>
      <c r="S91" s="499"/>
      <c r="T91" s="499"/>
      <c r="U91" s="499"/>
      <c r="V91" s="499"/>
      <c r="W91" s="499"/>
      <c r="X91" s="499"/>
      <c r="Y91" s="499"/>
      <c r="Z91" s="499"/>
      <c r="AA91" s="499"/>
      <c r="AB91" s="499"/>
      <c r="AC91" s="499"/>
    </row>
    <row r="92" s="196" customFormat="1" ht="15.75" spans="1:29">
      <c r="A92" s="516"/>
      <c r="B92" s="378"/>
      <c r="C92" s="379">
        <v>100</v>
      </c>
      <c r="D92" s="379">
        <f>C92-$K23</f>
        <v>100</v>
      </c>
      <c r="E92" s="379">
        <f>D92-$K23</f>
        <v>100</v>
      </c>
      <c r="F92" s="379">
        <f>E92-$K23</f>
        <v>100</v>
      </c>
      <c r="G92" s="379">
        <f>F92-$K23</f>
        <v>100</v>
      </c>
      <c r="H92" s="379"/>
      <c r="I92" s="379"/>
      <c r="J92" s="379"/>
      <c r="K92" s="379"/>
      <c r="L92" s="379"/>
      <c r="M92" s="459"/>
      <c r="N92" s="1960"/>
      <c r="O92" s="455"/>
      <c r="P92" s="453"/>
      <c r="Q92" s="442"/>
      <c r="R92" s="499"/>
      <c r="S92" s="499"/>
      <c r="T92" s="499"/>
      <c r="U92" s="499"/>
      <c r="V92" s="499"/>
      <c r="W92" s="499"/>
      <c r="X92" s="499"/>
      <c r="Y92" s="499"/>
      <c r="Z92" s="499"/>
      <c r="AA92" s="499"/>
      <c r="AB92" s="499"/>
      <c r="AC92" s="499"/>
    </row>
    <row r="93" s="198" customFormat="1" ht="15.75" spans="1:29">
      <c r="A93" s="383"/>
      <c r="B93" s="388" t="s">
        <v>231</v>
      </c>
      <c r="C93" s="387" t="s">
        <v>246</v>
      </c>
      <c r="D93" s="387" t="s">
        <v>258</v>
      </c>
      <c r="E93" s="387" t="s">
        <v>269</v>
      </c>
      <c r="F93" s="387" t="s">
        <v>279</v>
      </c>
      <c r="G93" s="387" t="s">
        <v>287</v>
      </c>
      <c r="H93" s="662"/>
      <c r="I93" s="662"/>
      <c r="J93" s="662"/>
      <c r="K93" s="662"/>
      <c r="L93" s="663"/>
      <c r="M93" s="664"/>
      <c r="N93" s="1961"/>
      <c r="O93" s="465"/>
      <c r="P93" s="466"/>
      <c r="Q93" s="500"/>
      <c r="R93" s="501"/>
      <c r="S93" s="501"/>
      <c r="T93" s="501"/>
      <c r="U93" s="501"/>
      <c r="V93" s="501"/>
      <c r="W93" s="501"/>
      <c r="X93" s="501"/>
      <c r="Y93" s="501"/>
      <c r="Z93" s="501"/>
      <c r="AA93" s="501"/>
      <c r="AB93" s="501"/>
      <c r="AC93" s="501"/>
    </row>
    <row r="94" s="198" customFormat="1" ht="15.75" spans="1:29">
      <c r="A94" s="383"/>
      <c r="B94" s="378"/>
      <c r="C94" s="379">
        <v>100</v>
      </c>
      <c r="D94" s="379">
        <f>C94-$K25</f>
        <v>100</v>
      </c>
      <c r="E94" s="379">
        <f>D94-$K25</f>
        <v>100</v>
      </c>
      <c r="F94" s="379">
        <f>E94-$K25</f>
        <v>100</v>
      </c>
      <c r="G94" s="379">
        <f>F94-$K25</f>
        <v>100</v>
      </c>
      <c r="H94" s="668"/>
      <c r="I94" s="668"/>
      <c r="J94" s="668"/>
      <c r="K94" s="668"/>
      <c r="L94" s="668"/>
      <c r="M94" s="669"/>
      <c r="N94" s="1961"/>
      <c r="O94" s="465"/>
      <c r="P94" s="466"/>
      <c r="Q94" s="500"/>
      <c r="R94" s="501"/>
      <c r="S94" s="501"/>
      <c r="T94" s="501"/>
      <c r="U94" s="501"/>
      <c r="V94" s="501"/>
      <c r="W94" s="501"/>
      <c r="X94" s="501"/>
      <c r="Y94" s="501"/>
      <c r="Z94" s="501"/>
      <c r="AA94" s="501"/>
      <c r="AB94" s="501"/>
      <c r="AC94" s="501"/>
    </row>
    <row r="95" s="198" customFormat="1" ht="15.75" spans="1:29">
      <c r="A95" s="383"/>
      <c r="B95" s="512" t="s">
        <v>232</v>
      </c>
      <c r="C95" s="513" t="s">
        <v>247</v>
      </c>
      <c r="D95" s="513" t="s">
        <v>259</v>
      </c>
      <c r="E95" s="513" t="s">
        <v>270</v>
      </c>
      <c r="F95" s="513" t="s">
        <v>280</v>
      </c>
      <c r="G95" s="513" t="s">
        <v>288</v>
      </c>
      <c r="H95" s="662"/>
      <c r="I95" s="662"/>
      <c r="J95" s="662"/>
      <c r="K95" s="662"/>
      <c r="L95" s="662"/>
      <c r="M95" s="664"/>
      <c r="N95" s="1961"/>
      <c r="O95" s="465"/>
      <c r="P95" s="466"/>
      <c r="Q95" s="500"/>
      <c r="R95" s="501"/>
      <c r="S95" s="501"/>
      <c r="T95" s="501"/>
      <c r="U95" s="501"/>
      <c r="V95" s="501"/>
      <c r="W95" s="501"/>
      <c r="X95" s="501"/>
      <c r="Y95" s="501"/>
      <c r="Z95" s="501"/>
      <c r="AA95" s="501"/>
      <c r="AB95" s="501"/>
      <c r="AC95" s="501"/>
    </row>
    <row r="96" s="198" customFormat="1" ht="15.75" spans="1:29">
      <c r="A96" s="383"/>
      <c r="B96" s="514"/>
      <c r="C96" s="379">
        <v>100</v>
      </c>
      <c r="D96" s="379">
        <f>C96-$K27</f>
        <v>100</v>
      </c>
      <c r="E96" s="379">
        <f>D96-$K27</f>
        <v>100</v>
      </c>
      <c r="F96" s="379">
        <f>E96-$K27</f>
        <v>100</v>
      </c>
      <c r="G96" s="379">
        <f>F96-$K27</f>
        <v>100</v>
      </c>
      <c r="H96" s="593"/>
      <c r="I96" s="593"/>
      <c r="J96" s="593"/>
      <c r="K96" s="593"/>
      <c r="L96" s="593"/>
      <c r="M96" s="1963"/>
      <c r="N96" s="1961"/>
      <c r="O96" s="465"/>
      <c r="P96" s="466"/>
      <c r="Q96" s="500"/>
      <c r="R96" s="501"/>
      <c r="S96" s="501"/>
      <c r="T96" s="501"/>
      <c r="U96" s="501"/>
      <c r="V96" s="501"/>
      <c r="W96" s="501"/>
      <c r="X96" s="501"/>
      <c r="Y96" s="501"/>
      <c r="Z96" s="501"/>
      <c r="AA96" s="501"/>
      <c r="AB96" s="501"/>
      <c r="AC96" s="501"/>
    </row>
    <row r="97" ht="15.75" spans="1:29">
      <c r="A97" s="373"/>
      <c r="B97" s="376" t="str">
        <f>B29</f>
        <v>临街状况</v>
      </c>
      <c r="C97" s="377" t="s">
        <v>1358</v>
      </c>
      <c r="D97" s="377" t="s">
        <v>1359</v>
      </c>
      <c r="E97" s="377" t="s">
        <v>1360</v>
      </c>
      <c r="F97" s="377" t="s">
        <v>1361</v>
      </c>
      <c r="G97" s="377"/>
      <c r="H97" s="377"/>
      <c r="I97" s="377"/>
      <c r="J97" s="377"/>
      <c r="K97" s="456"/>
      <c r="L97" s="457"/>
      <c r="M97" s="458"/>
      <c r="N97" s="1959"/>
      <c r="O97" s="452"/>
      <c r="P97" s="453"/>
      <c r="Q97" s="442"/>
      <c r="R97" s="349"/>
      <c r="S97" s="349"/>
      <c r="T97" s="349"/>
      <c r="U97" s="349"/>
      <c r="V97" s="349"/>
      <c r="W97" s="349"/>
      <c r="X97" s="349"/>
      <c r="Y97" s="349"/>
      <c r="Z97" s="349"/>
      <c r="AA97" s="349"/>
      <c r="AB97" s="349"/>
      <c r="AC97" s="349"/>
    </row>
    <row r="98" ht="15.75" spans="1:29">
      <c r="A98" s="373"/>
      <c r="B98" s="378"/>
      <c r="C98" s="379">
        <v>100</v>
      </c>
      <c r="D98" s="379">
        <f t="shared" ref="D98:M98" si="22">C98-$K29</f>
        <v>100</v>
      </c>
      <c r="E98" s="379">
        <f t="shared" si="22"/>
        <v>100</v>
      </c>
      <c r="F98" s="379">
        <f t="shared" si="22"/>
        <v>100</v>
      </c>
      <c r="G98" s="379">
        <f t="shared" si="22"/>
        <v>100</v>
      </c>
      <c r="H98" s="379">
        <f t="shared" si="22"/>
        <v>100</v>
      </c>
      <c r="I98" s="379">
        <f t="shared" si="22"/>
        <v>100</v>
      </c>
      <c r="J98" s="379">
        <f t="shared" si="22"/>
        <v>100</v>
      </c>
      <c r="K98" s="379">
        <f t="shared" si="22"/>
        <v>100</v>
      </c>
      <c r="L98" s="379">
        <f t="shared" si="22"/>
        <v>100</v>
      </c>
      <c r="M98" s="379">
        <f t="shared" si="22"/>
        <v>100</v>
      </c>
      <c r="N98" s="1960"/>
      <c r="O98" s="455"/>
      <c r="P98" s="453"/>
      <c r="Q98" s="442"/>
      <c r="R98" s="349"/>
      <c r="S98" s="349"/>
      <c r="T98" s="349"/>
      <c r="U98" s="349"/>
      <c r="V98" s="349"/>
      <c r="W98" s="349"/>
      <c r="X98" s="349"/>
      <c r="Y98" s="349"/>
      <c r="Z98" s="349"/>
      <c r="AA98" s="349"/>
      <c r="AB98" s="349"/>
      <c r="AC98" s="349"/>
    </row>
    <row r="99" ht="27.75" spans="1:29">
      <c r="A99" s="373"/>
      <c r="B99" s="376" t="s">
        <v>1312</v>
      </c>
      <c r="C99" s="384"/>
      <c r="D99" s="384"/>
      <c r="E99" s="384"/>
      <c r="F99" s="384"/>
      <c r="G99" s="384"/>
      <c r="H99" s="515"/>
      <c r="I99" s="515"/>
      <c r="J99" s="515"/>
      <c r="K99" s="525"/>
      <c r="L99" s="526"/>
      <c r="M99" s="527"/>
      <c r="N99" s="1959"/>
      <c r="O99" s="452"/>
      <c r="P99" s="453"/>
      <c r="Q99" s="442"/>
      <c r="R99" s="349"/>
      <c r="S99" s="349"/>
      <c r="T99" s="349"/>
      <c r="U99" s="349"/>
      <c r="V99" s="349"/>
      <c r="W99" s="349"/>
      <c r="X99" s="349"/>
      <c r="Y99" s="349"/>
      <c r="Z99" s="349"/>
      <c r="AA99" s="349"/>
      <c r="AB99" s="349"/>
      <c r="AC99" s="349"/>
    </row>
    <row r="100" ht="15.75" spans="1:29">
      <c r="A100" s="373"/>
      <c r="B100" s="378"/>
      <c r="C100" s="379">
        <v>100</v>
      </c>
      <c r="D100" s="379">
        <f t="shared" ref="D100:M100" si="23">C100-$K30</f>
        <v>100</v>
      </c>
      <c r="E100" s="379">
        <f t="shared" si="23"/>
        <v>100</v>
      </c>
      <c r="F100" s="379">
        <f t="shared" si="23"/>
        <v>100</v>
      </c>
      <c r="G100" s="379">
        <f t="shared" si="23"/>
        <v>100</v>
      </c>
      <c r="H100" s="379">
        <f t="shared" si="23"/>
        <v>100</v>
      </c>
      <c r="I100" s="379">
        <f t="shared" si="23"/>
        <v>100</v>
      </c>
      <c r="J100" s="379">
        <f t="shared" si="23"/>
        <v>100</v>
      </c>
      <c r="K100" s="379">
        <f t="shared" si="23"/>
        <v>100</v>
      </c>
      <c r="L100" s="379">
        <f t="shared" si="23"/>
        <v>100</v>
      </c>
      <c r="M100" s="379">
        <f t="shared" si="23"/>
        <v>100</v>
      </c>
      <c r="N100" s="1960"/>
      <c r="O100" s="455"/>
      <c r="P100" s="453"/>
      <c r="Q100" s="442"/>
      <c r="R100" s="349"/>
      <c r="S100" s="349"/>
      <c r="T100" s="349"/>
      <c r="U100" s="349"/>
      <c r="V100" s="349"/>
      <c r="W100" s="349"/>
      <c r="X100" s="349"/>
      <c r="Y100" s="349"/>
      <c r="Z100" s="349"/>
      <c r="AA100" s="349"/>
      <c r="AB100" s="349"/>
      <c r="AC100" s="349"/>
    </row>
    <row r="101" ht="15.75" spans="1:29">
      <c r="A101" s="373"/>
      <c r="B101" s="376" t="s">
        <v>1313</v>
      </c>
      <c r="C101" s="515"/>
      <c r="D101" s="515"/>
      <c r="E101" s="515"/>
      <c r="F101" s="515"/>
      <c r="G101" s="515"/>
      <c r="H101" s="515"/>
      <c r="I101" s="515"/>
      <c r="J101" s="515"/>
      <c r="K101" s="525"/>
      <c r="L101" s="526"/>
      <c r="M101" s="527"/>
      <c r="N101" s="1959"/>
      <c r="O101" s="452"/>
      <c r="P101" s="453"/>
      <c r="Q101" s="442"/>
      <c r="R101" s="349"/>
      <c r="S101" s="349"/>
      <c r="T101" s="349"/>
      <c r="U101" s="349"/>
      <c r="V101" s="349"/>
      <c r="W101" s="349"/>
      <c r="X101" s="349"/>
      <c r="Y101" s="349"/>
      <c r="Z101" s="349"/>
      <c r="AA101" s="349"/>
      <c r="AB101" s="349"/>
      <c r="AC101" s="349"/>
    </row>
    <row r="102" ht="15.75" spans="1:29">
      <c r="A102" s="373"/>
      <c r="B102" s="378"/>
      <c r="C102" s="379">
        <v>100</v>
      </c>
      <c r="D102" s="379">
        <f t="shared" ref="D102:M102" si="24">C102-$K32</f>
        <v>100</v>
      </c>
      <c r="E102" s="379">
        <f t="shared" si="24"/>
        <v>100</v>
      </c>
      <c r="F102" s="379">
        <f t="shared" si="24"/>
        <v>100</v>
      </c>
      <c r="G102" s="379">
        <f t="shared" si="24"/>
        <v>100</v>
      </c>
      <c r="H102" s="379">
        <f t="shared" si="24"/>
        <v>100</v>
      </c>
      <c r="I102" s="379">
        <f t="shared" si="24"/>
        <v>100</v>
      </c>
      <c r="J102" s="379">
        <f t="shared" si="24"/>
        <v>100</v>
      </c>
      <c r="K102" s="379">
        <f t="shared" si="24"/>
        <v>100</v>
      </c>
      <c r="L102" s="379">
        <f t="shared" si="24"/>
        <v>100</v>
      </c>
      <c r="M102" s="379">
        <f t="shared" si="24"/>
        <v>100</v>
      </c>
      <c r="N102" s="1960"/>
      <c r="O102" s="455"/>
      <c r="P102" s="453"/>
      <c r="Q102" s="442"/>
      <c r="R102" s="349"/>
      <c r="S102" s="349"/>
      <c r="T102" s="349"/>
      <c r="U102" s="349"/>
      <c r="V102" s="349"/>
      <c r="W102" s="349"/>
      <c r="X102" s="349"/>
      <c r="Y102" s="349"/>
      <c r="Z102" s="349"/>
      <c r="AA102" s="349"/>
      <c r="AB102" s="349"/>
      <c r="AC102" s="349"/>
    </row>
    <row r="103" ht="15.75" spans="1:29">
      <c r="A103" s="373"/>
      <c r="B103" s="514">
        <f>B33</f>
        <v>111</v>
      </c>
      <c r="C103" s="384"/>
      <c r="D103" s="384"/>
      <c r="E103" s="384"/>
      <c r="F103" s="384"/>
      <c r="G103" s="600"/>
      <c r="H103" s="600"/>
      <c r="I103" s="600"/>
      <c r="J103" s="600"/>
      <c r="K103" s="608"/>
      <c r="L103" s="609"/>
      <c r="M103" s="610"/>
      <c r="N103" s="1959"/>
      <c r="O103" s="452"/>
      <c r="P103" s="453"/>
      <c r="Q103" s="442"/>
      <c r="R103" s="349"/>
      <c r="S103" s="349"/>
      <c r="T103" s="349"/>
      <c r="U103" s="349"/>
      <c r="V103" s="349"/>
      <c r="W103" s="349"/>
      <c r="X103" s="349"/>
      <c r="Y103" s="349"/>
      <c r="Z103" s="349"/>
      <c r="AA103" s="349"/>
      <c r="AB103" s="349"/>
      <c r="AC103" s="349"/>
    </row>
    <row r="104" ht="15.75" spans="1:29">
      <c r="A104" s="373"/>
      <c r="B104" s="597"/>
      <c r="C104" s="382"/>
      <c r="D104" s="375"/>
      <c r="E104" s="375"/>
      <c r="F104" s="375"/>
      <c r="G104" s="602"/>
      <c r="H104" s="602"/>
      <c r="I104" s="602"/>
      <c r="J104" s="602"/>
      <c r="K104" s="602"/>
      <c r="L104" s="602"/>
      <c r="M104" s="611"/>
      <c r="N104" s="1960"/>
      <c r="O104" s="455"/>
      <c r="P104" s="453"/>
      <c r="Q104" s="442"/>
      <c r="R104" s="349"/>
      <c r="S104" s="349"/>
      <c r="T104" s="349"/>
      <c r="U104" s="349"/>
      <c r="V104" s="349"/>
      <c r="W104" s="349"/>
      <c r="X104" s="349"/>
      <c r="Y104" s="349"/>
      <c r="Z104" s="349"/>
      <c r="AA104" s="349"/>
      <c r="AB104" s="349"/>
      <c r="AC104" s="349"/>
    </row>
    <row r="105" ht="15" spans="1:29">
      <c r="A105" s="1870"/>
      <c r="B105" s="376">
        <f>B34</f>
        <v>111</v>
      </c>
      <c r="C105" s="384"/>
      <c r="D105" s="384"/>
      <c r="E105" s="384"/>
      <c r="F105" s="384"/>
      <c r="G105" s="515"/>
      <c r="H105" s="515"/>
      <c r="I105" s="515"/>
      <c r="J105" s="515"/>
      <c r="K105" s="525"/>
      <c r="L105" s="526"/>
      <c r="M105" s="527"/>
      <c r="N105" s="1959"/>
      <c r="O105" s="452"/>
      <c r="P105" s="453"/>
      <c r="Q105" s="442"/>
      <c r="R105" s="349"/>
      <c r="S105" s="349"/>
      <c r="T105" s="349"/>
      <c r="U105" s="349"/>
      <c r="V105" s="349"/>
      <c r="W105" s="349"/>
      <c r="X105" s="349"/>
      <c r="Y105" s="349"/>
      <c r="Z105" s="349"/>
      <c r="AA105" s="349"/>
      <c r="AB105" s="349"/>
      <c r="AC105" s="349"/>
    </row>
    <row r="106" ht="15.75" spans="1:29">
      <c r="A106" s="373"/>
      <c r="B106" s="378"/>
      <c r="C106" s="382"/>
      <c r="D106" s="382"/>
      <c r="E106" s="382"/>
      <c r="F106" s="382"/>
      <c r="G106" s="375"/>
      <c r="H106" s="375"/>
      <c r="I106" s="375"/>
      <c r="J106" s="375"/>
      <c r="K106" s="375"/>
      <c r="L106" s="375"/>
      <c r="M106" s="454"/>
      <c r="N106" s="1960"/>
      <c r="O106" s="455"/>
      <c r="P106" s="453"/>
      <c r="Q106" s="442"/>
      <c r="R106" s="349"/>
      <c r="S106" s="349"/>
      <c r="T106" s="349"/>
      <c r="U106" s="349"/>
      <c r="V106" s="349"/>
      <c r="W106" s="349"/>
      <c r="X106" s="349"/>
      <c r="Y106" s="349"/>
      <c r="Z106" s="349"/>
      <c r="AA106" s="349"/>
      <c r="AB106" s="349"/>
      <c r="AC106" s="349"/>
    </row>
    <row r="107" s="198" customFormat="1" ht="15.75" spans="1:29">
      <c r="A107" s="521"/>
      <c r="B107" s="603">
        <f>B35</f>
        <v>111</v>
      </c>
      <c r="C107" s="368"/>
      <c r="D107" s="368"/>
      <c r="E107" s="368"/>
      <c r="F107" s="368"/>
      <c r="G107" s="520"/>
      <c r="H107" s="520"/>
      <c r="I107" s="520"/>
      <c r="J107" s="534"/>
      <c r="K107" s="534"/>
      <c r="L107" s="535"/>
      <c r="M107" s="536"/>
      <c r="N107" s="1961"/>
      <c r="O107" s="465"/>
      <c r="P107" s="466"/>
      <c r="Q107" s="500"/>
      <c r="R107" s="501"/>
      <c r="S107" s="501"/>
      <c r="T107" s="501"/>
      <c r="U107" s="501"/>
      <c r="V107" s="501"/>
      <c r="W107" s="501"/>
      <c r="X107" s="501"/>
      <c r="Y107" s="501"/>
      <c r="Z107" s="501"/>
      <c r="AA107" s="501"/>
      <c r="AB107" s="501"/>
      <c r="AC107" s="501"/>
    </row>
    <row r="108" s="198" customFormat="1" ht="15.75" spans="1:29">
      <c r="A108" s="383"/>
      <c r="B108" s="514"/>
      <c r="C108" s="598"/>
      <c r="D108" s="598"/>
      <c r="E108" s="598"/>
      <c r="F108" s="598"/>
      <c r="G108" s="1952"/>
      <c r="H108" s="1952"/>
      <c r="I108" s="1952"/>
      <c r="J108" s="1952"/>
      <c r="K108" s="1952"/>
      <c r="L108" s="1952"/>
      <c r="M108" s="1964"/>
      <c r="N108" s="1960"/>
      <c r="O108" s="455"/>
      <c r="P108" s="466"/>
      <c r="Q108" s="500"/>
      <c r="R108" s="501"/>
      <c r="S108" s="501"/>
      <c r="T108" s="501"/>
      <c r="U108" s="501"/>
      <c r="V108" s="501"/>
      <c r="W108" s="501"/>
      <c r="X108" s="501"/>
      <c r="Y108" s="501"/>
      <c r="Z108" s="501"/>
      <c r="AA108" s="501"/>
      <c r="AB108" s="501"/>
      <c r="AC108" s="501"/>
    </row>
    <row r="109" spans="1:29">
      <c r="A109" s="369" t="s">
        <v>1362</v>
      </c>
      <c r="B109" s="370" t="s">
        <v>1316</v>
      </c>
      <c r="C109" s="371" t="str">
        <f t="shared" ref="C109:L109" si="25">C110&amp;"(含)"&amp;"-"&amp;D110</f>
        <v>(含)-</v>
      </c>
      <c r="D109" s="371" t="str">
        <f t="shared" si="25"/>
        <v>(含)-</v>
      </c>
      <c r="E109" s="371" t="str">
        <f t="shared" si="25"/>
        <v>(含)-</v>
      </c>
      <c r="F109" s="371" t="str">
        <f t="shared" si="25"/>
        <v>(含)-</v>
      </c>
      <c r="G109" s="371" t="str">
        <f t="shared" si="25"/>
        <v>(含)-</v>
      </c>
      <c r="H109" s="371" t="str">
        <f t="shared" si="25"/>
        <v>(含)-</v>
      </c>
      <c r="I109" s="371" t="str">
        <f t="shared" si="25"/>
        <v>(含)-</v>
      </c>
      <c r="J109" s="371" t="str">
        <f t="shared" si="25"/>
        <v>(含)-</v>
      </c>
      <c r="K109" s="1965" t="str">
        <f t="shared" si="25"/>
        <v>(含)-</v>
      </c>
      <c r="L109" s="1966" t="str">
        <f t="shared" si="25"/>
        <v>(含)-</v>
      </c>
      <c r="M109" s="1967" t="str">
        <f>M110&amp;"(含)"&amp;"-"&amp;P110</f>
        <v>(含)-</v>
      </c>
      <c r="N109" s="1959"/>
      <c r="O109" s="452"/>
      <c r="P109" s="453"/>
      <c r="Q109" s="442"/>
      <c r="R109" s="349"/>
      <c r="S109" s="349"/>
      <c r="T109" s="349"/>
      <c r="U109" s="349"/>
      <c r="V109" s="349"/>
      <c r="W109" s="349"/>
      <c r="X109" s="349"/>
      <c r="Y109" s="349"/>
      <c r="Z109" s="349"/>
      <c r="AA109" s="349"/>
      <c r="AB109" s="349"/>
      <c r="AC109" s="349"/>
    </row>
    <row r="110" ht="15" spans="1:29">
      <c r="A110" s="373"/>
      <c r="B110" s="514"/>
      <c r="C110" s="520"/>
      <c r="D110" s="520"/>
      <c r="E110" s="520"/>
      <c r="F110" s="520"/>
      <c r="G110" s="520"/>
      <c r="H110" s="520"/>
      <c r="I110" s="520"/>
      <c r="J110" s="534"/>
      <c r="K110" s="534"/>
      <c r="L110" s="535"/>
      <c r="M110" s="536"/>
      <c r="N110" s="1959"/>
      <c r="O110" s="452"/>
      <c r="P110" s="453"/>
      <c r="Q110" s="442"/>
      <c r="R110" s="349"/>
      <c r="S110" s="349"/>
      <c r="T110" s="349"/>
      <c r="U110" s="349"/>
      <c r="V110" s="349"/>
      <c r="W110" s="349"/>
      <c r="X110" s="349"/>
      <c r="Y110" s="349"/>
      <c r="Z110" s="349"/>
      <c r="AA110" s="349"/>
      <c r="AB110" s="349"/>
      <c r="AC110" s="349"/>
    </row>
    <row r="111" ht="15.75" spans="1:29">
      <c r="A111" s="373"/>
      <c r="B111" s="378"/>
      <c r="C111" s="598"/>
      <c r="D111" s="602"/>
      <c r="E111" s="602"/>
      <c r="F111" s="602"/>
      <c r="G111" s="602"/>
      <c r="H111" s="602"/>
      <c r="I111" s="602"/>
      <c r="J111" s="602"/>
      <c r="K111" s="602"/>
      <c r="L111" s="602"/>
      <c r="M111" s="611"/>
      <c r="N111" s="1960"/>
      <c r="O111" s="455"/>
      <c r="P111" s="453"/>
      <c r="Q111" s="442"/>
      <c r="R111" s="349"/>
      <c r="S111" s="349"/>
      <c r="T111" s="349"/>
      <c r="U111" s="349"/>
      <c r="V111" s="349"/>
      <c r="W111" s="349"/>
      <c r="X111" s="349"/>
      <c r="Y111" s="349"/>
      <c r="Z111" s="349"/>
      <c r="AA111" s="349"/>
      <c r="AB111" s="349"/>
      <c r="AC111" s="349"/>
    </row>
    <row r="112" ht="15.75" spans="1:29">
      <c r="A112" s="519"/>
      <c r="B112" s="376" t="s">
        <v>1317</v>
      </c>
      <c r="C112" s="515"/>
      <c r="D112" s="515"/>
      <c r="E112" s="515"/>
      <c r="F112" s="515"/>
      <c r="G112" s="515"/>
      <c r="H112" s="515"/>
      <c r="I112" s="515"/>
      <c r="J112" s="515"/>
      <c r="K112" s="525"/>
      <c r="L112" s="526"/>
      <c r="M112" s="527"/>
      <c r="N112" s="1959"/>
      <c r="O112" s="452"/>
      <c r="P112" s="453"/>
      <c r="Q112" s="442"/>
      <c r="R112" s="349"/>
      <c r="S112" s="349"/>
      <c r="T112" s="349"/>
      <c r="U112" s="349"/>
      <c r="V112" s="349"/>
      <c r="W112" s="349"/>
      <c r="X112" s="349"/>
      <c r="Y112" s="349"/>
      <c r="Z112" s="349"/>
      <c r="AA112" s="349"/>
      <c r="AB112" s="349"/>
      <c r="AC112" s="349"/>
    </row>
    <row r="113" ht="15.75" spans="1:29">
      <c r="A113" s="373"/>
      <c r="B113" s="378"/>
      <c r="C113" s="379">
        <v>100</v>
      </c>
      <c r="D113" s="379">
        <f t="shared" ref="D113:M113" si="26">C113-$K37</f>
        <v>100</v>
      </c>
      <c r="E113" s="379">
        <f t="shared" si="26"/>
        <v>100</v>
      </c>
      <c r="F113" s="379">
        <f t="shared" si="26"/>
        <v>100</v>
      </c>
      <c r="G113" s="379">
        <f t="shared" si="26"/>
        <v>100</v>
      </c>
      <c r="H113" s="379">
        <f t="shared" si="26"/>
        <v>100</v>
      </c>
      <c r="I113" s="379">
        <f t="shared" si="26"/>
        <v>100</v>
      </c>
      <c r="J113" s="379">
        <f t="shared" si="26"/>
        <v>100</v>
      </c>
      <c r="K113" s="379">
        <f t="shared" si="26"/>
        <v>100</v>
      </c>
      <c r="L113" s="379">
        <f t="shared" si="26"/>
        <v>100</v>
      </c>
      <c r="M113" s="459">
        <f t="shared" si="26"/>
        <v>100</v>
      </c>
      <c r="N113" s="1960"/>
      <c r="O113" s="455"/>
      <c r="P113" s="453"/>
      <c r="Q113" s="442"/>
      <c r="R113" s="349"/>
      <c r="S113" s="349"/>
      <c r="T113" s="349"/>
      <c r="U113" s="349"/>
      <c r="V113" s="349"/>
      <c r="W113" s="349"/>
      <c r="X113" s="349"/>
      <c r="Y113" s="349"/>
      <c r="Z113" s="349"/>
      <c r="AA113" s="349"/>
      <c r="AB113" s="349"/>
      <c r="AC113" s="349"/>
    </row>
    <row r="114" s="198" customFormat="1" ht="15.75" spans="1:29">
      <c r="A114" s="521"/>
      <c r="B114" s="388" t="s">
        <v>1319</v>
      </c>
      <c r="C114" s="1953"/>
      <c r="D114" s="1953"/>
      <c r="E114" s="1953"/>
      <c r="F114" s="1953"/>
      <c r="G114" s="1953"/>
      <c r="H114" s="515"/>
      <c r="I114" s="515"/>
      <c r="J114" s="515"/>
      <c r="K114" s="525"/>
      <c r="L114" s="526"/>
      <c r="M114" s="527"/>
      <c r="N114" s="1961"/>
      <c r="O114" s="465"/>
      <c r="P114" s="466"/>
      <c r="Q114" s="500"/>
      <c r="R114" s="501"/>
      <c r="S114" s="501"/>
      <c r="T114" s="501"/>
      <c r="U114" s="501"/>
      <c r="V114" s="501"/>
      <c r="W114" s="501"/>
      <c r="X114" s="501"/>
      <c r="Y114" s="501"/>
      <c r="Z114" s="501"/>
      <c r="AA114" s="501"/>
      <c r="AB114" s="501"/>
      <c r="AC114" s="501"/>
    </row>
    <row r="115" s="198" customFormat="1" ht="15.75" spans="1:29">
      <c r="A115" s="383"/>
      <c r="B115" s="378"/>
      <c r="C115" s="379">
        <v>100</v>
      </c>
      <c r="D115" s="379">
        <f t="shared" ref="D115:M115" si="27">C115-$K38</f>
        <v>100</v>
      </c>
      <c r="E115" s="379">
        <f t="shared" si="27"/>
        <v>100</v>
      </c>
      <c r="F115" s="379">
        <f t="shared" si="27"/>
        <v>100</v>
      </c>
      <c r="G115" s="379">
        <f t="shared" si="27"/>
        <v>100</v>
      </c>
      <c r="H115" s="379">
        <f t="shared" si="27"/>
        <v>100</v>
      </c>
      <c r="I115" s="379">
        <f t="shared" si="27"/>
        <v>100</v>
      </c>
      <c r="J115" s="379">
        <f t="shared" si="27"/>
        <v>100</v>
      </c>
      <c r="K115" s="379">
        <f t="shared" si="27"/>
        <v>100</v>
      </c>
      <c r="L115" s="379">
        <f t="shared" si="27"/>
        <v>100</v>
      </c>
      <c r="M115" s="459">
        <f t="shared" si="27"/>
        <v>100</v>
      </c>
      <c r="N115" s="1961"/>
      <c r="O115" s="465"/>
      <c r="P115" s="466"/>
      <c r="Q115" s="500"/>
      <c r="R115" s="501"/>
      <c r="S115" s="501"/>
      <c r="T115" s="501"/>
      <c r="U115" s="501"/>
      <c r="V115" s="501"/>
      <c r="W115" s="501"/>
      <c r="X115" s="501"/>
      <c r="Y115" s="501"/>
      <c r="Z115" s="501"/>
      <c r="AA115" s="501"/>
      <c r="AB115" s="501"/>
      <c r="AC115" s="501"/>
    </row>
    <row r="116" ht="15.75" spans="1:29">
      <c r="A116" s="519"/>
      <c r="B116" s="376" t="s">
        <v>1320</v>
      </c>
      <c r="C116" s="384"/>
      <c r="D116" s="384"/>
      <c r="E116" s="515"/>
      <c r="F116" s="515"/>
      <c r="G116" s="515"/>
      <c r="H116" s="515"/>
      <c r="I116" s="515"/>
      <c r="J116" s="515"/>
      <c r="K116" s="525"/>
      <c r="L116" s="526"/>
      <c r="M116" s="527"/>
      <c r="N116" s="1959"/>
      <c r="O116" s="452"/>
      <c r="P116" s="453"/>
      <c r="Q116" s="442"/>
      <c r="R116" s="349"/>
      <c r="S116" s="349"/>
      <c r="T116" s="349"/>
      <c r="U116" s="349"/>
      <c r="V116" s="349"/>
      <c r="W116" s="349"/>
      <c r="X116" s="349"/>
      <c r="Y116" s="349"/>
      <c r="Z116" s="349"/>
      <c r="AA116" s="349"/>
      <c r="AB116" s="349"/>
      <c r="AC116" s="349"/>
    </row>
    <row r="117" ht="15.75" spans="1:29">
      <c r="A117" s="373"/>
      <c r="B117" s="378"/>
      <c r="C117" s="379">
        <v>100</v>
      </c>
      <c r="D117" s="379">
        <f t="shared" ref="D117:M117" si="28">C117-$K39</f>
        <v>100</v>
      </c>
      <c r="E117" s="379">
        <f t="shared" si="28"/>
        <v>100</v>
      </c>
      <c r="F117" s="379">
        <f t="shared" si="28"/>
        <v>100</v>
      </c>
      <c r="G117" s="379">
        <f t="shared" si="28"/>
        <v>100</v>
      </c>
      <c r="H117" s="379">
        <f t="shared" si="28"/>
        <v>100</v>
      </c>
      <c r="I117" s="379">
        <f t="shared" si="28"/>
        <v>100</v>
      </c>
      <c r="J117" s="379">
        <f t="shared" si="28"/>
        <v>100</v>
      </c>
      <c r="K117" s="379">
        <f t="shared" si="28"/>
        <v>100</v>
      </c>
      <c r="L117" s="379">
        <f t="shared" si="28"/>
        <v>100</v>
      </c>
      <c r="M117" s="459">
        <f t="shared" si="28"/>
        <v>100</v>
      </c>
      <c r="N117" s="1960"/>
      <c r="O117" s="455"/>
      <c r="P117" s="453"/>
      <c r="Q117" s="442"/>
      <c r="R117" s="349"/>
      <c r="S117" s="349"/>
      <c r="T117" s="349"/>
      <c r="U117" s="349"/>
      <c r="V117" s="349"/>
      <c r="W117" s="349"/>
      <c r="X117" s="349"/>
      <c r="Y117" s="349"/>
      <c r="Z117" s="349"/>
      <c r="AA117" s="349"/>
      <c r="AB117" s="349"/>
      <c r="AC117" s="349"/>
    </row>
    <row r="118" ht="15.75" spans="1:29">
      <c r="A118" s="519"/>
      <c r="B118" s="376">
        <f>B40</f>
        <v>111</v>
      </c>
      <c r="C118" s="384"/>
      <c r="D118" s="384"/>
      <c r="E118" s="384"/>
      <c r="F118" s="384"/>
      <c r="G118" s="384"/>
      <c r="H118" s="515"/>
      <c r="I118" s="515"/>
      <c r="J118" s="515"/>
      <c r="K118" s="525"/>
      <c r="L118" s="526"/>
      <c r="M118" s="527"/>
      <c r="N118" s="1959"/>
      <c r="O118" s="452"/>
      <c r="P118" s="453"/>
      <c r="Q118" s="442"/>
      <c r="R118" s="349"/>
      <c r="S118" s="349"/>
      <c r="T118" s="349"/>
      <c r="U118" s="349"/>
      <c r="V118" s="349"/>
      <c r="W118" s="349"/>
      <c r="X118" s="349"/>
      <c r="Y118" s="349"/>
      <c r="Z118" s="349"/>
      <c r="AA118" s="349"/>
      <c r="AB118" s="349"/>
      <c r="AC118" s="349"/>
    </row>
    <row r="119" ht="15.75" spans="1:29">
      <c r="A119" s="373"/>
      <c r="B119" s="378"/>
      <c r="C119" s="382"/>
      <c r="D119" s="375"/>
      <c r="E119" s="375"/>
      <c r="F119" s="375"/>
      <c r="G119" s="375"/>
      <c r="H119" s="375"/>
      <c r="I119" s="375"/>
      <c r="J119" s="375"/>
      <c r="K119" s="375"/>
      <c r="L119" s="375"/>
      <c r="M119" s="454"/>
      <c r="N119" s="1960"/>
      <c r="O119" s="455"/>
      <c r="P119" s="453"/>
      <c r="Q119" s="442"/>
      <c r="R119" s="349"/>
      <c r="S119" s="349"/>
      <c r="T119" s="349"/>
      <c r="U119" s="349"/>
      <c r="V119" s="349"/>
      <c r="W119" s="349"/>
      <c r="X119" s="349"/>
      <c r="Y119" s="349"/>
      <c r="Z119" s="349"/>
      <c r="AA119" s="349"/>
      <c r="AB119" s="349"/>
      <c r="AC119" s="349"/>
    </row>
    <row r="120" ht="15.75" spans="1:29">
      <c r="A120" s="519"/>
      <c r="B120" s="376">
        <f>B41</f>
        <v>111</v>
      </c>
      <c r="C120" s="384"/>
      <c r="D120" s="384"/>
      <c r="E120" s="384"/>
      <c r="F120" s="384"/>
      <c r="G120" s="515"/>
      <c r="H120" s="515"/>
      <c r="I120" s="515"/>
      <c r="J120" s="515"/>
      <c r="K120" s="525"/>
      <c r="L120" s="526"/>
      <c r="M120" s="527"/>
      <c r="N120" s="1959"/>
      <c r="O120" s="452"/>
      <c r="P120" s="453"/>
      <c r="Q120" s="442"/>
      <c r="R120" s="349"/>
      <c r="S120" s="349"/>
      <c r="T120" s="349"/>
      <c r="U120" s="349"/>
      <c r="V120" s="349"/>
      <c r="W120" s="349"/>
      <c r="X120" s="349"/>
      <c r="Y120" s="349"/>
      <c r="Z120" s="349"/>
      <c r="AA120" s="349"/>
      <c r="AB120" s="349"/>
      <c r="AC120" s="349"/>
    </row>
    <row r="121" ht="15.75" spans="1:29">
      <c r="A121" s="373"/>
      <c r="B121" s="378"/>
      <c r="C121" s="382"/>
      <c r="D121" s="382"/>
      <c r="E121" s="382"/>
      <c r="F121" s="382"/>
      <c r="G121" s="375"/>
      <c r="H121" s="375"/>
      <c r="I121" s="375"/>
      <c r="J121" s="375"/>
      <c r="K121" s="375"/>
      <c r="L121" s="375"/>
      <c r="M121" s="454"/>
      <c r="N121" s="1960"/>
      <c r="O121" s="455"/>
      <c r="P121" s="453"/>
      <c r="Q121" s="442"/>
      <c r="R121" s="349"/>
      <c r="S121" s="349"/>
      <c r="T121" s="349"/>
      <c r="U121" s="349"/>
      <c r="V121" s="349"/>
      <c r="W121" s="349"/>
      <c r="X121" s="349"/>
      <c r="Y121" s="349"/>
      <c r="Z121" s="349"/>
      <c r="AA121" s="349"/>
      <c r="AB121" s="349"/>
      <c r="AC121" s="349"/>
    </row>
    <row r="122" s="198" customFormat="1" ht="15.75" spans="1:29">
      <c r="A122" s="521"/>
      <c r="B122" s="376">
        <f>B42</f>
        <v>111</v>
      </c>
      <c r="C122" s="368"/>
      <c r="D122" s="368"/>
      <c r="E122" s="368"/>
      <c r="F122" s="368"/>
      <c r="G122" s="385"/>
      <c r="H122" s="385"/>
      <c r="I122" s="385"/>
      <c r="J122" s="385"/>
      <c r="K122" s="385"/>
      <c r="L122" s="463"/>
      <c r="M122" s="464"/>
      <c r="N122" s="1961"/>
      <c r="O122" s="465"/>
      <c r="P122" s="466"/>
      <c r="Q122" s="500"/>
      <c r="R122" s="501"/>
      <c r="S122" s="501"/>
      <c r="T122" s="501"/>
      <c r="U122" s="501"/>
      <c r="V122" s="501"/>
      <c r="W122" s="501"/>
      <c r="X122" s="501"/>
      <c r="Y122" s="501"/>
      <c r="Z122" s="501"/>
      <c r="AA122" s="501"/>
      <c r="AB122" s="501"/>
      <c r="AC122" s="501"/>
    </row>
    <row r="123" s="198" customFormat="1" ht="15.75" spans="1:29">
      <c r="A123" s="596"/>
      <c r="B123" s="1954"/>
      <c r="C123" s="598"/>
      <c r="D123" s="598"/>
      <c r="E123" s="598"/>
      <c r="F123" s="598"/>
      <c r="G123" s="602"/>
      <c r="H123" s="602"/>
      <c r="I123" s="602"/>
      <c r="J123" s="602"/>
      <c r="K123" s="602"/>
      <c r="L123" s="602"/>
      <c r="M123" s="611"/>
      <c r="N123" s="1961"/>
      <c r="O123" s="465"/>
      <c r="P123" s="466"/>
      <c r="Q123" s="500"/>
      <c r="R123" s="501"/>
      <c r="S123" s="501"/>
      <c r="T123" s="501"/>
      <c r="U123" s="501"/>
      <c r="V123" s="501"/>
      <c r="W123" s="501"/>
      <c r="X123" s="501"/>
      <c r="Y123" s="501"/>
      <c r="Z123" s="501"/>
      <c r="AA123" s="501"/>
      <c r="AB123" s="501"/>
      <c r="AC123" s="501"/>
    </row>
    <row r="124" spans="1:29">
      <c r="A124" s="523"/>
      <c r="B124" s="523"/>
      <c r="C124" s="523"/>
      <c r="D124" s="523"/>
      <c r="E124" s="523"/>
      <c r="F124" s="523"/>
      <c r="G124" s="523"/>
      <c r="H124" s="523"/>
      <c r="I124" s="523"/>
      <c r="J124" s="523"/>
      <c r="K124" s="538"/>
      <c r="L124" s="539"/>
      <c r="M124" s="523"/>
      <c r="N124" s="523"/>
      <c r="O124" s="523"/>
      <c r="P124" s="523"/>
      <c r="Q124" s="523"/>
      <c r="R124" s="523"/>
      <c r="S124" s="523"/>
      <c r="T124" s="523"/>
      <c r="U124" s="523"/>
      <c r="V124" s="523"/>
      <c r="W124" s="523"/>
      <c r="X124" s="523"/>
      <c r="Y124" s="523"/>
      <c r="Z124" s="523"/>
      <c r="AA124" s="523"/>
      <c r="AB124" s="523"/>
      <c r="AC124" s="523"/>
    </row>
    <row r="125" spans="1:29">
      <c r="A125" s="523"/>
      <c r="B125" s="523"/>
      <c r="C125" s="523"/>
      <c r="D125" s="523"/>
      <c r="E125" s="523"/>
      <c r="F125" s="523"/>
      <c r="G125" s="523"/>
      <c r="H125" s="523"/>
      <c r="I125" s="523"/>
      <c r="J125" s="523"/>
      <c r="K125" s="538"/>
      <c r="L125" s="539"/>
      <c r="M125" s="523"/>
      <c r="N125" s="523"/>
      <c r="O125" s="523"/>
      <c r="P125" s="523"/>
      <c r="Q125" s="523"/>
      <c r="R125" s="523"/>
      <c r="S125" s="523"/>
      <c r="T125" s="523"/>
      <c r="U125" s="523"/>
      <c r="V125" s="523"/>
      <c r="W125" s="523"/>
      <c r="X125" s="523"/>
      <c r="Y125" s="523"/>
      <c r="Z125" s="523"/>
      <c r="AA125" s="523"/>
      <c r="AB125" s="523"/>
      <c r="AC125" s="523"/>
    </row>
    <row r="126" spans="1:29">
      <c r="A126" s="523"/>
      <c r="B126" s="523"/>
      <c r="C126" s="523"/>
      <c r="D126" s="523"/>
      <c r="E126" s="523"/>
      <c r="F126" s="523"/>
      <c r="G126" s="523"/>
      <c r="H126" s="523"/>
      <c r="I126" s="523"/>
      <c r="J126" s="523"/>
      <c r="K126" s="538"/>
      <c r="L126" s="539"/>
      <c r="M126" s="523"/>
      <c r="N126" s="523"/>
      <c r="O126" s="523"/>
      <c r="P126" s="523"/>
      <c r="Q126" s="523"/>
      <c r="R126" s="523"/>
      <c r="S126" s="523"/>
      <c r="T126" s="523"/>
      <c r="U126" s="523"/>
      <c r="V126" s="523"/>
      <c r="W126" s="523"/>
      <c r="X126" s="523"/>
      <c r="Y126" s="523"/>
      <c r="Z126" s="523"/>
      <c r="AA126" s="523"/>
      <c r="AB126" s="523"/>
      <c r="AC126" s="523"/>
    </row>
    <row r="127" spans="1:29">
      <c r="A127" s="523"/>
      <c r="B127" s="523"/>
      <c r="C127" s="523"/>
      <c r="D127" s="523"/>
      <c r="E127" s="523"/>
      <c r="F127" s="523"/>
      <c r="G127" s="523"/>
      <c r="H127" s="523"/>
      <c r="I127" s="523"/>
      <c r="J127" s="523"/>
      <c r="K127" s="538"/>
      <c r="L127" s="539"/>
      <c r="M127" s="523"/>
      <c r="N127" s="523"/>
      <c r="O127" s="523"/>
      <c r="P127" s="523"/>
      <c r="Q127" s="523"/>
      <c r="R127" s="523"/>
      <c r="S127" s="523"/>
      <c r="T127" s="523"/>
      <c r="U127" s="523"/>
      <c r="V127" s="523"/>
      <c r="W127" s="523"/>
      <c r="X127" s="523"/>
      <c r="Y127" s="523"/>
      <c r="Z127" s="523"/>
      <c r="AA127" s="523"/>
      <c r="AB127" s="523"/>
      <c r="AC127" s="523"/>
    </row>
    <row r="128" spans="1:29">
      <c r="A128" s="523"/>
      <c r="B128" s="523"/>
      <c r="C128" s="523"/>
      <c r="D128" s="523"/>
      <c r="E128" s="523"/>
      <c r="F128" s="523"/>
      <c r="G128" s="523"/>
      <c r="H128" s="523"/>
      <c r="I128" s="523"/>
      <c r="J128" s="523"/>
      <c r="K128" s="538"/>
      <c r="L128" s="539"/>
      <c r="M128" s="523"/>
      <c r="N128" s="523"/>
      <c r="O128" s="523"/>
      <c r="P128" s="523"/>
      <c r="Q128" s="523"/>
      <c r="R128" s="523"/>
      <c r="S128" s="523"/>
      <c r="T128" s="523"/>
      <c r="U128" s="523"/>
      <c r="V128" s="523"/>
      <c r="W128" s="523"/>
      <c r="X128" s="523"/>
      <c r="Y128" s="523"/>
      <c r="Z128" s="523"/>
      <c r="AA128" s="523"/>
      <c r="AB128" s="523"/>
      <c r="AC128" s="523"/>
    </row>
    <row r="129" spans="1:29">
      <c r="A129" s="523"/>
      <c r="B129" s="523"/>
      <c r="C129" s="523"/>
      <c r="D129" s="523"/>
      <c r="E129" s="523"/>
      <c r="F129" s="523"/>
      <c r="G129" s="523"/>
      <c r="H129" s="523"/>
      <c r="I129" s="523"/>
      <c r="J129" s="523"/>
      <c r="K129" s="538"/>
      <c r="L129" s="539"/>
      <c r="M129" s="523"/>
      <c r="N129" s="523"/>
      <c r="O129" s="523"/>
      <c r="P129" s="523"/>
      <c r="Q129" s="523"/>
      <c r="R129" s="523"/>
      <c r="S129" s="523"/>
      <c r="T129" s="523"/>
      <c r="U129" s="523"/>
      <c r="V129" s="523"/>
      <c r="W129" s="523"/>
      <c r="X129" s="523"/>
      <c r="Y129" s="523"/>
      <c r="Z129" s="523"/>
      <c r="AA129" s="523"/>
      <c r="AB129" s="523"/>
      <c r="AC129" s="523"/>
    </row>
    <row r="130" spans="1:29">
      <c r="A130" s="523"/>
      <c r="B130" s="523"/>
      <c r="C130" s="523"/>
      <c r="D130" s="523"/>
      <c r="E130" s="523"/>
      <c r="F130" s="523"/>
      <c r="G130" s="523"/>
      <c r="H130" s="523"/>
      <c r="I130" s="523"/>
      <c r="J130" s="523"/>
      <c r="K130" s="538"/>
      <c r="L130" s="539"/>
      <c r="M130" s="523"/>
      <c r="N130" s="523"/>
      <c r="O130" s="523"/>
      <c r="P130" s="523"/>
      <c r="Q130" s="523"/>
      <c r="R130" s="523"/>
      <c r="S130" s="523"/>
      <c r="T130" s="523"/>
      <c r="U130" s="523"/>
      <c r="V130" s="523"/>
      <c r="W130" s="523"/>
      <c r="X130" s="523"/>
      <c r="Y130" s="523"/>
      <c r="Z130" s="523"/>
      <c r="AA130" s="523"/>
      <c r="AB130" s="523"/>
      <c r="AC130" s="523"/>
    </row>
    <row r="131" spans="1:29">
      <c r="A131" s="523"/>
      <c r="B131" s="523"/>
      <c r="C131" s="523"/>
      <c r="D131" s="523"/>
      <c r="E131" s="523"/>
      <c r="F131" s="523"/>
      <c r="G131" s="523"/>
      <c r="H131" s="523"/>
      <c r="I131" s="523"/>
      <c r="J131" s="523"/>
      <c r="K131" s="538"/>
      <c r="L131" s="539"/>
      <c r="M131" s="523"/>
      <c r="N131" s="523"/>
      <c r="O131" s="523"/>
      <c r="P131" s="523"/>
      <c r="Q131" s="523"/>
      <c r="R131" s="523"/>
      <c r="S131" s="523"/>
      <c r="T131" s="523"/>
      <c r="U131" s="523"/>
      <c r="V131" s="523"/>
      <c r="W131" s="523"/>
      <c r="X131" s="523"/>
      <c r="Y131" s="523"/>
      <c r="Z131" s="523"/>
      <c r="AA131" s="523"/>
      <c r="AB131" s="523"/>
      <c r="AC131" s="523"/>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row r="236" spans="1:29">
      <c r="A236" s="523"/>
      <c r="B236" s="523"/>
      <c r="C236" s="523"/>
      <c r="D236" s="523"/>
      <c r="E236" s="523"/>
      <c r="F236" s="523"/>
      <c r="G236" s="523"/>
      <c r="H236" s="523"/>
      <c r="I236" s="523"/>
      <c r="J236" s="523"/>
      <c r="K236" s="538"/>
      <c r="L236" s="539"/>
      <c r="M236" s="523"/>
      <c r="N236" s="523"/>
      <c r="O236" s="523"/>
      <c r="P236" s="523"/>
      <c r="Q236" s="523"/>
      <c r="R236" s="523"/>
      <c r="S236" s="523"/>
      <c r="T236" s="523"/>
      <c r="U236" s="523"/>
      <c r="V236" s="523"/>
      <c r="W236" s="523"/>
      <c r="X236" s="523"/>
      <c r="Y236" s="523"/>
      <c r="Z236" s="523"/>
      <c r="AA236" s="523"/>
      <c r="AB236" s="523"/>
      <c r="AC236" s="523"/>
    </row>
    <row r="237" spans="1:29">
      <c r="A237" s="523"/>
      <c r="B237" s="523"/>
      <c r="C237" s="523"/>
      <c r="D237" s="523"/>
      <c r="E237" s="523"/>
      <c r="F237" s="523"/>
      <c r="G237" s="523"/>
      <c r="H237" s="523"/>
      <c r="I237" s="523"/>
      <c r="J237" s="523"/>
      <c r="K237" s="538"/>
      <c r="L237" s="539"/>
      <c r="M237" s="523"/>
      <c r="N237" s="523"/>
      <c r="O237" s="523"/>
      <c r="P237" s="523"/>
      <c r="Q237" s="523"/>
      <c r="R237" s="523"/>
      <c r="S237" s="523"/>
      <c r="T237" s="523"/>
      <c r="U237" s="523"/>
      <c r="V237" s="523"/>
      <c r="W237" s="523"/>
      <c r="X237" s="523"/>
      <c r="Y237" s="523"/>
      <c r="Z237" s="523"/>
      <c r="AA237" s="523"/>
      <c r="AB237" s="523"/>
      <c r="AC237" s="523"/>
    </row>
    <row r="238" spans="1:29">
      <c r="A238" s="523"/>
      <c r="B238" s="523"/>
      <c r="C238" s="523"/>
      <c r="D238" s="523"/>
      <c r="E238" s="523"/>
      <c r="F238" s="523"/>
      <c r="G238" s="523"/>
      <c r="H238" s="523"/>
      <c r="I238" s="523"/>
      <c r="J238" s="523"/>
      <c r="K238" s="538"/>
      <c r="L238" s="539"/>
      <c r="M238" s="523"/>
      <c r="N238" s="523"/>
      <c r="O238" s="523"/>
      <c r="P238" s="523"/>
      <c r="Q238" s="523"/>
      <c r="R238" s="523"/>
      <c r="S238" s="523"/>
      <c r="T238" s="523"/>
      <c r="U238" s="523"/>
      <c r="V238" s="523"/>
      <c r="W238" s="523"/>
      <c r="X238" s="523"/>
      <c r="Y238" s="523"/>
      <c r="Z238" s="523"/>
      <c r="AA238" s="523"/>
      <c r="AB238" s="523"/>
      <c r="AC238" s="523"/>
    </row>
    <row r="239" spans="1:29">
      <c r="A239" s="523"/>
      <c r="B239" s="523"/>
      <c r="C239" s="523"/>
      <c r="D239" s="523"/>
      <c r="E239" s="523"/>
      <c r="F239" s="523"/>
      <c r="G239" s="523"/>
      <c r="H239" s="523"/>
      <c r="I239" s="523"/>
      <c r="J239" s="523"/>
      <c r="K239" s="538"/>
      <c r="L239" s="539"/>
      <c r="M239" s="523"/>
      <c r="N239" s="523"/>
      <c r="O239" s="523"/>
      <c r="P239" s="523"/>
      <c r="Q239" s="523"/>
      <c r="R239" s="523"/>
      <c r="S239" s="523"/>
      <c r="T239" s="523"/>
      <c r="U239" s="523"/>
      <c r="V239" s="523"/>
      <c r="W239" s="523"/>
      <c r="X239" s="523"/>
      <c r="Y239" s="523"/>
      <c r="Z239" s="523"/>
      <c r="AA239" s="523"/>
      <c r="AB239" s="523"/>
      <c r="AC239" s="523"/>
    </row>
    <row r="240" spans="1:29">
      <c r="A240" s="523"/>
      <c r="B240" s="523"/>
      <c r="C240" s="523"/>
      <c r="D240" s="523"/>
      <c r="E240" s="523"/>
      <c r="F240" s="523"/>
      <c r="G240" s="523"/>
      <c r="H240" s="523"/>
      <c r="I240" s="523"/>
      <c r="J240" s="523"/>
      <c r="K240" s="538"/>
      <c r="L240" s="539"/>
      <c r="M240" s="523"/>
      <c r="N240" s="523"/>
      <c r="O240" s="523"/>
      <c r="P240" s="523"/>
      <c r="Q240" s="523"/>
      <c r="R240" s="523"/>
      <c r="S240" s="523"/>
      <c r="T240" s="523"/>
      <c r="U240" s="523"/>
      <c r="V240" s="523"/>
      <c r="W240" s="523"/>
      <c r="X240" s="523"/>
      <c r="Y240" s="523"/>
      <c r="Z240" s="523"/>
      <c r="AA240" s="523"/>
      <c r="AB240" s="523"/>
      <c r="AC240" s="523"/>
    </row>
    <row r="241" spans="1:29">
      <c r="A241" s="523"/>
      <c r="B241" s="523"/>
      <c r="C241" s="523"/>
      <c r="D241" s="523"/>
      <c r="E241" s="523"/>
      <c r="F241" s="523"/>
      <c r="G241" s="523"/>
      <c r="H241" s="523"/>
      <c r="I241" s="523"/>
      <c r="J241" s="523"/>
      <c r="K241" s="538"/>
      <c r="L241" s="539"/>
      <c r="M241" s="523"/>
      <c r="N241" s="523"/>
      <c r="O241" s="523"/>
      <c r="P241" s="523"/>
      <c r="Q241" s="523"/>
      <c r="R241" s="523"/>
      <c r="S241" s="523"/>
      <c r="T241" s="523"/>
      <c r="U241" s="523"/>
      <c r="V241" s="523"/>
      <c r="W241" s="523"/>
      <c r="X241" s="523"/>
      <c r="Y241" s="523"/>
      <c r="Z241" s="523"/>
      <c r="AA241" s="523"/>
      <c r="AB241" s="523"/>
      <c r="AC241" s="523"/>
    </row>
    <row r="242" spans="1:29">
      <c r="A242" s="523"/>
      <c r="B242" s="523"/>
      <c r="C242" s="523"/>
      <c r="D242" s="523"/>
      <c r="E242" s="523"/>
      <c r="F242" s="523"/>
      <c r="G242" s="523"/>
      <c r="H242" s="523"/>
      <c r="I242" s="523"/>
      <c r="J242" s="523"/>
      <c r="K242" s="538"/>
      <c r="L242" s="539"/>
      <c r="M242" s="523"/>
      <c r="N242" s="523"/>
      <c r="O242" s="523"/>
      <c r="P242" s="523"/>
      <c r="Q242" s="523"/>
      <c r="R242" s="523"/>
      <c r="S242" s="523"/>
      <c r="T242" s="523"/>
      <c r="U242" s="523"/>
      <c r="V242" s="523"/>
      <c r="W242" s="523"/>
      <c r="X242" s="523"/>
      <c r="Y242" s="523"/>
      <c r="Z242" s="523"/>
      <c r="AA242" s="523"/>
      <c r="AB242" s="523"/>
      <c r="AC242" s="523"/>
    </row>
    <row r="243" spans="1:29">
      <c r="A243" s="523"/>
      <c r="B243" s="523"/>
      <c r="C243" s="523"/>
      <c r="D243" s="523"/>
      <c r="E243" s="523"/>
      <c r="F243" s="523"/>
      <c r="G243" s="523"/>
      <c r="H243" s="523"/>
      <c r="I243" s="523"/>
      <c r="J243" s="523"/>
      <c r="K243" s="538"/>
      <c r="L243" s="539"/>
      <c r="M243" s="523"/>
      <c r="N243" s="523"/>
      <c r="O243" s="523"/>
      <c r="P243" s="523"/>
      <c r="Q243" s="523"/>
      <c r="R243" s="523"/>
      <c r="S243" s="523"/>
      <c r="T243" s="523"/>
      <c r="U243" s="523"/>
      <c r="V243" s="523"/>
      <c r="W243" s="523"/>
      <c r="X243" s="523"/>
      <c r="Y243" s="523"/>
      <c r="Z243" s="523"/>
      <c r="AA243" s="523"/>
      <c r="AB243" s="523"/>
      <c r="AC243" s="523"/>
    </row>
    <row r="244" spans="1:29">
      <c r="A244" s="523"/>
      <c r="B244" s="523"/>
      <c r="C244" s="523"/>
      <c r="D244" s="523"/>
      <c r="E244" s="523"/>
      <c r="F244" s="523"/>
      <c r="G244" s="523"/>
      <c r="H244" s="523"/>
      <c r="I244" s="523"/>
      <c r="J244" s="523"/>
      <c r="K244" s="538"/>
      <c r="L244" s="539"/>
      <c r="M244" s="523"/>
      <c r="N244" s="523"/>
      <c r="O244" s="523"/>
      <c r="P244" s="523"/>
      <c r="Q244" s="523"/>
      <c r="R244" s="523"/>
      <c r="S244" s="523"/>
      <c r="T244" s="523"/>
      <c r="U244" s="523"/>
      <c r="V244" s="523"/>
      <c r="W244" s="523"/>
      <c r="X244" s="523"/>
      <c r="Y244" s="523"/>
      <c r="Z244" s="523"/>
      <c r="AA244" s="523"/>
      <c r="AB244" s="523"/>
      <c r="AC244" s="523"/>
    </row>
    <row r="245" spans="1:29">
      <c r="A245" s="523"/>
      <c r="B245" s="523"/>
      <c r="C245" s="523"/>
      <c r="D245" s="523"/>
      <c r="E245" s="523"/>
      <c r="F245" s="523"/>
      <c r="G245" s="523"/>
      <c r="H245" s="523"/>
      <c r="I245" s="523"/>
      <c r="J245" s="523"/>
      <c r="K245" s="538"/>
      <c r="L245" s="539"/>
      <c r="M245" s="523"/>
      <c r="N245" s="523"/>
      <c r="O245" s="523"/>
      <c r="P245" s="523"/>
      <c r="Q245" s="523"/>
      <c r="R245" s="523"/>
      <c r="S245" s="523"/>
      <c r="T245" s="523"/>
      <c r="U245" s="523"/>
      <c r="V245" s="523"/>
      <c r="W245" s="523"/>
      <c r="X245" s="523"/>
      <c r="Y245" s="523"/>
      <c r="Z245" s="523"/>
      <c r="AA245" s="523"/>
      <c r="AB245" s="523"/>
      <c r="AC245" s="523"/>
    </row>
    <row r="246" spans="1:29">
      <c r="A246" s="523"/>
      <c r="B246" s="523"/>
      <c r="C246" s="523"/>
      <c r="D246" s="523"/>
      <c r="E246" s="523"/>
      <c r="F246" s="523"/>
      <c r="G246" s="523"/>
      <c r="H246" s="523"/>
      <c r="I246" s="523"/>
      <c r="J246" s="523"/>
      <c r="K246" s="538"/>
      <c r="L246" s="539"/>
      <c r="M246" s="523"/>
      <c r="N246" s="523"/>
      <c r="O246" s="523"/>
      <c r="P246" s="523"/>
      <c r="Q246" s="523"/>
      <c r="R246" s="523"/>
      <c r="S246" s="523"/>
      <c r="T246" s="523"/>
      <c r="U246" s="523"/>
      <c r="V246" s="523"/>
      <c r="W246" s="523"/>
      <c r="X246" s="523"/>
      <c r="Y246" s="523"/>
      <c r="Z246" s="523"/>
      <c r="AA246" s="523"/>
      <c r="AB246" s="523"/>
      <c r="AC246" s="523"/>
    </row>
    <row r="247" spans="1:29">
      <c r="A247" s="523"/>
      <c r="B247" s="523"/>
      <c r="C247" s="523"/>
      <c r="D247" s="523"/>
      <c r="E247" s="523"/>
      <c r="F247" s="523"/>
      <c r="G247" s="523"/>
      <c r="H247" s="523"/>
      <c r="I247" s="523"/>
      <c r="J247" s="523"/>
      <c r="K247" s="538"/>
      <c r="L247" s="539"/>
      <c r="M247" s="523"/>
      <c r="N247" s="523"/>
      <c r="O247" s="523"/>
      <c r="P247" s="523"/>
      <c r="Q247" s="523"/>
      <c r="R247" s="523"/>
      <c r="S247" s="523"/>
      <c r="T247" s="523"/>
      <c r="U247" s="523"/>
      <c r="V247" s="523"/>
      <c r="W247" s="523"/>
      <c r="X247" s="523"/>
      <c r="Y247" s="523"/>
      <c r="Z247" s="523"/>
      <c r="AA247" s="523"/>
      <c r="AB247" s="523"/>
      <c r="AC247" s="523"/>
    </row>
    <row r="248" spans="1:29">
      <c r="A248" s="523"/>
      <c r="B248" s="523"/>
      <c r="C248" s="523"/>
      <c r="D248" s="523"/>
      <c r="E248" s="523"/>
      <c r="F248" s="523"/>
      <c r="G248" s="523"/>
      <c r="H248" s="523"/>
      <c r="I248" s="523"/>
      <c r="J248" s="523"/>
      <c r="K248" s="538"/>
      <c r="L248" s="539"/>
      <c r="M248" s="523"/>
      <c r="N248" s="523"/>
      <c r="O248" s="523"/>
      <c r="P248" s="523"/>
      <c r="Q248" s="523"/>
      <c r="R248" s="523"/>
      <c r="S248" s="523"/>
      <c r="T248" s="523"/>
      <c r="U248" s="523"/>
      <c r="V248" s="523"/>
      <c r="W248" s="523"/>
      <c r="X248" s="523"/>
      <c r="Y248" s="523"/>
      <c r="Z248" s="523"/>
      <c r="AA248" s="523"/>
      <c r="AB248" s="523"/>
      <c r="AC248" s="523"/>
    </row>
    <row r="249" spans="1:29">
      <c r="A249" s="523"/>
      <c r="B249" s="523"/>
      <c r="C249" s="523"/>
      <c r="D249" s="523"/>
      <c r="E249" s="523"/>
      <c r="F249" s="523"/>
      <c r="G249" s="523"/>
      <c r="H249" s="523"/>
      <c r="I249" s="523"/>
      <c r="J249" s="523"/>
      <c r="K249" s="538"/>
      <c r="L249" s="539"/>
      <c r="M249" s="523"/>
      <c r="N249" s="523"/>
      <c r="O249" s="523"/>
      <c r="P249" s="523"/>
      <c r="Q249" s="523"/>
      <c r="R249" s="523"/>
      <c r="S249" s="523"/>
      <c r="T249" s="523"/>
      <c r="U249" s="523"/>
      <c r="V249" s="523"/>
      <c r="W249" s="523"/>
      <c r="X249" s="523"/>
      <c r="Y249" s="523"/>
      <c r="Z249" s="523"/>
      <c r="AA249" s="523"/>
      <c r="AB249" s="523"/>
      <c r="AC249" s="523"/>
    </row>
    <row r="250" spans="1:29">
      <c r="A250" s="523"/>
      <c r="B250" s="523"/>
      <c r="C250" s="523"/>
      <c r="D250" s="523"/>
      <c r="E250" s="523"/>
      <c r="F250" s="523"/>
      <c r="G250" s="523"/>
      <c r="H250" s="523"/>
      <c r="I250" s="523"/>
      <c r="J250" s="523"/>
      <c r="K250" s="538"/>
      <c r="L250" s="539"/>
      <c r="M250" s="523"/>
      <c r="N250" s="523"/>
      <c r="O250" s="523"/>
      <c r="P250" s="523"/>
      <c r="Q250" s="523"/>
      <c r="R250" s="523"/>
      <c r="S250" s="523"/>
      <c r="T250" s="523"/>
      <c r="U250" s="523"/>
      <c r="V250" s="523"/>
      <c r="W250" s="523"/>
      <c r="X250" s="523"/>
      <c r="Y250" s="523"/>
      <c r="Z250" s="523"/>
      <c r="AA250" s="523"/>
      <c r="AB250" s="523"/>
      <c r="AC250" s="523"/>
    </row>
    <row r="251" spans="1:29">
      <c r="A251" s="523"/>
      <c r="B251" s="523"/>
      <c r="C251" s="523"/>
      <c r="D251" s="523"/>
      <c r="E251" s="523"/>
      <c r="F251" s="523"/>
      <c r="G251" s="523"/>
      <c r="H251" s="523"/>
      <c r="I251" s="523"/>
      <c r="J251" s="523"/>
      <c r="K251" s="538"/>
      <c r="L251" s="539"/>
      <c r="M251" s="523"/>
      <c r="N251" s="523"/>
      <c r="O251" s="523"/>
      <c r="P251" s="523"/>
      <c r="Q251" s="523"/>
      <c r="R251" s="523"/>
      <c r="S251" s="523"/>
      <c r="T251" s="523"/>
      <c r="U251" s="523"/>
      <c r="V251" s="523"/>
      <c r="W251" s="523"/>
      <c r="X251" s="523"/>
      <c r="Y251" s="523"/>
      <c r="Z251" s="523"/>
      <c r="AA251" s="523"/>
      <c r="AB251" s="523"/>
      <c r="AC251" s="523"/>
    </row>
    <row r="252" spans="1:29">
      <c r="A252" s="523"/>
      <c r="B252" s="523"/>
      <c r="C252" s="523"/>
      <c r="D252" s="523"/>
      <c r="E252" s="523"/>
      <c r="F252" s="523"/>
      <c r="G252" s="523"/>
      <c r="H252" s="523"/>
      <c r="I252" s="523"/>
      <c r="J252" s="523"/>
      <c r="K252" s="538"/>
      <c r="L252" s="539"/>
      <c r="M252" s="523"/>
      <c r="N252" s="523"/>
      <c r="O252" s="523"/>
      <c r="P252" s="523"/>
      <c r="Q252" s="523"/>
      <c r="R252" s="523"/>
      <c r="S252" s="523"/>
      <c r="T252" s="523"/>
      <c r="U252" s="523"/>
      <c r="V252" s="523"/>
      <c r="W252" s="523"/>
      <c r="X252" s="523"/>
      <c r="Y252" s="523"/>
      <c r="Z252" s="523"/>
      <c r="AA252" s="523"/>
      <c r="AB252" s="523"/>
      <c r="AC252" s="523"/>
    </row>
    <row r="253" spans="1:29">
      <c r="A253" s="523"/>
      <c r="B253" s="523"/>
      <c r="C253" s="523"/>
      <c r="D253" s="523"/>
      <c r="E253" s="523"/>
      <c r="F253" s="523"/>
      <c r="G253" s="523"/>
      <c r="H253" s="523"/>
      <c r="I253" s="523"/>
      <c r="J253" s="523"/>
      <c r="K253" s="538"/>
      <c r="L253" s="539"/>
      <c r="M253" s="523"/>
      <c r="N253" s="523"/>
      <c r="O253" s="523"/>
      <c r="P253" s="523"/>
      <c r="Q253" s="523"/>
      <c r="R253" s="523"/>
      <c r="S253" s="523"/>
      <c r="T253" s="523"/>
      <c r="U253" s="523"/>
      <c r="V253" s="523"/>
      <c r="W253" s="523"/>
      <c r="X253" s="523"/>
      <c r="Y253" s="523"/>
      <c r="Z253" s="523"/>
      <c r="AA253" s="523"/>
      <c r="AB253" s="523"/>
      <c r="AC253" s="523"/>
    </row>
    <row r="254" spans="1:29">
      <c r="A254" s="523"/>
      <c r="B254" s="523"/>
      <c r="C254" s="523"/>
      <c r="D254" s="523"/>
      <c r="E254" s="523"/>
      <c r="F254" s="523"/>
      <c r="G254" s="523"/>
      <c r="H254" s="523"/>
      <c r="I254" s="523"/>
      <c r="J254" s="523"/>
      <c r="K254" s="538"/>
      <c r="L254" s="539"/>
      <c r="M254" s="523"/>
      <c r="N254" s="523"/>
      <c r="O254" s="523"/>
      <c r="P254" s="523"/>
      <c r="Q254" s="523"/>
      <c r="R254" s="523"/>
      <c r="S254" s="523"/>
      <c r="T254" s="523"/>
      <c r="U254" s="523"/>
      <c r="V254" s="523"/>
      <c r="W254" s="523"/>
      <c r="X254" s="523"/>
      <c r="Y254" s="523"/>
      <c r="Z254" s="523"/>
      <c r="AA254" s="523"/>
      <c r="AB254" s="523"/>
      <c r="AC254" s="523"/>
    </row>
    <row r="255" spans="1:29">
      <c r="A255" s="523"/>
      <c r="B255" s="523"/>
      <c r="C255" s="523"/>
      <c r="D255" s="523"/>
      <c r="E255" s="523"/>
      <c r="F255" s="523"/>
      <c r="G255" s="523"/>
      <c r="H255" s="523"/>
      <c r="I255" s="523"/>
      <c r="J255" s="523"/>
      <c r="K255" s="538"/>
      <c r="L255" s="539"/>
      <c r="M255" s="523"/>
      <c r="N255" s="523"/>
      <c r="O255" s="523"/>
      <c r="P255" s="523"/>
      <c r="Q255" s="523"/>
      <c r="R255" s="523"/>
      <c r="S255" s="523"/>
      <c r="T255" s="523"/>
      <c r="U255" s="523"/>
      <c r="V255" s="523"/>
      <c r="W255" s="523"/>
      <c r="X255" s="523"/>
      <c r="Y255" s="523"/>
      <c r="Z255" s="523"/>
      <c r="AA255" s="523"/>
      <c r="AB255" s="523"/>
      <c r="AC255" s="523"/>
    </row>
    <row r="256" spans="1:29">
      <c r="A256" s="523"/>
      <c r="B256" s="523"/>
      <c r="C256" s="523"/>
      <c r="D256" s="523"/>
      <c r="E256" s="523"/>
      <c r="F256" s="523"/>
      <c r="G256" s="523"/>
      <c r="H256" s="523"/>
      <c r="I256" s="523"/>
      <c r="J256" s="523"/>
      <c r="K256" s="538"/>
      <c r="L256" s="539"/>
      <c r="M256" s="523"/>
      <c r="N256" s="523"/>
      <c r="O256" s="523"/>
      <c r="P256" s="523"/>
      <c r="Q256" s="523"/>
      <c r="R256" s="523"/>
      <c r="S256" s="523"/>
      <c r="T256" s="523"/>
      <c r="U256" s="523"/>
      <c r="V256" s="523"/>
      <c r="W256" s="523"/>
      <c r="X256" s="523"/>
      <c r="Y256" s="523"/>
      <c r="Z256" s="523"/>
      <c r="AA256" s="523"/>
      <c r="AB256" s="523"/>
      <c r="AC256" s="523"/>
    </row>
    <row r="257" spans="1:29">
      <c r="A257" s="523"/>
      <c r="B257" s="523"/>
      <c r="C257" s="523"/>
      <c r="D257" s="523"/>
      <c r="E257" s="523"/>
      <c r="F257" s="523"/>
      <c r="G257" s="523"/>
      <c r="H257" s="523"/>
      <c r="I257" s="523"/>
      <c r="J257" s="523"/>
      <c r="K257" s="538"/>
      <c r="L257" s="539"/>
      <c r="M257" s="523"/>
      <c r="N257" s="523"/>
      <c r="O257" s="523"/>
      <c r="P257" s="523"/>
      <c r="Q257" s="523"/>
      <c r="R257" s="523"/>
      <c r="S257" s="523"/>
      <c r="T257" s="523"/>
      <c r="U257" s="523"/>
      <c r="V257" s="523"/>
      <c r="W257" s="523"/>
      <c r="X257" s="523"/>
      <c r="Y257" s="523"/>
      <c r="Z257" s="523"/>
      <c r="AA257" s="523"/>
      <c r="AB257" s="523"/>
      <c r="AC257" s="523"/>
    </row>
    <row r="258" spans="1:29">
      <c r="A258" s="523"/>
      <c r="B258" s="523"/>
      <c r="C258" s="523"/>
      <c r="D258" s="523"/>
      <c r="E258" s="523"/>
      <c r="F258" s="523"/>
      <c r="G258" s="523"/>
      <c r="H258" s="523"/>
      <c r="I258" s="523"/>
      <c r="J258" s="523"/>
      <c r="K258" s="538"/>
      <c r="L258" s="539"/>
      <c r="M258" s="523"/>
      <c r="N258" s="523"/>
      <c r="O258" s="523"/>
      <c r="P258" s="523"/>
      <c r="Q258" s="523"/>
      <c r="R258" s="523"/>
      <c r="S258" s="523"/>
      <c r="T258" s="523"/>
      <c r="U258" s="523"/>
      <c r="V258" s="523"/>
      <c r="W258" s="523"/>
      <c r="X258" s="523"/>
      <c r="Y258" s="523"/>
      <c r="Z258" s="523"/>
      <c r="AA258" s="523"/>
      <c r="AB258" s="523"/>
      <c r="AC258" s="523"/>
    </row>
    <row r="259" spans="1:29">
      <c r="A259" s="523"/>
      <c r="B259" s="523"/>
      <c r="C259" s="523"/>
      <c r="D259" s="523"/>
      <c r="E259" s="523"/>
      <c r="F259" s="523"/>
      <c r="G259" s="523"/>
      <c r="H259" s="523"/>
      <c r="I259" s="523"/>
      <c r="J259" s="523"/>
      <c r="K259" s="538"/>
      <c r="L259" s="539"/>
      <c r="M259" s="523"/>
      <c r="N259" s="523"/>
      <c r="O259" s="523"/>
      <c r="P259" s="523"/>
      <c r="Q259" s="523"/>
      <c r="R259" s="523"/>
      <c r="S259" s="523"/>
      <c r="T259" s="523"/>
      <c r="U259" s="523"/>
      <c r="V259" s="523"/>
      <c r="W259" s="523"/>
      <c r="X259" s="523"/>
      <c r="Y259" s="523"/>
      <c r="Z259" s="523"/>
      <c r="AA259" s="523"/>
      <c r="AB259" s="523"/>
      <c r="AC259" s="523"/>
    </row>
    <row r="260" spans="1:29">
      <c r="A260" s="523"/>
      <c r="B260" s="523"/>
      <c r="C260" s="523"/>
      <c r="D260" s="523"/>
      <c r="E260" s="523"/>
      <c r="F260" s="523"/>
      <c r="G260" s="523"/>
      <c r="H260" s="523"/>
      <c r="I260" s="523"/>
      <c r="J260" s="523"/>
      <c r="K260" s="538"/>
      <c r="L260" s="539"/>
      <c r="M260" s="523"/>
      <c r="N260" s="523"/>
      <c r="O260" s="523"/>
      <c r="P260" s="523"/>
      <c r="Q260" s="523"/>
      <c r="R260" s="523"/>
      <c r="S260" s="523"/>
      <c r="T260" s="523"/>
      <c r="U260" s="523"/>
      <c r="V260" s="523"/>
      <c r="W260" s="523"/>
      <c r="X260" s="523"/>
      <c r="Y260" s="523"/>
      <c r="Z260" s="523"/>
      <c r="AA260" s="523"/>
      <c r="AB260" s="523"/>
      <c r="AC260" s="523"/>
    </row>
    <row r="261" spans="1:29">
      <c r="A261" s="523"/>
      <c r="B261" s="523"/>
      <c r="C261" s="523"/>
      <c r="D261" s="523"/>
      <c r="E261" s="523"/>
      <c r="F261" s="523"/>
      <c r="G261" s="523"/>
      <c r="H261" s="523"/>
      <c r="I261" s="523"/>
      <c r="J261" s="523"/>
      <c r="K261" s="538"/>
      <c r="L261" s="539"/>
      <c r="M261" s="523"/>
      <c r="N261" s="523"/>
      <c r="O261" s="523"/>
      <c r="P261" s="523"/>
      <c r="Q261" s="523"/>
      <c r="R261" s="523"/>
      <c r="S261" s="523"/>
      <c r="T261" s="523"/>
      <c r="U261" s="523"/>
      <c r="V261" s="523"/>
      <c r="W261" s="523"/>
      <c r="X261" s="523"/>
      <c r="Y261" s="523"/>
      <c r="Z261" s="523"/>
      <c r="AA261" s="523"/>
      <c r="AB261" s="523"/>
      <c r="AC261" s="523"/>
    </row>
    <row r="262" spans="1:29">
      <c r="A262" s="523"/>
      <c r="B262" s="523"/>
      <c r="C262" s="523"/>
      <c r="D262" s="523"/>
      <c r="E262" s="523"/>
      <c r="F262" s="523"/>
      <c r="G262" s="523"/>
      <c r="H262" s="523"/>
      <c r="I262" s="523"/>
      <c r="J262" s="523"/>
      <c r="K262" s="538"/>
      <c r="L262" s="539"/>
      <c r="M262" s="523"/>
      <c r="N262" s="523"/>
      <c r="O262" s="523"/>
      <c r="P262" s="523"/>
      <c r="Q262" s="523"/>
      <c r="R262" s="523"/>
      <c r="S262" s="523"/>
      <c r="T262" s="523"/>
      <c r="U262" s="523"/>
      <c r="V262" s="523"/>
      <c r="W262" s="523"/>
      <c r="X262" s="523"/>
      <c r="Y262" s="523"/>
      <c r="Z262" s="523"/>
      <c r="AA262" s="523"/>
      <c r="AB262" s="523"/>
      <c r="AC262" s="523"/>
    </row>
  </sheetData>
  <sheetProtection password="CEE9" sheet="1" formatCells="0" formatColumns="0" formatRows="0" objects="1" scenarios="1"/>
  <mergeCells count="42">
    <mergeCell ref="C6:D6"/>
    <mergeCell ref="E6:F6"/>
    <mergeCell ref="G6:H6"/>
    <mergeCell ref="I6:J6"/>
    <mergeCell ref="C7:D7"/>
    <mergeCell ref="E7:F7"/>
    <mergeCell ref="G7:H7"/>
    <mergeCell ref="I7:J7"/>
    <mergeCell ref="C8:D8"/>
    <mergeCell ref="E8:F8"/>
    <mergeCell ref="G8:H8"/>
    <mergeCell ref="I8:J8"/>
    <mergeCell ref="P9:Q9"/>
    <mergeCell ref="Y9:Z9"/>
    <mergeCell ref="P10:Q10"/>
    <mergeCell ref="Y10:Z10"/>
    <mergeCell ref="P43:Q43"/>
    <mergeCell ref="R43:S43"/>
    <mergeCell ref="T43:U43"/>
    <mergeCell ref="V43:W43"/>
    <mergeCell ref="P44:Q44"/>
    <mergeCell ref="R44:S44"/>
    <mergeCell ref="T44:U44"/>
    <mergeCell ref="V44:W44"/>
    <mergeCell ref="P45:Q45"/>
    <mergeCell ref="R45:W45"/>
    <mergeCell ref="G54:G57"/>
    <mergeCell ref="P11:P16"/>
    <mergeCell ref="P17:P33"/>
    <mergeCell ref="P34:P42"/>
    <mergeCell ref="Y11:Y16"/>
    <mergeCell ref="Y17:Y33"/>
    <mergeCell ref="Y34:Y42"/>
    <mergeCell ref="AA6:AA8"/>
    <mergeCell ref="AB6:AB8"/>
    <mergeCell ref="AC6:AC8"/>
    <mergeCell ref="G52:H53"/>
    <mergeCell ref="P6:Q8"/>
    <mergeCell ref="R6:S8"/>
    <mergeCell ref="T6:U8"/>
    <mergeCell ref="V6:W8"/>
    <mergeCell ref="Y6:Z8"/>
  </mergeCells>
  <conditionalFormatting sqref="F44">
    <cfRule type="expression" dxfId="7" priority="4">
      <formula>$D$44="简单平均"</formula>
    </cfRule>
  </conditionalFormatting>
  <conditionalFormatting sqref="H44">
    <cfRule type="expression" dxfId="7" priority="3">
      <formula>$D$44="简单平均"</formula>
    </cfRule>
  </conditionalFormatting>
  <conditionalFormatting sqref="J44">
    <cfRule type="expression" dxfId="7" priority="2">
      <formula>$D$44="简单平均"</formula>
    </cfRule>
  </conditionalFormatting>
  <conditionalFormatting sqref="E48">
    <cfRule type="expression" dxfId="11" priority="13" stopIfTrue="1">
      <formula>$F$48="超过30%"</formula>
    </cfRule>
  </conditionalFormatting>
  <conditionalFormatting sqref="G48">
    <cfRule type="expression" dxfId="11" priority="9" stopIfTrue="1">
      <formula>$H$48="超过30%"</formula>
    </cfRule>
  </conditionalFormatting>
  <conditionalFormatting sqref="I48">
    <cfRule type="expression" dxfId="11" priority="7" stopIfTrue="1">
      <formula>$J$48="超过30%"</formula>
    </cfRule>
  </conditionalFormatting>
  <conditionalFormatting sqref="E49">
    <cfRule type="expression" dxfId="11" priority="51" stopIfTrue="1">
      <formula>#REF!+$F$49="超过20%"</formula>
    </cfRule>
  </conditionalFormatting>
  <conditionalFormatting sqref="G49">
    <cfRule type="expression" dxfId="11" priority="8" stopIfTrue="1">
      <formula>$H$49="超过20%"</formula>
    </cfRule>
  </conditionalFormatting>
  <conditionalFormatting sqref="I49">
    <cfRule type="expression" dxfId="11" priority="6" stopIfTrue="1">
      <formula>$J$49="超过20%"</formula>
    </cfRule>
  </conditionalFormatting>
  <conditionalFormatting sqref="E50">
    <cfRule type="expression" dxfId="11" priority="10" stopIfTrue="1">
      <formula>$F$50="超过30%"</formula>
    </cfRule>
  </conditionalFormatting>
  <conditionalFormatting sqref="F50">
    <cfRule type="containsText" dxfId="12" priority="15" stopIfTrue="1" operator="between" text="超过">
      <formula>NOT(ISERROR(SEARCH("超过",F50)))</formula>
    </cfRule>
  </conditionalFormatting>
  <conditionalFormatting sqref="G50">
    <cfRule type="expression" dxfId="11" priority="12" stopIfTrue="1">
      <formula>$H$50="超过30%"</formula>
    </cfRule>
  </conditionalFormatting>
  <conditionalFormatting sqref="H50">
    <cfRule type="containsText" dxfId="12" priority="16" stopIfTrue="1" operator="between" text="超过">
      <formula>NOT(ISERROR(SEARCH("超过",H50)))</formula>
    </cfRule>
  </conditionalFormatting>
  <conditionalFormatting sqref="I50">
    <cfRule type="expression" dxfId="11" priority="5" stopIfTrue="1">
      <formula>$J$50="超过30%"</formula>
    </cfRule>
  </conditionalFormatting>
  <conditionalFormatting sqref="J50">
    <cfRule type="containsText" dxfId="12" priority="17" stopIfTrue="1" operator="between" text="超过">
      <formula>NOT(ISERROR(SEARCH("超过",J50)))</formula>
    </cfRule>
  </conditionalFormatting>
  <conditionalFormatting sqref="F9:F42 H9:H42 J9:J42">
    <cfRule type="cellIs" dxfId="8" priority="1" operator="notEqual">
      <formula>100</formula>
    </cfRule>
  </conditionalFormatting>
  <conditionalFormatting sqref="F48 H48 J48">
    <cfRule type="containsText" dxfId="12" priority="18" stopIfTrue="1" operator="between" text="超过">
      <formula>NOT(ISERROR(SEARCH("超过",F48)))</formula>
    </cfRule>
  </conditionalFormatting>
  <conditionalFormatting sqref="F49 H49 J49">
    <cfRule type="containsText" dxfId="12" priority="14" stopIfTrue="1" operator="between" text="超过">
      <formula>NOT(ISERROR(SEARCH("超过",F49)))</formula>
    </cfRule>
  </conditionalFormatting>
  <dataValidations count="20">
    <dataValidation type="list" allowBlank="1" showInputMessage="1" showErrorMessage="1" sqref="C10 E10 G10 I10">
      <formula1>套工交易情况</formula1>
    </dataValidation>
    <dataValidation type="list" allowBlank="1" showInputMessage="1" showErrorMessage="1" sqref="C24 E24 G24 I24">
      <formula1>环境</formula1>
    </dataValidation>
    <dataValidation type="list" allowBlank="1" showInputMessage="1" showErrorMessage="1" sqref="C22 E22 G22 I22">
      <formula1>区域土地利用方向</formula1>
    </dataValidation>
    <dataValidation type="list" allowBlank="1" showInputMessage="1" showErrorMessage="1" sqref="C11 E11 G11 I11">
      <formula1>套工用途</formula1>
    </dataValidation>
    <dataValidation type="list" allowBlank="1" showInputMessage="1" showErrorMessage="1" sqref="C18 E18 G18 I18">
      <formula1>产业集聚程度</formula1>
    </dataValidation>
    <dataValidation type="list" allowBlank="1" showInputMessage="1" showErrorMessage="1" sqref="C20 E20 G20 I20">
      <formula1>交通便捷度</formula1>
    </dataValidation>
    <dataValidation type="list" allowBlank="1" showInputMessage="1" showErrorMessage="1" sqref="C26 E26 G26 I26">
      <formula1>公共配套设施</formula1>
    </dataValidation>
    <dataValidation type="list" allowBlank="1" showInputMessage="1" showErrorMessage="1" sqref="D44">
      <formula1>"简单平均,加权平均"</formula1>
    </dataValidation>
    <dataValidation type="list" allowBlank="1" showInputMessage="1" showErrorMessage="1" sqref="C28 E28 G28 I28">
      <formula1>基础设施水平</formula1>
    </dataValidation>
    <dataValidation type="list" allowBlank="1" showInputMessage="1" showErrorMessage="1" sqref="C29 E29 G29 I29">
      <formula1>临街状况</formula1>
    </dataValidation>
    <dataValidation type="list" allowBlank="1" showInputMessage="1" showErrorMessage="1" sqref="C31 E31 G31 I31">
      <formula1>套工临街等级</formula1>
    </dataValidation>
    <dataValidation type="list" allowBlank="1" showInputMessage="1" showErrorMessage="1" sqref="E32 G32 I32">
      <formula1>套工土地级别</formula1>
    </dataValidation>
    <dataValidation type="list" allowBlank="1" showInputMessage="1" showErrorMessage="1" sqref="C37 E37 G37 I37">
      <formula1>套工宗地形状</formula1>
    </dataValidation>
    <dataValidation type="list" allowBlank="1" showInputMessage="1" showErrorMessage="1" sqref="C38 E38 G38 I38">
      <formula1>套工开发程度</formula1>
    </dataValidation>
    <dataValidation type="list" allowBlank="1" showInputMessage="1" showErrorMessage="1" sqref="C39 E39 G39 I39">
      <formula1>套工工程地质条件</formula1>
    </dataValidation>
    <dataValidation type="list" allowBlank="1" showInputMessage="1" showErrorMessage="1" sqref="B43">
      <formula1>单价内涵</formula1>
    </dataValidation>
    <dataValidation type="list" allowBlank="1" showInputMessage="1" showErrorMessage="1" sqref="C52">
      <formula1>"北京市系数,其他省市系数"</formula1>
    </dataValidation>
    <dataValidation type="list" allowBlank="1" showInputMessage="1" showErrorMessage="1" sqref="G59">
      <formula1>"商业,办公,住宅,工业"</formula1>
    </dataValidation>
    <dataValidation type="list" allowBlank="1" showInputMessage="1" showErrorMessage="1" sqref="G60">
      <formula1>"住宅,工业"</formula1>
    </dataValidation>
    <dataValidation type="list" allowBlank="1" showInputMessage="1" showErrorMessage="1" sqref="D54:D62">
      <formula1>"25%,1"</formula1>
    </dataValidation>
  </dataValidations>
  <pageMargins left="0.708661417322835" right="0.708661417322835" top="1.06299212598425" bottom="0.94488188976378" header="0.31496062992126" footer="0.31496062992126"/>
  <pageSetup paperSize="9" scale="4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G76"/>
  <sheetViews>
    <sheetView view="pageBreakPreview" zoomScale="80" zoomScaleNormal="60" topLeftCell="A16" workbookViewId="0">
      <selection activeCell="C17" sqref="C17"/>
    </sheetView>
  </sheetViews>
  <sheetFormatPr defaultColWidth="9" defaultRowHeight="15"/>
  <cols>
    <col min="1" max="1" width="9" style="834" customWidth="1"/>
    <col min="2" max="2" width="20.625" style="833" customWidth="1"/>
    <col min="3" max="3" width="11.875" style="833" customWidth="1"/>
    <col min="4" max="4" width="40.5" style="834" customWidth="1"/>
    <col min="5" max="5" width="15.75" style="834" customWidth="1"/>
    <col min="6" max="6" width="10.625" style="834" customWidth="1"/>
    <col min="7" max="7" width="4.875" style="834" customWidth="1"/>
    <col min="8" max="8" width="8.5" style="834" customWidth="1"/>
    <col min="9" max="9" width="21.25" style="834" customWidth="1"/>
    <col min="10" max="10" width="12.25" style="834" customWidth="1"/>
    <col min="11" max="11" width="40.125" style="835" customWidth="1"/>
    <col min="12" max="12" width="18.375" style="834" customWidth="1"/>
    <col min="13" max="13" width="13" style="834" customWidth="1"/>
    <col min="14" max="14" width="9.5" style="716" customWidth="1"/>
    <col min="15" max="15" width="5.875" style="716" customWidth="1"/>
    <col min="16" max="16" width="27.625" style="716" customWidth="1"/>
    <col min="17" max="17" width="13.75" style="993" customWidth="1"/>
    <col min="18" max="18" width="23.5" style="716" customWidth="1"/>
    <col min="19" max="19" width="1.5" style="716" customWidth="1"/>
    <col min="20" max="33" width="9" style="716"/>
    <col min="34" max="16384" width="9" style="834"/>
  </cols>
  <sheetData>
    <row r="1" s="830" customFormat="1" ht="20.25" spans="1:33">
      <c r="A1" s="1790" t="s">
        <v>1367</v>
      </c>
      <c r="B1" s="837"/>
      <c r="C1" s="1791" t="s">
        <v>567</v>
      </c>
      <c r="D1" s="1792" t="s">
        <v>138</v>
      </c>
      <c r="E1" s="840" t="s">
        <v>605</v>
      </c>
      <c r="F1" s="841">
        <f ca="1">J53</f>
        <v>37.1</v>
      </c>
      <c r="G1" s="1793">
        <f>MATCH(C1,'数据-取费表'!A6:A16,0)+5</f>
        <v>6</v>
      </c>
      <c r="H1" s="839"/>
      <c r="I1" s="994"/>
      <c r="J1" s="994"/>
      <c r="K1" s="995"/>
      <c r="L1" s="994"/>
      <c r="M1" s="994"/>
      <c r="N1" s="996"/>
      <c r="O1" s="996"/>
      <c r="P1" s="996"/>
      <c r="Q1" s="1853"/>
      <c r="R1" s="996"/>
      <c r="S1" s="996"/>
      <c r="T1" s="996"/>
      <c r="U1" s="996"/>
      <c r="V1" s="996"/>
      <c r="W1" s="996"/>
      <c r="X1" s="996"/>
      <c r="Y1" s="996"/>
      <c r="Z1" s="996"/>
      <c r="AA1" s="996"/>
      <c r="AB1" s="996"/>
      <c r="AC1" s="996"/>
      <c r="AD1" s="996"/>
      <c r="AE1" s="996"/>
      <c r="AF1" s="996"/>
      <c r="AG1" s="996"/>
    </row>
    <row r="2" ht="18" customHeight="1" spans="1:13">
      <c r="A2" s="211" t="s">
        <v>1202</v>
      </c>
      <c r="B2" s="121">
        <f ca="1">C40+J29+L46</f>
        <v>46005</v>
      </c>
      <c r="C2" s="1794"/>
      <c r="D2" s="1795"/>
      <c r="E2" s="1796"/>
      <c r="F2" s="1796"/>
      <c r="G2" s="1797"/>
      <c r="H2" s="997"/>
      <c r="I2" s="997"/>
      <c r="J2" s="997"/>
      <c r="K2" s="998"/>
      <c r="L2" s="997"/>
      <c r="M2" s="997"/>
    </row>
    <row r="3" ht="18" customHeight="1" spans="1:13">
      <c r="A3" s="1798" t="s">
        <v>1368</v>
      </c>
      <c r="B3" s="1799">
        <f ca="1">IF(ISERROR(B2*10000/F43),0,ROUND(B2*10000/F43,0))</f>
        <v>18385</v>
      </c>
      <c r="C3" s="1794"/>
      <c r="D3" s="1795"/>
      <c r="E3" s="1796"/>
      <c r="F3" s="1796"/>
      <c r="G3" s="1797"/>
      <c r="H3" s="852" t="s">
        <v>1369</v>
      </c>
      <c r="I3" s="849"/>
      <c r="J3" s="849"/>
      <c r="K3" s="1833"/>
      <c r="L3" s="849"/>
      <c r="M3" s="849"/>
    </row>
    <row r="4" ht="18" customHeight="1" spans="1:13">
      <c r="A4" s="1800" t="s">
        <v>1370</v>
      </c>
      <c r="B4" s="1801" t="s">
        <v>1371</v>
      </c>
      <c r="C4" s="1801" t="s">
        <v>1372</v>
      </c>
      <c r="D4" s="1801" t="s">
        <v>1373</v>
      </c>
      <c r="E4" s="859" t="s">
        <v>1374</v>
      </c>
      <c r="F4" s="860"/>
      <c r="G4" s="938"/>
      <c r="H4" s="1800" t="s">
        <v>1370</v>
      </c>
      <c r="I4" s="1801" t="s">
        <v>1371</v>
      </c>
      <c r="J4" s="1801" t="s">
        <v>1372</v>
      </c>
      <c r="K4" s="1801" t="s">
        <v>1373</v>
      </c>
      <c r="L4" s="859" t="s">
        <v>1374</v>
      </c>
      <c r="M4" s="860"/>
    </row>
    <row r="5" ht="18" customHeight="1" spans="1:13">
      <c r="A5" s="862">
        <v>1</v>
      </c>
      <c r="B5" s="863" t="s">
        <v>1375</v>
      </c>
      <c r="C5" s="1802">
        <f ca="1">C6+C10+C12</f>
        <v>3301</v>
      </c>
      <c r="D5" s="864" t="s">
        <v>1376</v>
      </c>
      <c r="E5" s="865"/>
      <c r="F5" s="866"/>
      <c r="G5" s="938"/>
      <c r="H5" s="862">
        <v>1</v>
      </c>
      <c r="I5" s="863" t="s">
        <v>1375</v>
      </c>
      <c r="J5" s="1802">
        <f ca="1">J6+J10+J12</f>
        <v>0</v>
      </c>
      <c r="K5" s="864" t="s">
        <v>1376</v>
      </c>
      <c r="L5" s="865"/>
      <c r="M5" s="866"/>
    </row>
    <row r="6" ht="18" customHeight="1" spans="1:13">
      <c r="A6" s="867" t="s">
        <v>1145</v>
      </c>
      <c r="B6" s="868" t="s">
        <v>1377</v>
      </c>
      <c r="C6" s="999">
        <f ca="1">ROUND(F6*F8*F7*(1-F9)/10000,0)</f>
        <v>3297</v>
      </c>
      <c r="D6" s="1803" t="s">
        <v>1378</v>
      </c>
      <c r="E6" s="910" t="s">
        <v>1379</v>
      </c>
      <c r="F6" s="872">
        <f ca="1">INDIRECT("'数据-取费表'!u"&amp;$G$1)</f>
        <v>3.8</v>
      </c>
      <c r="G6" s="938"/>
      <c r="H6" s="873" t="s">
        <v>1145</v>
      </c>
      <c r="I6" s="868" t="s">
        <v>1377</v>
      </c>
      <c r="J6" s="999">
        <f ca="1">ROUND(M6*M8*M7*(1-M9)/10000,0)</f>
        <v>0</v>
      </c>
      <c r="K6" s="948" t="s">
        <v>1380</v>
      </c>
      <c r="L6" s="910" t="s">
        <v>1379</v>
      </c>
      <c r="M6" s="872">
        <f ca="1">INDIRECT("'数据-取费表'!z"&amp;$G$1)</f>
        <v>0</v>
      </c>
    </row>
    <row r="7" ht="18" customHeight="1" spans="1:13">
      <c r="A7" s="874"/>
      <c r="B7" s="875"/>
      <c r="C7" s="1000"/>
      <c r="D7" s="893"/>
      <c r="E7" s="910" t="s">
        <v>1381</v>
      </c>
      <c r="F7" s="872">
        <f ca="1">IF(INDIRECT("'数据-取费表'!ah"&amp;$G$1)="",INDIRECT("'数据-取费表'!k"&amp;$G$1),INDIRECT("'数据-取费表'!ah"&amp;$G$1))</f>
        <v>25022.71</v>
      </c>
      <c r="G7" s="938"/>
      <c r="H7" s="878"/>
      <c r="I7" s="875"/>
      <c r="J7" s="1000"/>
      <c r="K7" s="893"/>
      <c r="L7" s="910" t="s">
        <v>1381</v>
      </c>
      <c r="M7" s="872">
        <f ca="1">F7</f>
        <v>25022.71</v>
      </c>
    </row>
    <row r="8" ht="18" customHeight="1" spans="1:13">
      <c r="A8" s="879"/>
      <c r="B8" s="880"/>
      <c r="C8" s="1000"/>
      <c r="D8" s="893"/>
      <c r="E8" s="910" t="s">
        <v>1382</v>
      </c>
      <c r="F8" s="872">
        <f ca="1">INDIRECT("'数据-取费表'!ai"&amp;$G$1)</f>
        <v>365</v>
      </c>
      <c r="G8" s="938"/>
      <c r="H8" s="878"/>
      <c r="I8" s="880"/>
      <c r="J8" s="1000"/>
      <c r="K8" s="893"/>
      <c r="L8" s="910" t="s">
        <v>1382</v>
      </c>
      <c r="M8" s="872">
        <f ca="1">INDIRECT("'数据-取费表'!ai"&amp;$G$1)</f>
        <v>365</v>
      </c>
    </row>
    <row r="9" ht="18" customHeight="1" spans="1:13">
      <c r="A9" s="881"/>
      <c r="B9" s="882"/>
      <c r="C9" s="1000"/>
      <c r="D9" s="893"/>
      <c r="E9" s="910" t="s">
        <v>1383</v>
      </c>
      <c r="F9" s="883">
        <f ca="1">INDIRECT("'数据-取费表'!w"&amp;$G$1)</f>
        <v>0.05</v>
      </c>
      <c r="G9" s="938"/>
      <c r="H9" s="884"/>
      <c r="I9" s="880"/>
      <c r="J9" s="1000"/>
      <c r="K9" s="893"/>
      <c r="L9" s="907" t="s">
        <v>1383</v>
      </c>
      <c r="M9" s="894">
        <f ca="1">INDIRECT("'数据-取费表'!ab"&amp;$G$1)</f>
        <v>0</v>
      </c>
    </row>
    <row r="10" ht="18" customHeight="1" spans="1:13">
      <c r="A10" s="867" t="s">
        <v>1147</v>
      </c>
      <c r="B10" s="885" t="s">
        <v>1384</v>
      </c>
      <c r="C10" s="122">
        <f ca="1">ROUND(IF(F10="押一",C6/12*F11,IF(F10="押二",C6/12*2*F11,IF(F10="押三",C6/12*3*F11,C11*F11))),0)</f>
        <v>4</v>
      </c>
      <c r="D10" s="886" t="s">
        <v>1385</v>
      </c>
      <c r="E10" s="887" t="s">
        <v>1386</v>
      </c>
      <c r="F10" s="888" t="s">
        <v>1387</v>
      </c>
      <c r="G10" s="938"/>
      <c r="H10" s="889" t="s">
        <v>1147</v>
      </c>
      <c r="I10" s="1001" t="s">
        <v>1384</v>
      </c>
      <c r="J10" s="999">
        <f ca="1">ROUND(IF(M10="押一",J6/12*M11,IF(M10="押二",J6/12*2*M11,IF(M10="押三",J6/12*3*M11,J11*M11))),0)</f>
        <v>0</v>
      </c>
      <c r="K10" s="886" t="s">
        <v>1385</v>
      </c>
      <c r="L10" s="887" t="s">
        <v>1386</v>
      </c>
      <c r="M10" s="888"/>
    </row>
    <row r="11" ht="18" customHeight="1" spans="1:13">
      <c r="A11" s="890"/>
      <c r="B11" s="891" t="s">
        <v>1388</v>
      </c>
      <c r="C11" s="892"/>
      <c r="D11" s="893"/>
      <c r="E11" s="887" t="s">
        <v>653</v>
      </c>
      <c r="F11" s="894">
        <f ca="1">'数据-取费表'!B39</f>
        <v>0.015</v>
      </c>
      <c r="G11" s="938"/>
      <c r="H11" s="895"/>
      <c r="I11" s="891" t="s">
        <v>1388</v>
      </c>
      <c r="J11" s="892"/>
      <c r="K11" s="1002"/>
      <c r="L11" s="887" t="s">
        <v>653</v>
      </c>
      <c r="M11" s="1003">
        <f ca="1">'数据-取费表'!B39</f>
        <v>0.015</v>
      </c>
    </row>
    <row r="12" ht="18" customHeight="1" spans="1:13">
      <c r="A12" s="896" t="s">
        <v>1209</v>
      </c>
      <c r="B12" s="897" t="s">
        <v>1389</v>
      </c>
      <c r="C12" s="898"/>
      <c r="D12" s="899"/>
      <c r="E12" s="900"/>
      <c r="F12" s="901"/>
      <c r="G12" s="938"/>
      <c r="H12" s="902" t="s">
        <v>1209</v>
      </c>
      <c r="I12" s="1004" t="s">
        <v>1389</v>
      </c>
      <c r="J12" s="1005"/>
      <c r="K12" s="899"/>
      <c r="L12" s="900"/>
      <c r="M12" s="1006"/>
    </row>
    <row r="13" ht="18" customHeight="1" spans="1:13">
      <c r="A13" s="903">
        <v>2</v>
      </c>
      <c r="B13" s="904" t="s">
        <v>1390</v>
      </c>
      <c r="C13" s="905">
        <f ca="1">ROUND(C29*F13,0)</f>
        <v>16706</v>
      </c>
      <c r="D13" s="906" t="s">
        <v>1391</v>
      </c>
      <c r="E13" s="906" t="s">
        <v>1392</v>
      </c>
      <c r="F13" s="1804">
        <f ca="1">INDIRECT("'数据-取费表'!y"&amp;$G$1)</f>
        <v>1</v>
      </c>
      <c r="G13" s="938"/>
      <c r="H13" s="903">
        <v>2</v>
      </c>
      <c r="I13" s="904" t="s">
        <v>1390</v>
      </c>
      <c r="J13" s="1007">
        <f ca="1">ROUND(J14*J15,0)</f>
        <v>0</v>
      </c>
      <c r="K13" s="936" t="s">
        <v>1393</v>
      </c>
      <c r="L13" s="1834"/>
      <c r="M13" s="1835"/>
    </row>
    <row r="14" ht="18" customHeight="1" spans="1:13">
      <c r="A14" s="1805" t="s">
        <v>1166</v>
      </c>
      <c r="B14" s="910" t="s">
        <v>1216</v>
      </c>
      <c r="C14" s="911">
        <f ca="1">INDIRECT("'数据-取费表'!m"&amp;$G$1)+INDIRECT("'数据-取费表'!t"&amp;$G$1)</f>
        <v>12511</v>
      </c>
      <c r="D14" s="912" t="s">
        <v>1394</v>
      </c>
      <c r="E14" s="913"/>
      <c r="F14" s="914"/>
      <c r="G14" s="938"/>
      <c r="H14" s="1806" t="s">
        <v>1145</v>
      </c>
      <c r="I14" s="1010" t="s">
        <v>1395</v>
      </c>
      <c r="J14" s="123">
        <f ca="1">C29</f>
        <v>16706</v>
      </c>
      <c r="K14" s="1011"/>
      <c r="L14" s="1008"/>
      <c r="M14" s="1009"/>
    </row>
    <row r="15" s="831" customFormat="1" ht="18" customHeight="1" spans="1:33">
      <c r="A15" s="1805" t="s">
        <v>1170</v>
      </c>
      <c r="B15" s="910" t="s">
        <v>1218</v>
      </c>
      <c r="C15" s="123">
        <f ca="1">ROUND(C14*F15,0)</f>
        <v>375</v>
      </c>
      <c r="D15" s="915" t="s">
        <v>1396</v>
      </c>
      <c r="E15" s="915" t="s">
        <v>1397</v>
      </c>
      <c r="F15" s="916">
        <f>'数据-取费表'!B33</f>
        <v>0.03</v>
      </c>
      <c r="G15" s="1807"/>
      <c r="H15" s="902" t="s">
        <v>1147</v>
      </c>
      <c r="I15" s="933" t="s">
        <v>1392</v>
      </c>
      <c r="J15" s="1836">
        <f ca="1">INDIRECT("'数据-取费表'!ad"&amp;$G$1)</f>
        <v>0</v>
      </c>
      <c r="K15" s="1837"/>
      <c r="L15" s="1838"/>
      <c r="M15" s="1839"/>
      <c r="N15" s="1013"/>
      <c r="O15" s="1013"/>
      <c r="P15" s="1013"/>
      <c r="Q15" s="1854"/>
      <c r="R15" s="1013"/>
      <c r="S15" s="1013"/>
      <c r="T15" s="1013"/>
      <c r="U15" s="1013"/>
      <c r="V15" s="1013"/>
      <c r="W15" s="1013"/>
      <c r="X15" s="1013"/>
      <c r="Y15" s="1013"/>
      <c r="Z15" s="1013"/>
      <c r="AA15" s="1013"/>
      <c r="AB15" s="1013"/>
      <c r="AC15" s="1013"/>
      <c r="AD15" s="1013"/>
      <c r="AE15" s="1013"/>
      <c r="AF15" s="1013"/>
      <c r="AG15" s="1013"/>
    </row>
    <row r="16" ht="18" customHeight="1" spans="1:13">
      <c r="A16" s="1805" t="s">
        <v>1173</v>
      </c>
      <c r="B16" s="910" t="s">
        <v>1221</v>
      </c>
      <c r="C16" s="123">
        <f ca="1">ROUND(INDIRECT("'数据-取费表'!m"&amp;$G$1)*F16,0)</f>
        <v>0</v>
      </c>
      <c r="D16" s="910" t="s">
        <v>1396</v>
      </c>
      <c r="E16" s="910" t="s">
        <v>1397</v>
      </c>
      <c r="F16" s="918">
        <f ca="1">IF(INDIRECT("'数据-取费表'!c"&amp;$G$1)="住宅",'数据-取费表'!B34,0)</f>
        <v>0</v>
      </c>
      <c r="G16" s="938"/>
      <c r="H16" s="903" t="s">
        <v>1398</v>
      </c>
      <c r="I16" s="904" t="s">
        <v>1399</v>
      </c>
      <c r="J16" s="905">
        <f ca="1">ROUND(J17+J22+J23+J24,0)</f>
        <v>1581</v>
      </c>
      <c r="K16" s="936" t="s">
        <v>1400</v>
      </c>
      <c r="L16" s="937"/>
      <c r="M16" s="866"/>
    </row>
    <row r="17" s="831" customFormat="1" ht="18" customHeight="1" spans="1:33">
      <c r="A17" s="1805" t="s">
        <v>1401</v>
      </c>
      <c r="B17" s="910" t="s">
        <v>1402</v>
      </c>
      <c r="C17" s="1855">
        <f>'剩余法-待开发'!C16</f>
        <v>500</v>
      </c>
      <c r="D17" s="910" t="s">
        <v>1403</v>
      </c>
      <c r="E17" s="910" t="s">
        <v>1404</v>
      </c>
      <c r="F17" s="920">
        <f>'数据-取费表'!B35</f>
        <v>200</v>
      </c>
      <c r="G17" s="1807"/>
      <c r="H17" s="1806" t="s">
        <v>1145</v>
      </c>
      <c r="I17" s="910" t="s">
        <v>1405</v>
      </c>
      <c r="J17" s="940">
        <f ca="1">ROUND(IF(AND(项目基本情况!B11="自然人",项目基本情况!B10="北京市"),J6*M17/(1+'数据-取费表'!C42),J18+J19+J20),0)</f>
        <v>1414</v>
      </c>
      <c r="K17" s="912" t="s">
        <v>1406</v>
      </c>
      <c r="L17" s="941" t="s">
        <v>1407</v>
      </c>
      <c r="M17" s="942" t="str">
        <f ca="1">IF(项目基本情况!B11="企业","——",IF('数据-取费表'!B10="住宅",IF(M6*M7*M8/12/(1+'数据-取费表'!F30)&gt;100000,4%,2.5%),IF(M6*M7*M8/12/(1+'数据-取费表'!F30)&gt;100000,12%,7%)))</f>
        <v>——</v>
      </c>
      <c r="N17" s="1013"/>
      <c r="O17" s="1013"/>
      <c r="P17" s="1013"/>
      <c r="Q17" s="1854"/>
      <c r="R17" s="1013"/>
      <c r="S17" s="1013"/>
      <c r="T17" s="1013"/>
      <c r="U17" s="1013"/>
      <c r="V17" s="1013"/>
      <c r="W17" s="1013"/>
      <c r="X17" s="1013"/>
      <c r="Y17" s="1013"/>
      <c r="Z17" s="1013"/>
      <c r="AA17" s="1013"/>
      <c r="AB17" s="1013"/>
      <c r="AC17" s="1013"/>
      <c r="AD17" s="1013"/>
      <c r="AE17" s="1013"/>
      <c r="AF17" s="1013"/>
      <c r="AG17" s="1013"/>
    </row>
    <row r="18" s="831" customFormat="1" ht="18" customHeight="1" spans="1:33">
      <c r="A18" s="1805" t="s">
        <v>1408</v>
      </c>
      <c r="B18" s="910" t="s">
        <v>1226</v>
      </c>
      <c r="C18" s="123">
        <f ca="1">ROUND(C14*F18,0)</f>
        <v>188</v>
      </c>
      <c r="D18" s="910" t="s">
        <v>1396</v>
      </c>
      <c r="E18" s="910" t="s">
        <v>1397</v>
      </c>
      <c r="F18" s="918">
        <f>'数据-取费表'!B36</f>
        <v>0.015</v>
      </c>
      <c r="G18" s="1807"/>
      <c r="H18" s="1805" t="s">
        <v>1166</v>
      </c>
      <c r="I18" s="910" t="s">
        <v>1409</v>
      </c>
      <c r="J18" s="123">
        <f ca="1">ROUND(J6*M18/(1+'数据-取费表'!C42),1)</f>
        <v>0</v>
      </c>
      <c r="K18" s="941" t="s">
        <v>1410</v>
      </c>
      <c r="L18" s="910" t="s">
        <v>1397</v>
      </c>
      <c r="M18" s="918">
        <f>'数据-取费表'!B41</f>
        <v>0.056</v>
      </c>
      <c r="N18" s="1013"/>
      <c r="O18" s="1013"/>
      <c r="P18" s="1013"/>
      <c r="Q18" s="1854"/>
      <c r="R18" s="1013"/>
      <c r="S18" s="1013"/>
      <c r="T18" s="1013"/>
      <c r="U18" s="1013"/>
      <c r="V18" s="1013"/>
      <c r="W18" s="1013"/>
      <c r="X18" s="1013"/>
      <c r="Y18" s="1013"/>
      <c r="Z18" s="1013"/>
      <c r="AA18" s="1013"/>
      <c r="AB18" s="1013"/>
      <c r="AC18" s="1013"/>
      <c r="AD18" s="1013"/>
      <c r="AE18" s="1013"/>
      <c r="AF18" s="1013"/>
      <c r="AG18" s="1013"/>
    </row>
    <row r="19" ht="18" customHeight="1" spans="1:13">
      <c r="A19" s="1806" t="s">
        <v>1145</v>
      </c>
      <c r="B19" s="910" t="s">
        <v>1411</v>
      </c>
      <c r="C19" s="123">
        <f ca="1">SUM(C14:C18)</f>
        <v>13574</v>
      </c>
      <c r="D19" s="921" t="s">
        <v>1412</v>
      </c>
      <c r="E19" s="125"/>
      <c r="F19" s="920"/>
      <c r="G19" s="938"/>
      <c r="H19" s="1805" t="s">
        <v>1170</v>
      </c>
      <c r="I19" s="910" t="s">
        <v>1413</v>
      </c>
      <c r="J19" s="123">
        <f ca="1">IF(K19="按租金收入计税",ROUND(J6*M19/(1+'数据-取费表'!C42),1),ROUND(C29*F33*0.7,1))</f>
        <v>1403.3</v>
      </c>
      <c r="K19" s="945" t="s">
        <v>1414</v>
      </c>
      <c r="L19" s="910" t="s">
        <v>1397</v>
      </c>
      <c r="M19" s="918">
        <f>IF(K19="按租金收入计税",'数据-取费表'!B51,'数据-取费表'!B50)</f>
        <v>0.012</v>
      </c>
    </row>
    <row r="20" s="831" customFormat="1" ht="18" customHeight="1" spans="1:33">
      <c r="A20" s="1806" t="s">
        <v>1147</v>
      </c>
      <c r="B20" s="910" t="s">
        <v>1415</v>
      </c>
      <c r="C20" s="123">
        <f ca="1">ROUND(C19*F20,0)</f>
        <v>271</v>
      </c>
      <c r="D20" s="922" t="s">
        <v>1416</v>
      </c>
      <c r="E20" s="910" t="s">
        <v>1397</v>
      </c>
      <c r="F20" s="918">
        <f>'数据-取费表'!B37</f>
        <v>0.02</v>
      </c>
      <c r="G20" s="1807"/>
      <c r="H20" s="1808" t="s">
        <v>1173</v>
      </c>
      <c r="I20" s="948" t="s">
        <v>1417</v>
      </c>
      <c r="J20" s="949">
        <f ca="1">ROUND(M20*M21/10000,0)</f>
        <v>11</v>
      </c>
      <c r="K20" s="950" t="s">
        <v>1418</v>
      </c>
      <c r="L20" s="910" t="s">
        <v>1419</v>
      </c>
      <c r="M20" s="928">
        <f>'数据-取费表'!B52</f>
        <v>12</v>
      </c>
      <c r="N20" s="1013"/>
      <c r="O20" s="1013"/>
      <c r="P20" s="1013"/>
      <c r="Q20" s="1854"/>
      <c r="R20" s="1013"/>
      <c r="S20" s="1013"/>
      <c r="T20" s="1013"/>
      <c r="U20" s="1013"/>
      <c r="V20" s="1013"/>
      <c r="W20" s="1013"/>
      <c r="X20" s="1013"/>
      <c r="Y20" s="1013"/>
      <c r="Z20" s="1013"/>
      <c r="AA20" s="1013"/>
      <c r="AB20" s="1013"/>
      <c r="AC20" s="1013"/>
      <c r="AD20" s="1013"/>
      <c r="AE20" s="1013"/>
      <c r="AF20" s="1013"/>
      <c r="AG20" s="1013"/>
    </row>
    <row r="21" s="831" customFormat="1" ht="18" customHeight="1" spans="1:33">
      <c r="A21" s="1806" t="s">
        <v>1209</v>
      </c>
      <c r="B21" s="910" t="s">
        <v>1420</v>
      </c>
      <c r="C21" s="123" t="s">
        <v>138</v>
      </c>
      <c r="D21" s="922" t="s">
        <v>1421</v>
      </c>
      <c r="E21" s="910" t="s">
        <v>1422</v>
      </c>
      <c r="F21" s="918">
        <f>'数据-取费表'!B38</f>
        <v>0.02</v>
      </c>
      <c r="G21" s="1807"/>
      <c r="H21" s="1809"/>
      <c r="I21" s="952"/>
      <c r="J21" s="953"/>
      <c r="K21" s="954"/>
      <c r="L21" s="910" t="s">
        <v>1423</v>
      </c>
      <c r="M21" s="872">
        <f ca="1">INDIRECT("'数据-取费表'!r"&amp;$G$1)</f>
        <v>9546.55</v>
      </c>
      <c r="N21" s="1013"/>
      <c r="O21" s="1013"/>
      <c r="P21" s="1013"/>
      <c r="Q21" s="1854"/>
      <c r="R21" s="1013"/>
      <c r="S21" s="1013"/>
      <c r="T21" s="1013"/>
      <c r="U21" s="1013"/>
      <c r="V21" s="1013"/>
      <c r="W21" s="1013"/>
      <c r="X21" s="1013"/>
      <c r="Y21" s="1013"/>
      <c r="Z21" s="1013"/>
      <c r="AA21" s="1013"/>
      <c r="AB21" s="1013"/>
      <c r="AC21" s="1013"/>
      <c r="AD21" s="1013"/>
      <c r="AE21" s="1013"/>
      <c r="AF21" s="1013"/>
      <c r="AG21" s="1013"/>
    </row>
    <row r="22" ht="18" customHeight="1" spans="1:13">
      <c r="A22" s="1806" t="s">
        <v>1424</v>
      </c>
      <c r="B22" s="910" t="s">
        <v>1425</v>
      </c>
      <c r="C22" s="123"/>
      <c r="D22" s="925" t="str">
        <f>IF(F23&lt;=1,"单利计息。","复利计息。")&amp;"建造成本、管理费用、销售费用产生的利息。"</f>
        <v>复利计息。建造成本、管理费用、销售费用产生的利息。</v>
      </c>
      <c r="E22" s="125"/>
      <c r="F22" s="920"/>
      <c r="G22" s="938"/>
      <c r="H22" s="1806" t="s">
        <v>1147</v>
      </c>
      <c r="I22" s="910" t="s">
        <v>1426</v>
      </c>
      <c r="J22" s="123">
        <f ca="1">ROUND(J14*M22,0)</f>
        <v>167</v>
      </c>
      <c r="K22" s="941" t="s">
        <v>1427</v>
      </c>
      <c r="L22" s="910" t="s">
        <v>1397</v>
      </c>
      <c r="M22" s="955">
        <f ca="1">INDIRECT("'数据-取费表'!Ak"&amp;$G$1)</f>
        <v>0.01</v>
      </c>
    </row>
    <row r="23" s="831" customFormat="1" ht="18" customHeight="1" spans="1:33">
      <c r="A23" s="1805" t="s">
        <v>1166</v>
      </c>
      <c r="B23" s="910" t="s">
        <v>1428</v>
      </c>
      <c r="C23" s="123">
        <f ca="1">ROUND(IF('数据-取费表'!B22&lt;=1,(C19+C20)*F24*F23/2,(C19+C20)*(POWER((1+F24),F23/2)-1)),0)</f>
        <v>490</v>
      </c>
      <c r="D23" s="927" t="str">
        <f>IF(F23&lt;=1,"(建造成本+管理费用)×利率×(建设周期÷2)","(建造成本+管理费用)×((1+利率)^(建设周期÷2)-1)")</f>
        <v>(建造成本+管理费用)×((1+利率)^(建设周期÷2)-1)</v>
      </c>
      <c r="E23" s="910" t="s">
        <v>1429</v>
      </c>
      <c r="F23" s="928">
        <f>'数据-取费表'!B20</f>
        <v>1.5</v>
      </c>
      <c r="G23" s="1807"/>
      <c r="H23" s="1806" t="s">
        <v>1209</v>
      </c>
      <c r="I23" s="910" t="s">
        <v>1430</v>
      </c>
      <c r="J23" s="123">
        <f ca="1">ROUND(J13*M23,0)</f>
        <v>0</v>
      </c>
      <c r="K23" s="941" t="s">
        <v>1431</v>
      </c>
      <c r="L23" s="910" t="s">
        <v>1397</v>
      </c>
      <c r="M23" s="956">
        <f ca="1">INDIRECT("'数据-取费表'!Al"&amp;$G$1)</f>
        <v>0.001</v>
      </c>
      <c r="N23" s="1013"/>
      <c r="O23" s="1013"/>
      <c r="P23" s="1013"/>
      <c r="Q23" s="1854"/>
      <c r="R23" s="1013"/>
      <c r="S23" s="1013"/>
      <c r="T23" s="1013"/>
      <c r="U23" s="1013"/>
      <c r="V23" s="1013"/>
      <c r="W23" s="1013"/>
      <c r="X23" s="1013"/>
      <c r="Y23" s="1013"/>
      <c r="Z23" s="1013"/>
      <c r="AA23" s="1013"/>
      <c r="AB23" s="1013"/>
      <c r="AC23" s="1013"/>
      <c r="AD23" s="1013"/>
      <c r="AE23" s="1013"/>
      <c r="AF23" s="1013"/>
      <c r="AG23" s="1013"/>
    </row>
    <row r="24" s="831" customFormat="1" ht="18" customHeight="1" spans="1:33">
      <c r="A24" s="1805" t="s">
        <v>1170</v>
      </c>
      <c r="B24" s="910" t="s">
        <v>1432</v>
      </c>
      <c r="C24" s="123">
        <f ca="1">ROUND(IF('数据-取费表'!B22&lt;=1,F21*F24*F23/2,F21*(POWER((1+F24),F23/2)-1)),4)</f>
        <v>0.0007</v>
      </c>
      <c r="D24" s="927" t="str">
        <f>IF(F23&lt;=1,"销售费用×利率×(建设周期÷2)","销售费用×((1+利率)^(建设周期÷2)-1)")</f>
        <v>销售费用×((1+利率)^(建设周期÷2)-1)</v>
      </c>
      <c r="E24" s="910" t="s">
        <v>1433</v>
      </c>
      <c r="F24" s="929">
        <f ca="1">'数据-取费表'!B40</f>
        <v>0.0475</v>
      </c>
      <c r="G24" s="1807"/>
      <c r="H24" s="902" t="s">
        <v>1424</v>
      </c>
      <c r="I24" s="933" t="s">
        <v>1415</v>
      </c>
      <c r="J24" s="931">
        <f ca="1">ROUND(J5*M24,0)</f>
        <v>0</v>
      </c>
      <c r="K24" s="932" t="s">
        <v>1434</v>
      </c>
      <c r="L24" s="933" t="s">
        <v>1397</v>
      </c>
      <c r="M24" s="901">
        <f ca="1">INDIRECT("'数据-取费表'!Am"&amp;$G$1)</f>
        <v>0.01</v>
      </c>
      <c r="N24" s="1013"/>
      <c r="O24" s="1013"/>
      <c r="P24" s="1013"/>
      <c r="Q24" s="1854"/>
      <c r="R24" s="1013"/>
      <c r="S24" s="1013"/>
      <c r="T24" s="1013"/>
      <c r="U24" s="1013"/>
      <c r="V24" s="1013"/>
      <c r="W24" s="1013"/>
      <c r="X24" s="1013"/>
      <c r="Y24" s="1013"/>
      <c r="Z24" s="1013"/>
      <c r="AA24" s="1013"/>
      <c r="AB24" s="1013"/>
      <c r="AC24" s="1013"/>
      <c r="AD24" s="1013"/>
      <c r="AE24" s="1013"/>
      <c r="AF24" s="1013"/>
      <c r="AG24" s="1013"/>
    </row>
    <row r="25" ht="18" customHeight="1" spans="1:13">
      <c r="A25" s="1810" t="s">
        <v>1197</v>
      </c>
      <c r="B25" s="910" t="s">
        <v>1435</v>
      </c>
      <c r="C25" s="123"/>
      <c r="D25" s="921" t="s">
        <v>1436</v>
      </c>
      <c r="E25" s="125"/>
      <c r="F25" s="920"/>
      <c r="G25" s="938"/>
      <c r="H25" s="903" t="s">
        <v>1437</v>
      </c>
      <c r="I25" s="1814" t="s">
        <v>1438</v>
      </c>
      <c r="J25" s="905">
        <f ca="1">J5-J16</f>
        <v>-1581</v>
      </c>
      <c r="K25" s="1815" t="s">
        <v>1439</v>
      </c>
      <c r="L25" s="1816"/>
      <c r="M25" s="1817"/>
    </row>
    <row r="26" ht="18" customHeight="1" spans="1:13">
      <c r="A26" s="1805" t="s">
        <v>1166</v>
      </c>
      <c r="B26" s="910" t="s">
        <v>1440</v>
      </c>
      <c r="C26" s="123">
        <f ca="1">ROUND((C19+C20)*F26,0)</f>
        <v>1108</v>
      </c>
      <c r="D26" s="922" t="s">
        <v>1441</v>
      </c>
      <c r="E26" s="907" t="s">
        <v>1442</v>
      </c>
      <c r="F26" s="883">
        <f ca="1">INDIRECT("'数据-取费表'!q"&amp;$G$1)</f>
        <v>0.08</v>
      </c>
      <c r="G26" s="938"/>
      <c r="H26" s="1811" t="s">
        <v>1443</v>
      </c>
      <c r="I26" s="1818" t="s">
        <v>1444</v>
      </c>
      <c r="J26" s="999">
        <f ca="1">IF(J5&lt;&gt;0,ROUND(J25*(1-((1+M28)/(1+M26))^M27)/(M26-M28),0),0)</f>
        <v>0</v>
      </c>
      <c r="K26" s="950" t="s">
        <v>1445</v>
      </c>
      <c r="L26" s="910" t="s">
        <v>1446</v>
      </c>
      <c r="M26" s="883">
        <f ca="1">INDIRECT("'数据-取费表'!I"&amp;$G$1)</f>
        <v>0.05</v>
      </c>
    </row>
    <row r="27" ht="18" customHeight="1" spans="1:13">
      <c r="A27" s="1805" t="s">
        <v>1170</v>
      </c>
      <c r="B27" s="910" t="s">
        <v>1447</v>
      </c>
      <c r="C27" s="123">
        <f ca="1">ROUND(F21*F26,4)</f>
        <v>0.0016</v>
      </c>
      <c r="D27" s="922" t="s">
        <v>1448</v>
      </c>
      <c r="E27" s="915"/>
      <c r="F27" s="916"/>
      <c r="G27" s="938"/>
      <c r="H27" s="1812"/>
      <c r="I27" s="1017"/>
      <c r="J27" s="1000"/>
      <c r="K27" s="1018" t="s">
        <v>1449</v>
      </c>
      <c r="L27" s="910" t="s">
        <v>1450</v>
      </c>
      <c r="M27" s="1019">
        <f ca="1">INDIRECT("'数据-取费表'!ag"&amp;$G$1)</f>
        <v>0</v>
      </c>
    </row>
    <row r="28" s="831" customFormat="1" ht="18" customHeight="1" spans="1:33">
      <c r="A28" s="1810" t="s">
        <v>1198</v>
      </c>
      <c r="B28" s="910" t="s">
        <v>1451</v>
      </c>
      <c r="C28" s="123">
        <f>ROUND(F28/(1+'数据-取费表'!C42),4)</f>
        <v>0.0533</v>
      </c>
      <c r="D28" s="922" t="s">
        <v>1452</v>
      </c>
      <c r="E28" s="910" t="s">
        <v>1397</v>
      </c>
      <c r="F28" s="918">
        <f>'数据-取费表'!B41</f>
        <v>0.056</v>
      </c>
      <c r="G28" s="1807"/>
      <c r="H28" s="903"/>
      <c r="I28" s="1020"/>
      <c r="J28" s="905"/>
      <c r="K28" s="954"/>
      <c r="L28" s="910" t="s">
        <v>1453</v>
      </c>
      <c r="M28" s="883">
        <f ca="1">INDIRECT("'数据-取费表'!aa"&amp;$G$1)</f>
        <v>0</v>
      </c>
      <c r="N28" s="1013"/>
      <c r="O28" s="1013"/>
      <c r="P28" s="1013"/>
      <c r="Q28" s="1854"/>
      <c r="R28" s="1013"/>
      <c r="S28" s="1013"/>
      <c r="T28" s="1013"/>
      <c r="U28" s="1013"/>
      <c r="V28" s="1013"/>
      <c r="W28" s="1013"/>
      <c r="X28" s="1013"/>
      <c r="Y28" s="1013"/>
      <c r="Z28" s="1013"/>
      <c r="AA28" s="1013"/>
      <c r="AB28" s="1013"/>
      <c r="AC28" s="1013"/>
      <c r="AD28" s="1013"/>
      <c r="AE28" s="1013"/>
      <c r="AF28" s="1013"/>
      <c r="AG28" s="1013"/>
    </row>
    <row r="29" s="831" customFormat="1" ht="18" customHeight="1" spans="1:33">
      <c r="A29" s="1813" t="s">
        <v>1454</v>
      </c>
      <c r="B29" s="900" t="s">
        <v>1455</v>
      </c>
      <c r="C29" s="931">
        <f ca="1">ROUND((C19+C20+C23+C26)/(1-F21-C24-C27-C28),0)</f>
        <v>16706</v>
      </c>
      <c r="D29" s="932"/>
      <c r="E29" s="933"/>
      <c r="F29" s="934"/>
      <c r="G29" s="1807"/>
      <c r="H29" s="935" t="s">
        <v>1456</v>
      </c>
      <c r="I29" s="1819" t="s">
        <v>1457</v>
      </c>
      <c r="J29" s="1022">
        <f ca="1">ROUND(J26/(1+F40)^F41,0)</f>
        <v>0</v>
      </c>
      <c r="K29" s="1023" t="s">
        <v>1458</v>
      </c>
      <c r="L29" s="1024"/>
      <c r="M29" s="980">
        <f ca="1">INDIRECT("'数据-取费表'!k"&amp;$G$1)</f>
        <v>25022.71</v>
      </c>
      <c r="N29" s="1013"/>
      <c r="O29" s="1013"/>
      <c r="P29" s="1013"/>
      <c r="Q29" s="1854"/>
      <c r="R29" s="1013"/>
      <c r="S29" s="1013"/>
      <c r="T29" s="1013"/>
      <c r="U29" s="1013"/>
      <c r="V29" s="1013"/>
      <c r="W29" s="1013"/>
      <c r="X29" s="1013"/>
      <c r="Y29" s="1013"/>
      <c r="Z29" s="1013"/>
      <c r="AA29" s="1013"/>
      <c r="AB29" s="1013"/>
      <c r="AC29" s="1013"/>
      <c r="AD29" s="1013"/>
      <c r="AE29" s="1013"/>
      <c r="AF29" s="1013"/>
      <c r="AG29" s="1013"/>
    </row>
    <row r="30" ht="18" customHeight="1" spans="1:13">
      <c r="A30" s="903" t="s">
        <v>1398</v>
      </c>
      <c r="B30" s="904" t="s">
        <v>1399</v>
      </c>
      <c r="C30" s="905">
        <f ca="1">ROUND(C31+C36+C37+C38,0)</f>
        <v>781</v>
      </c>
      <c r="D30" s="936" t="s">
        <v>1400</v>
      </c>
      <c r="E30" s="937"/>
      <c r="F30" s="866"/>
      <c r="G30" s="938"/>
      <c r="H30" s="939"/>
      <c r="I30" s="1025"/>
      <c r="J30" s="1026"/>
      <c r="K30" s="1027"/>
      <c r="L30" s="1028"/>
      <c r="M30" s="1029"/>
    </row>
    <row r="31" ht="18" customHeight="1" spans="1:13">
      <c r="A31" s="1806" t="s">
        <v>1145</v>
      </c>
      <c r="B31" s="910" t="s">
        <v>1405</v>
      </c>
      <c r="C31" s="940">
        <f ca="1">ROUND(IF(AND(项目基本情况!B11="自然人",项目基本情况!B10="北京市"),C6*F31/(1+'数据-取费表'!C42),C32+C33+C34),0)</f>
        <v>564</v>
      </c>
      <c r="D31" s="912" t="s">
        <v>1406</v>
      </c>
      <c r="E31" s="941" t="s">
        <v>1407</v>
      </c>
      <c r="F31" s="942" t="str">
        <f ca="1">IF(项目基本情况!B11="企业","——",IF('数据-取费表'!B10="住宅",IF(F6*F7*F8/12/(1+'数据-取费表'!F30)&gt;100000,4%,2.5%),IF(F6*F7*F8/12/(1+'数据-取费表'!F30)&gt;100000,12%,7%)))</f>
        <v>——</v>
      </c>
      <c r="G31" s="938"/>
      <c r="H31" s="943" t="s">
        <v>1459</v>
      </c>
      <c r="I31" s="1025"/>
      <c r="J31" s="1026"/>
      <c r="K31" s="1027"/>
      <c r="L31" s="1028"/>
      <c r="M31" s="1029"/>
    </row>
    <row r="32" ht="18" customHeight="1" spans="1:13">
      <c r="A32" s="1805" t="s">
        <v>1166</v>
      </c>
      <c r="B32" s="910" t="s">
        <v>1409</v>
      </c>
      <c r="C32" s="123">
        <f ca="1">ROUND(C6*F32/(1+'数据-取费表'!C42),1)</f>
        <v>175.8</v>
      </c>
      <c r="D32" s="941" t="s">
        <v>1410</v>
      </c>
      <c r="E32" s="910" t="s">
        <v>1397</v>
      </c>
      <c r="F32" s="918">
        <f>'数据-取费表'!B41</f>
        <v>0.056</v>
      </c>
      <c r="G32" s="938"/>
      <c r="H32" s="944"/>
      <c r="I32" s="1030"/>
      <c r="J32" s="1031"/>
      <c r="K32" s="1032"/>
      <c r="L32" s="1033"/>
      <c r="M32" s="1034"/>
    </row>
    <row r="33" ht="18" customHeight="1" spans="1:13">
      <c r="A33" s="1805" t="s">
        <v>1170</v>
      </c>
      <c r="B33" s="910" t="s">
        <v>1413</v>
      </c>
      <c r="C33" s="123">
        <f ca="1">IF(D33="按租金收入计税",ROUND(C6*F33/(1+'数据-取费表'!C42),1),IF(D33="按房产原值计税",ROUND(C29*F33*0.7,1),INDIRECT("'数据-取费表'!Aj"&amp;$G$1)))</f>
        <v>376.8</v>
      </c>
      <c r="D33" s="945" t="s">
        <v>1460</v>
      </c>
      <c r="E33" s="910" t="s">
        <v>1397</v>
      </c>
      <c r="F33" s="918">
        <f>IF(D33="按租金收入计税",'数据-取费表'!B51,'数据-取费表'!B50)</f>
        <v>0.12</v>
      </c>
      <c r="G33" s="938"/>
      <c r="H33" s="946"/>
      <c r="I33" s="946"/>
      <c r="J33" s="946"/>
      <c r="K33" s="1035"/>
      <c r="L33" s="946"/>
      <c r="M33" s="946"/>
    </row>
    <row r="34" ht="18" customHeight="1" spans="1:13">
      <c r="A34" s="1808" t="s">
        <v>1173</v>
      </c>
      <c r="B34" s="948" t="s">
        <v>1417</v>
      </c>
      <c r="C34" s="949">
        <f ca="1">ROUND(F34*F35/10000,1)</f>
        <v>11.5</v>
      </c>
      <c r="D34" s="950" t="s">
        <v>1418</v>
      </c>
      <c r="E34" s="910" t="s">
        <v>1419</v>
      </c>
      <c r="F34" s="928">
        <f>'数据-取费表'!B52</f>
        <v>12</v>
      </c>
      <c r="G34" s="938"/>
      <c r="H34" s="939"/>
      <c r="I34" s="960" t="s">
        <v>1461</v>
      </c>
      <c r="J34" s="964"/>
      <c r="K34" s="1038"/>
      <c r="L34" s="1037"/>
      <c r="M34" s="1037"/>
    </row>
    <row r="35" ht="18" customHeight="1" spans="1:13">
      <c r="A35" s="951"/>
      <c r="B35" s="952"/>
      <c r="C35" s="953"/>
      <c r="D35" s="954"/>
      <c r="E35" s="910" t="s">
        <v>1423</v>
      </c>
      <c r="F35" s="872">
        <f ca="1">INDIRECT("'数据-取费表'!r"&amp;$G$1)</f>
        <v>9546.55</v>
      </c>
      <c r="G35" s="938"/>
      <c r="H35" s="939"/>
      <c r="I35" s="1840" t="s">
        <v>1462</v>
      </c>
      <c r="J35" s="1841">
        <f ca="1">ROUND(C13*J36,0)</f>
        <v>1253</v>
      </c>
      <c r="K35" s="1035"/>
      <c r="L35" s="946"/>
      <c r="M35" s="946"/>
    </row>
    <row r="36" ht="18" customHeight="1" spans="1:13">
      <c r="A36" s="1806" t="s">
        <v>1147</v>
      </c>
      <c r="B36" s="910" t="s">
        <v>1426</v>
      </c>
      <c r="C36" s="123">
        <f ca="1">ROUND(C29*F36,1)</f>
        <v>167.1</v>
      </c>
      <c r="D36" s="941" t="s">
        <v>1463</v>
      </c>
      <c r="E36" s="910" t="s">
        <v>1397</v>
      </c>
      <c r="F36" s="955">
        <f ca="1">INDIRECT("'数据-取费表'!Ak"&amp;$G$1)</f>
        <v>0.01</v>
      </c>
      <c r="G36" s="938"/>
      <c r="H36" s="946"/>
      <c r="I36" s="1554" t="s">
        <v>1464</v>
      </c>
      <c r="J36" s="1842">
        <f ca="1">INDIRECT("'数据-取费表'!j"&amp;$G$1)</f>
        <v>0.075</v>
      </c>
      <c r="K36" s="1040"/>
      <c r="L36" s="946"/>
      <c r="M36" s="946"/>
    </row>
    <row r="37" ht="18" customHeight="1" spans="1:13">
      <c r="A37" s="1806" t="s">
        <v>1209</v>
      </c>
      <c r="B37" s="910" t="s">
        <v>1430</v>
      </c>
      <c r="C37" s="123">
        <f ca="1">ROUND(C13*F37,1)</f>
        <v>16.7</v>
      </c>
      <c r="D37" s="941" t="s">
        <v>1431</v>
      </c>
      <c r="E37" s="910" t="s">
        <v>1397</v>
      </c>
      <c r="F37" s="956">
        <f ca="1">INDIRECT("'数据-取费表'!Al"&amp;$G$1)</f>
        <v>0.001</v>
      </c>
      <c r="G37" s="938"/>
      <c r="H37" s="946"/>
      <c r="I37" s="1843" t="s">
        <v>1465</v>
      </c>
      <c r="J37" s="1844"/>
      <c r="K37" s="1040"/>
      <c r="L37" s="946"/>
      <c r="M37" s="946"/>
    </row>
    <row r="38" ht="18" customHeight="1" spans="1:13">
      <c r="A38" s="902" t="s">
        <v>1424</v>
      </c>
      <c r="B38" s="933" t="s">
        <v>1415</v>
      </c>
      <c r="C38" s="931">
        <f ca="1">ROUND(C5*F38,1)</f>
        <v>33</v>
      </c>
      <c r="D38" s="932" t="s">
        <v>1434</v>
      </c>
      <c r="E38" s="933" t="s">
        <v>1397</v>
      </c>
      <c r="F38" s="901">
        <f ca="1">INDIRECT("'数据-取费表'!Am"&amp;$G$1)</f>
        <v>0.01</v>
      </c>
      <c r="G38" s="938"/>
      <c r="H38" s="946"/>
      <c r="I38" s="1845" t="s">
        <v>1466</v>
      </c>
      <c r="J38" s="1846"/>
      <c r="K38" s="1041"/>
      <c r="L38" s="946"/>
      <c r="M38" s="946"/>
    </row>
    <row r="39" ht="24.6" customHeight="1" spans="1:13">
      <c r="A39" s="903" t="s">
        <v>1437</v>
      </c>
      <c r="B39" s="1814" t="s">
        <v>1438</v>
      </c>
      <c r="C39" s="905">
        <f ca="1">C5-C30</f>
        <v>2520</v>
      </c>
      <c r="D39" s="1815" t="s">
        <v>1439</v>
      </c>
      <c r="E39" s="1816"/>
      <c r="F39" s="1817"/>
      <c r="G39" s="938"/>
      <c r="H39" s="946"/>
      <c r="I39" s="1840" t="s">
        <v>1467</v>
      </c>
      <c r="J39" s="1847">
        <f ca="1">ROUND(J35/C39,3)</f>
        <v>0.497</v>
      </c>
      <c r="K39" s="1041"/>
      <c r="L39" s="946"/>
      <c r="M39" s="946"/>
    </row>
    <row r="40" ht="18" customHeight="1" spans="1:13">
      <c r="A40" s="862" t="s">
        <v>1443</v>
      </c>
      <c r="B40" s="1818" t="s">
        <v>1468</v>
      </c>
      <c r="C40" s="999">
        <f ca="1">ROUND(C39*(1-((1+F42)/(1+F40))^F41)/(F40-F42),0)</f>
        <v>46005</v>
      </c>
      <c r="D40" s="950" t="s">
        <v>1445</v>
      </c>
      <c r="E40" s="910" t="s">
        <v>1446</v>
      </c>
      <c r="F40" s="883">
        <f ca="1">INDIRECT("'数据-取费表'!I"&amp;$G$1)</f>
        <v>0.05</v>
      </c>
      <c r="G40" s="938"/>
      <c r="H40" s="938"/>
      <c r="I40" s="1840" t="s">
        <v>1469</v>
      </c>
      <c r="J40" s="1847">
        <f ca="1">1-J39</f>
        <v>0.503</v>
      </c>
      <c r="K40" s="1041"/>
      <c r="L40" s="938"/>
      <c r="M40" s="938"/>
    </row>
    <row r="41" ht="18" customHeight="1" spans="1:13">
      <c r="A41" s="881"/>
      <c r="B41" s="1017"/>
      <c r="C41" s="1000"/>
      <c r="D41" s="1018" t="s">
        <v>1449</v>
      </c>
      <c r="E41" s="910" t="s">
        <v>1450</v>
      </c>
      <c r="F41" s="1019">
        <f>项目基本情况!F18</f>
        <v>50</v>
      </c>
      <c r="G41" s="938"/>
      <c r="H41" s="1039"/>
      <c r="I41" s="1845" t="s">
        <v>1470</v>
      </c>
      <c r="J41" s="709"/>
      <c r="K41" s="1040"/>
      <c r="L41" s="1039"/>
      <c r="M41" s="1039"/>
    </row>
    <row r="42" ht="18" customHeight="1" spans="1:13">
      <c r="A42" s="890"/>
      <c r="B42" s="1020"/>
      <c r="C42" s="905"/>
      <c r="D42" s="954"/>
      <c r="E42" s="910" t="s">
        <v>1453</v>
      </c>
      <c r="F42" s="883">
        <f ca="1">INDIRECT("'数据-取费表'!v"&amp;$G$1)</f>
        <v>0</v>
      </c>
      <c r="G42" s="938"/>
      <c r="H42" s="1039"/>
      <c r="I42" s="1848" t="s">
        <v>1471</v>
      </c>
      <c r="J42" s="1847">
        <f ca="1">ROUND(C13/C40,3)</f>
        <v>0.363</v>
      </c>
      <c r="K42" s="1040"/>
      <c r="L42" s="1039"/>
      <c r="M42" s="1039"/>
    </row>
    <row r="43" ht="18" customHeight="1" spans="1:13">
      <c r="A43" s="935" t="s">
        <v>1456</v>
      </c>
      <c r="B43" s="1819" t="s">
        <v>1472</v>
      </c>
      <c r="C43" s="1022">
        <f ca="1">ROUND(C40*10000/F43,0)</f>
        <v>18385</v>
      </c>
      <c r="D43" s="1023" t="s">
        <v>1473</v>
      </c>
      <c r="E43" s="1024" t="s">
        <v>1474</v>
      </c>
      <c r="F43" s="980">
        <f ca="1">INDIRECT("'数据-取费表'!k"&amp;$G$1)</f>
        <v>25022.71</v>
      </c>
      <c r="G43" s="938"/>
      <c r="H43" s="1039"/>
      <c r="I43" s="1848" t="s">
        <v>1475</v>
      </c>
      <c r="J43" s="1849">
        <f ca="1">1-J42</f>
        <v>0.637</v>
      </c>
      <c r="K43" s="1040"/>
      <c r="L43" s="1039"/>
      <c r="M43" s="1039"/>
    </row>
    <row r="44" s="716" customFormat="1" ht="18" customHeight="1" spans="1:17">
      <c r="A44" s="982"/>
      <c r="B44" s="982"/>
      <c r="C44" s="1820"/>
      <c r="D44" s="982"/>
      <c r="E44" s="982"/>
      <c r="F44" s="982"/>
      <c r="K44" s="1088"/>
      <c r="Q44" s="993"/>
    </row>
    <row r="45" s="716" customFormat="1" ht="18" customHeight="1" spans="1:17">
      <c r="A45" s="982"/>
      <c r="B45" s="982"/>
      <c r="C45" s="1820"/>
      <c r="D45" s="982"/>
      <c r="E45" s="982"/>
      <c r="F45" s="982"/>
      <c r="K45" s="1088"/>
      <c r="Q45" s="993"/>
    </row>
    <row r="46" s="716" customFormat="1" ht="18" customHeight="1" spans="1:18">
      <c r="A46" s="1821" t="s">
        <v>1476</v>
      </c>
      <c r="B46" s="982"/>
      <c r="C46" s="1822">
        <f ca="1">C67-C40</f>
        <v>-49583</v>
      </c>
      <c r="D46" s="1823"/>
      <c r="E46" s="1823"/>
      <c r="F46" s="1823"/>
      <c r="I46" s="1042" t="s">
        <v>1477</v>
      </c>
      <c r="J46" s="1043"/>
      <c r="K46" s="1044"/>
      <c r="L46" s="1045" t="str">
        <f ca="1">IF(OR(M47="住宅",D1="土地（套用方法）"),0,IF(L48&gt;J51,L60,J60))</f>
        <v>0</v>
      </c>
      <c r="M46" s="1850"/>
      <c r="O46" s="1046" t="s">
        <v>1478</v>
      </c>
      <c r="P46" s="861"/>
      <c r="Q46" s="661"/>
      <c r="R46" s="861"/>
    </row>
    <row r="47" s="716" customFormat="1" ht="18" customHeight="1" spans="1:18">
      <c r="A47" s="1824">
        <v>1</v>
      </c>
      <c r="B47" s="1825" t="s">
        <v>1479</v>
      </c>
      <c r="C47" s="1822">
        <f ca="1">C48+C52+C54</f>
        <v>0</v>
      </c>
      <c r="D47" s="1823"/>
      <c r="E47" s="1823"/>
      <c r="F47" s="1823"/>
      <c r="I47" s="1047" t="s">
        <v>1480</v>
      </c>
      <c r="J47" s="1048" t="s">
        <v>1481</v>
      </c>
      <c r="K47" s="1049" t="s">
        <v>1482</v>
      </c>
      <c r="L47" s="1050">
        <f ca="1">INDIRECT("'数据-取费表'!d"&amp;$G$1)</f>
        <v>50</v>
      </c>
      <c r="M47" s="661" t="str">
        <f>IF(ISNUMBER(FIND("住宅",C1)),"住宅","非住宅")</f>
        <v>非住宅</v>
      </c>
      <c r="O47" s="1052" t="s">
        <v>1483</v>
      </c>
      <c r="P47" s="1053" t="s">
        <v>1484</v>
      </c>
      <c r="Q47" s="1093" t="s">
        <v>1485</v>
      </c>
      <c r="R47" s="1053" t="s">
        <v>1486</v>
      </c>
    </row>
    <row r="48" s="716" customFormat="1" ht="18" customHeight="1" spans="1:18">
      <c r="A48" s="1826" t="s">
        <v>823</v>
      </c>
      <c r="B48" s="1827" t="s">
        <v>1487</v>
      </c>
      <c r="C48" s="1828">
        <f ca="1">ROUND(F48*F50*F49*(1-F51)/10000,0)</f>
        <v>0</v>
      </c>
      <c r="D48" s="1829" t="s">
        <v>1380</v>
      </c>
      <c r="E48" s="1830" t="s">
        <v>1488</v>
      </c>
      <c r="F48" s="1831"/>
      <c r="G48" s="986"/>
      <c r="I48" s="1054" t="s">
        <v>1489</v>
      </c>
      <c r="J48" s="1055" t="s">
        <v>1490</v>
      </c>
      <c r="K48" s="1056" t="s">
        <v>1491</v>
      </c>
      <c r="L48" s="710">
        <f ca="1">INDIRECT("'数据-取费表'!f"&amp;$G$1)</f>
        <v>37.1</v>
      </c>
      <c r="M48" s="1850"/>
      <c r="O48" s="1057" t="s">
        <v>1492</v>
      </c>
      <c r="P48" s="1058" t="s">
        <v>1493</v>
      </c>
      <c r="Q48" s="1094">
        <f ca="1">C40+J29</f>
        <v>46005</v>
      </c>
      <c r="R48" s="1058" t="s">
        <v>1494</v>
      </c>
    </row>
    <row r="49" s="716" customFormat="1" ht="18" customHeight="1" spans="1:18">
      <c r="A49" s="881"/>
      <c r="B49" s="1017"/>
      <c r="C49" s="1000"/>
      <c r="D49" s="893"/>
      <c r="E49" s="910" t="s">
        <v>1381</v>
      </c>
      <c r="F49" s="872">
        <f ca="1">F7</f>
        <v>25022.71</v>
      </c>
      <c r="G49" s="986"/>
      <c r="H49" s="989"/>
      <c r="I49" s="1054" t="s">
        <v>1495</v>
      </c>
      <c r="J49" s="1059">
        <v>2017</v>
      </c>
      <c r="K49" s="1060" t="s">
        <v>1496</v>
      </c>
      <c r="L49" s="1061"/>
      <c r="M49" s="1850"/>
      <c r="O49" s="1057" t="s">
        <v>1497</v>
      </c>
      <c r="P49" s="1058" t="s">
        <v>1498</v>
      </c>
      <c r="Q49" s="1094" t="str">
        <f ca="1">J60</f>
        <v>0</v>
      </c>
      <c r="R49" s="1058" t="s">
        <v>1499</v>
      </c>
    </row>
    <row r="50" s="716" customFormat="1" ht="18" customHeight="1" spans="1:18">
      <c r="A50" s="881"/>
      <c r="B50" s="1017"/>
      <c r="C50" s="1000"/>
      <c r="D50" s="893"/>
      <c r="E50" s="910" t="s">
        <v>1382</v>
      </c>
      <c r="F50" s="872">
        <f ca="1">F8</f>
        <v>365</v>
      </c>
      <c r="G50" s="991"/>
      <c r="H50" s="989"/>
      <c r="I50" s="1054" t="s">
        <v>1500</v>
      </c>
      <c r="J50" s="1062">
        <f>SUMPRODUCT((I63:I65=J47)*(J62:L62=J48)*(J63:L65))</f>
        <v>60</v>
      </c>
      <c r="K50" s="1060" t="s">
        <v>1501</v>
      </c>
      <c r="L50" s="1061"/>
      <c r="M50" s="1850"/>
      <c r="O50" s="1063" t="s">
        <v>1502</v>
      </c>
      <c r="P50" s="1058" t="s">
        <v>1503</v>
      </c>
      <c r="Q50" s="1094">
        <f ca="1">C29</f>
        <v>16706</v>
      </c>
      <c r="R50" s="1058" t="s">
        <v>1494</v>
      </c>
    </row>
    <row r="51" s="716" customFormat="1" ht="18" customHeight="1" spans="1:18">
      <c r="A51" s="881"/>
      <c r="B51" s="1017"/>
      <c r="C51" s="1000"/>
      <c r="D51" s="893"/>
      <c r="E51" s="910" t="s">
        <v>1383</v>
      </c>
      <c r="F51" s="1832"/>
      <c r="H51" s="989"/>
      <c r="I51" s="1064" t="s">
        <v>1504</v>
      </c>
      <c r="J51" s="1065">
        <f>IF(J49="",J50,J49+J50-YEAR('数据-取费表'!B2))</f>
        <v>56</v>
      </c>
      <c r="K51" s="1054" t="s">
        <v>1505</v>
      </c>
      <c r="L51" s="1066">
        <f ca="1">ROUND(-PV(INDIRECT("'数据-取费表'!h"&amp;$G$1),J51,(C39-C13*J36),0),0)</f>
        <v>22941</v>
      </c>
      <c r="M51" s="1850"/>
      <c r="O51" s="1063" t="s">
        <v>1506</v>
      </c>
      <c r="P51" s="1058" t="s">
        <v>1507</v>
      </c>
      <c r="Q51" s="1095" t="e">
        <f ca="1">J58</f>
        <v>#VALUE!</v>
      </c>
      <c r="R51" s="1096"/>
    </row>
    <row r="52" s="716" customFormat="1" ht="18" customHeight="1" spans="1:18">
      <c r="A52" s="862" t="s">
        <v>1508</v>
      </c>
      <c r="B52" s="885" t="s">
        <v>1384</v>
      </c>
      <c r="C52" s="122">
        <f ca="1">ROUND(IF(F52="押一",C48/12*F11,IF(F52="押二",C48/12*2*F11,IF(F52="押三",C48/12*3*F11,C53*F11))),0)</f>
        <v>0</v>
      </c>
      <c r="D52" s="886" t="s">
        <v>1385</v>
      </c>
      <c r="E52" s="887" t="s">
        <v>1386</v>
      </c>
      <c r="F52" s="888"/>
      <c r="I52" s="1067" t="s">
        <v>1509</v>
      </c>
      <c r="J52" s="1068"/>
      <c r="K52" s="1067" t="s">
        <v>901</v>
      </c>
      <c r="L52" s="1068"/>
      <c r="M52" s="1850"/>
      <c r="O52" s="1063" t="s">
        <v>1510</v>
      </c>
      <c r="P52" s="1058" t="s">
        <v>1511</v>
      </c>
      <c r="Q52" s="1095">
        <f>J52</f>
        <v>0</v>
      </c>
      <c r="R52" s="1096"/>
    </row>
    <row r="53" s="716" customFormat="1" ht="39.75" customHeight="1" spans="1:18">
      <c r="A53" s="881"/>
      <c r="B53" s="891" t="s">
        <v>1388</v>
      </c>
      <c r="C53" s="892"/>
      <c r="D53" s="886"/>
      <c r="E53" s="887"/>
      <c r="F53" s="908"/>
      <c r="I53" s="1069" t="s">
        <v>1512</v>
      </c>
      <c r="J53" s="1070">
        <f ca="1">IF(M47="住宅",IF(D1="——",MAX(J51,L48),MAX(J51,L48-'数据-取费表'!B20)),IF(D1="——",MIN(J51,L48),MIN(J51,L48-'数据-取费表'!B20)))</f>
        <v>37.1</v>
      </c>
      <c r="K53" s="1851" t="s">
        <v>1513</v>
      </c>
      <c r="L53" s="1852"/>
      <c r="M53" s="1850"/>
      <c r="O53" s="1063" t="s">
        <v>1514</v>
      </c>
      <c r="P53" s="1058" t="s">
        <v>1515</v>
      </c>
      <c r="Q53" s="1094">
        <f ca="1">J53</f>
        <v>37.1</v>
      </c>
      <c r="R53" s="1058" t="s">
        <v>1516</v>
      </c>
    </row>
    <row r="54" s="716" customFormat="1" ht="18" customHeight="1" spans="1:18">
      <c r="A54" s="896" t="s">
        <v>1209</v>
      </c>
      <c r="B54" s="897" t="s">
        <v>1389</v>
      </c>
      <c r="C54" s="898"/>
      <c r="D54" s="886"/>
      <c r="E54" s="887"/>
      <c r="F54" s="908"/>
      <c r="I54" s="7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K54" s="1088"/>
      <c r="M54" s="1850"/>
      <c r="O54" s="1057" t="s">
        <v>1517</v>
      </c>
      <c r="P54" s="1058" t="s">
        <v>1518</v>
      </c>
      <c r="Q54" s="1094">
        <f ca="1">Q48+Q49</f>
        <v>46005</v>
      </c>
      <c r="R54" s="1096" t="s">
        <v>1519</v>
      </c>
    </row>
    <row r="55" s="716" customFormat="1" ht="18" customHeight="1" spans="1:18">
      <c r="A55" s="919">
        <v>2</v>
      </c>
      <c r="B55" s="1014" t="s">
        <v>1390</v>
      </c>
      <c r="C55" s="122">
        <f ca="1">C13</f>
        <v>16706</v>
      </c>
      <c r="D55" s="907"/>
      <c r="E55" s="907"/>
      <c r="F55" s="908"/>
      <c r="I55" s="1075" t="s">
        <v>1520</v>
      </c>
      <c r="J55" s="1076" t="e">
        <f ca="1">ROUND(IF(J47="钢混",J57/J50,1-(1-2%)*(J50-J57)/J50),3)</f>
        <v>#VALUE!</v>
      </c>
      <c r="K55" s="1077" t="s">
        <v>1521</v>
      </c>
      <c r="L55" s="1078"/>
      <c r="M55" s="1850"/>
      <c r="O55" s="1079" t="s">
        <v>1522</v>
      </c>
      <c r="P55" s="861"/>
      <c r="Q55" s="661"/>
      <c r="R55" s="861"/>
    </row>
    <row r="56" s="716" customFormat="1" ht="42.75" customHeight="1" spans="1:18">
      <c r="A56" s="1810"/>
      <c r="B56" s="1010" t="s">
        <v>1455</v>
      </c>
      <c r="C56" s="123">
        <f ca="1">C29</f>
        <v>16706</v>
      </c>
      <c r="D56" s="941"/>
      <c r="E56" s="910"/>
      <c r="F56" s="918"/>
      <c r="I56" s="1080" t="s">
        <v>1523</v>
      </c>
      <c r="J56" s="1081" t="s">
        <v>507</v>
      </c>
      <c r="K56" s="1054" t="s">
        <v>1524</v>
      </c>
      <c r="L56" s="710" t="str">
        <f ca="1">IF(L48&lt;J51,"——",L48-J51)</f>
        <v>——</v>
      </c>
      <c r="M56" s="1850"/>
      <c r="O56" s="1052" t="s">
        <v>1483</v>
      </c>
      <c r="P56" s="1053" t="s">
        <v>1484</v>
      </c>
      <c r="Q56" s="1093" t="s">
        <v>1485</v>
      </c>
      <c r="R56" s="1053" t="s">
        <v>1486</v>
      </c>
    </row>
    <row r="57" s="716" customFormat="1" ht="28.5" customHeight="1" spans="1:18">
      <c r="A57" s="919" t="s">
        <v>1398</v>
      </c>
      <c r="B57" s="1014" t="s">
        <v>1399</v>
      </c>
      <c r="C57" s="122">
        <f ca="1">ROUND(C58+C63+C64+C65,0)</f>
        <v>196</v>
      </c>
      <c r="D57" s="1011" t="s">
        <v>1400</v>
      </c>
      <c r="E57" s="125"/>
      <c r="F57" s="920"/>
      <c r="I57" s="1082" t="s">
        <v>1525</v>
      </c>
      <c r="J57" s="1083" t="str">
        <f ca="1">IF(OR(M47="住宅",J51&lt;L48,J56="是"),"——",J51-L48)</f>
        <v>——</v>
      </c>
      <c r="K57" s="1054" t="s">
        <v>1526</v>
      </c>
      <c r="L57" s="710" t="str">
        <f ca="1">IF(L48&lt;J51,"——",IF(L55="比较法",L49,IF(L55="基准地价",L50,L51)))</f>
        <v>——</v>
      </c>
      <c r="M57" s="1850"/>
      <c r="O57" s="1057" t="s">
        <v>1492</v>
      </c>
      <c r="P57" s="1058" t="s">
        <v>1493</v>
      </c>
      <c r="Q57" s="1094">
        <f ca="1">C40+J29</f>
        <v>46005</v>
      </c>
      <c r="R57" s="1058" t="s">
        <v>1494</v>
      </c>
    </row>
    <row r="58" s="716" customFormat="1" ht="28.5" customHeight="1" spans="1:18">
      <c r="A58" s="1806" t="s">
        <v>1145</v>
      </c>
      <c r="B58" s="910" t="s">
        <v>1405</v>
      </c>
      <c r="C58" s="940">
        <f ca="1">ROUND(IF(AND(项目基本情况!B11="自然人",项目基本情况!B10="北京市"),C48*F58/(1+'数据-取费表'!C42),C59+C60+C61),0)</f>
        <v>12</v>
      </c>
      <c r="D58" s="912" t="s">
        <v>1406</v>
      </c>
      <c r="E58" s="941" t="s">
        <v>1407</v>
      </c>
      <c r="F58" s="942" t="str">
        <f ca="1">IF(项目基本情况!B11="企业","——",IF('数据-取费表'!B10="住宅",IF(F48*F49*F50/12/(1+'数据-取费表'!F30)&gt;100000,4%,2.5%),IF(F48*F49*F50/12/(1+'数据-取费表'!F30)&gt;100000,12%,7%)))</f>
        <v>——</v>
      </c>
      <c r="I58" s="1082" t="s">
        <v>1527</v>
      </c>
      <c r="J58" s="1084" t="e">
        <f ca="1">IF(J55&lt;0.4,0.4,J55)</f>
        <v>#VALUE!</v>
      </c>
      <c r="K58" s="1054" t="s">
        <v>1528</v>
      </c>
      <c r="L58" s="710" t="e">
        <f ca="1">ROUND(POWER(1+L52,L47-L48)*(POWER(1+L52,L48)-1)/(POWER(1+L52,L47)-1),4)</f>
        <v>#DIV/0!</v>
      </c>
      <c r="M58" s="1850"/>
      <c r="O58" s="1057" t="s">
        <v>1497</v>
      </c>
      <c r="P58" s="1058" t="s">
        <v>1529</v>
      </c>
      <c r="Q58" s="1094">
        <f ca="1">L60</f>
        <v>0</v>
      </c>
      <c r="R58" s="1096" t="s">
        <v>1530</v>
      </c>
    </row>
    <row r="59" s="716" customFormat="1" ht="28.5" customHeight="1" spans="1:18">
      <c r="A59" s="1805" t="s">
        <v>1166</v>
      </c>
      <c r="B59" s="910" t="s">
        <v>1409</v>
      </c>
      <c r="C59" s="123">
        <f ca="1">ROUND(C47*F59/1.05,1)</f>
        <v>0</v>
      </c>
      <c r="D59" s="941" t="s">
        <v>1410</v>
      </c>
      <c r="E59" s="910" t="s">
        <v>1397</v>
      </c>
      <c r="F59" s="918">
        <f t="shared" ref="F59:F65" si="0">F32</f>
        <v>0.056</v>
      </c>
      <c r="I59" s="1082" t="s">
        <v>1531</v>
      </c>
      <c r="J59" s="1083" t="str">
        <f ca="1">IF(OR(M47="住宅",J51&lt;L48,J56="是"),"——",ROUND(C29*J58,0))</f>
        <v>——</v>
      </c>
      <c r="K59" s="1054" t="str">
        <f>IF(D1="——","建筑物剩余耐用年限下的土地年期修正系数Kn","建设期及建筑物耐用年限下的土地年期修正系数Kn")</f>
        <v>建筑物剩余耐用年限下的土地年期修正系数Kn</v>
      </c>
      <c r="L59" s="710" t="e">
        <f ca="1">ROUND(IF(D1="土地（套用方法）",POWER(1+L52,L47-(J51+'数据-取费表'!B20))*(POWER(1+L52,(J51+'数据-取费表'!B20))-1)/(POWER(1+L52,L47)-1),POWER(1+L52,L47-J51)*(POWER(1+L52,J51)-1)/(POWER(1+L52,L47)-1)),4)</f>
        <v>#DIV/0!</v>
      </c>
      <c r="M59" s="1850"/>
      <c r="O59" s="1063" t="s">
        <v>1502</v>
      </c>
      <c r="P59" s="1058" t="s">
        <v>1532</v>
      </c>
      <c r="Q59" s="1094">
        <f>IF(L55="比较法",L49,IF(L55="基准地价",L50,0))</f>
        <v>0</v>
      </c>
      <c r="R59" s="1058" t="s">
        <v>1494</v>
      </c>
    </row>
    <row r="60" s="716" customFormat="1" ht="18" customHeight="1" spans="1:18">
      <c r="A60" s="1805" t="s">
        <v>1170</v>
      </c>
      <c r="B60" s="910" t="s">
        <v>1413</v>
      </c>
      <c r="C60" s="123">
        <f ca="1">IF(D60="按租金收入计税",ROUND(C48*F60/(1+'数据-取费表'!C42),1),IF(D60="按房产原值计税",ROUND(C56*F60*0.7,1),INDIRECT("'数据-取费表'!Aj"&amp;$G$1)))</f>
        <v>0</v>
      </c>
      <c r="D60" s="941" t="str">
        <f>D33</f>
        <v>按租金收入计税</v>
      </c>
      <c r="E60" s="910" t="s">
        <v>1397</v>
      </c>
      <c r="F60" s="918">
        <f t="shared" si="0"/>
        <v>0.12</v>
      </c>
      <c r="I60" s="1085" t="s">
        <v>1533</v>
      </c>
      <c r="J60" s="1086" t="str">
        <f ca="1">IF(OR(M47="住宅",J51&lt;L48,J56="是"),"0",ROUND(J59/(1+J52)^J53,0))</f>
        <v>0</v>
      </c>
      <c r="K60" s="1087" t="s">
        <v>1534</v>
      </c>
      <c r="L60" s="1086">
        <f ca="1">IF(OR(M47="住宅",L48&lt;J51),0,ROUND(L57*(L58/L59-1),0))</f>
        <v>0</v>
      </c>
      <c r="M60" s="1850"/>
      <c r="O60" s="1063" t="s">
        <v>1506</v>
      </c>
      <c r="P60" s="1058" t="s">
        <v>1535</v>
      </c>
      <c r="Q60" s="1095">
        <f>L52</f>
        <v>0</v>
      </c>
      <c r="R60" s="1096"/>
    </row>
    <row r="61" s="716" customFormat="1" ht="18" customHeight="1" spans="1:18">
      <c r="A61" s="1808" t="s">
        <v>1173</v>
      </c>
      <c r="B61" s="948" t="s">
        <v>1417</v>
      </c>
      <c r="C61" s="949">
        <f ca="1">ROUND(F61*F62/10000,1)</f>
        <v>11.5</v>
      </c>
      <c r="D61" s="950" t="s">
        <v>1418</v>
      </c>
      <c r="E61" s="910" t="s">
        <v>1419</v>
      </c>
      <c r="F61" s="928">
        <f t="shared" si="0"/>
        <v>12</v>
      </c>
      <c r="K61" s="1088"/>
      <c r="O61" s="1063" t="s">
        <v>1510</v>
      </c>
      <c r="P61" s="1058" t="s">
        <v>1536</v>
      </c>
      <c r="Q61" s="1094" t="e">
        <f ca="1">L58</f>
        <v>#DIV/0!</v>
      </c>
      <c r="R61" s="1096" t="s">
        <v>1537</v>
      </c>
    </row>
    <row r="62" s="716" customFormat="1" ht="15.75" spans="1:18">
      <c r="A62" s="951"/>
      <c r="B62" s="952"/>
      <c r="C62" s="953"/>
      <c r="D62" s="954"/>
      <c r="E62" s="910" t="s">
        <v>1423</v>
      </c>
      <c r="F62" s="872">
        <f ca="1" t="shared" si="0"/>
        <v>9546.55</v>
      </c>
      <c r="I62" s="1089" t="s">
        <v>1538</v>
      </c>
      <c r="J62" s="1090" t="s">
        <v>1539</v>
      </c>
      <c r="K62" s="1090" t="s">
        <v>1540</v>
      </c>
      <c r="L62" s="1090" t="s">
        <v>1490</v>
      </c>
      <c r="M62" s="1091" t="s">
        <v>1541</v>
      </c>
      <c r="O62" s="1063" t="s">
        <v>1514</v>
      </c>
      <c r="P62" s="1058" t="str">
        <f>K59</f>
        <v>建筑物剩余耐用年限下的土地年期修正系数Kn</v>
      </c>
      <c r="Q62" s="1094" t="e">
        <f ca="1">L59</f>
        <v>#DIV/0!</v>
      </c>
      <c r="R62" s="1096" t="s">
        <v>1542</v>
      </c>
    </row>
    <row r="63" s="716" customFormat="1" ht="15.75" spans="1:18">
      <c r="A63" s="1806" t="s">
        <v>1147</v>
      </c>
      <c r="B63" s="910" t="s">
        <v>1426</v>
      </c>
      <c r="C63" s="123">
        <f ca="1">ROUND(C56*F63,1)</f>
        <v>167.1</v>
      </c>
      <c r="D63" s="941" t="s">
        <v>1463</v>
      </c>
      <c r="E63" s="910" t="s">
        <v>1397</v>
      </c>
      <c r="F63" s="955">
        <f ca="1" t="shared" si="0"/>
        <v>0.01</v>
      </c>
      <c r="I63" s="1089" t="s">
        <v>1543</v>
      </c>
      <c r="J63" s="1090">
        <v>70</v>
      </c>
      <c r="K63" s="1090">
        <v>50</v>
      </c>
      <c r="L63" s="1090">
        <v>80</v>
      </c>
      <c r="M63" s="1092">
        <v>0.02</v>
      </c>
      <c r="O63" s="1057" t="s">
        <v>1517</v>
      </c>
      <c r="P63" s="1058" t="s">
        <v>1518</v>
      </c>
      <c r="Q63" s="1094">
        <f ca="1">Q57+Q58</f>
        <v>46005</v>
      </c>
      <c r="R63" s="1096" t="s">
        <v>1519</v>
      </c>
    </row>
    <row r="64" s="716" customFormat="1" ht="16.5" spans="1:18">
      <c r="A64" s="1806" t="s">
        <v>1209</v>
      </c>
      <c r="B64" s="910" t="s">
        <v>1430</v>
      </c>
      <c r="C64" s="123">
        <f ca="1">ROUND(C55*F64,1)</f>
        <v>16.7</v>
      </c>
      <c r="D64" s="941" t="s">
        <v>1431</v>
      </c>
      <c r="E64" s="910" t="s">
        <v>1397</v>
      </c>
      <c r="F64" s="956">
        <f ca="1" t="shared" si="0"/>
        <v>0.001</v>
      </c>
      <c r="I64" s="1089" t="s">
        <v>1481</v>
      </c>
      <c r="J64" s="1090">
        <v>50</v>
      </c>
      <c r="K64" s="1090">
        <v>35</v>
      </c>
      <c r="L64" s="1090">
        <v>60</v>
      </c>
      <c r="M64" s="709">
        <v>0</v>
      </c>
      <c r="O64" s="1079" t="s">
        <v>1544</v>
      </c>
      <c r="P64" s="861"/>
      <c r="Q64" s="661"/>
      <c r="R64" s="861"/>
    </row>
    <row r="65" s="716" customFormat="1" ht="15.75" spans="1:18">
      <c r="A65" s="1806" t="s">
        <v>1424</v>
      </c>
      <c r="B65" s="910" t="s">
        <v>1415</v>
      </c>
      <c r="C65" s="123">
        <f ca="1">ROUND(C47*F65,1)</f>
        <v>0</v>
      </c>
      <c r="D65" s="941" t="s">
        <v>1434</v>
      </c>
      <c r="E65" s="910" t="s">
        <v>1397</v>
      </c>
      <c r="F65" s="883">
        <f ca="1" t="shared" si="0"/>
        <v>0.01</v>
      </c>
      <c r="I65" s="1089" t="s">
        <v>1545</v>
      </c>
      <c r="J65" s="1090">
        <v>40</v>
      </c>
      <c r="K65" s="1090">
        <v>30</v>
      </c>
      <c r="L65" s="1090">
        <v>50</v>
      </c>
      <c r="M65" s="1092">
        <v>0.02</v>
      </c>
      <c r="O65" s="1052" t="s">
        <v>1483</v>
      </c>
      <c r="P65" s="1053" t="s">
        <v>1484</v>
      </c>
      <c r="Q65" s="1093" t="s">
        <v>1485</v>
      </c>
      <c r="R65" s="1053" t="s">
        <v>1486</v>
      </c>
    </row>
    <row r="66" s="716" customFormat="1" ht="15.75" spans="1:18">
      <c r="A66" s="919" t="s">
        <v>1437</v>
      </c>
      <c r="B66" s="1016" t="s">
        <v>1438</v>
      </c>
      <c r="C66" s="122">
        <f ca="1">C47-C57</f>
        <v>-196</v>
      </c>
      <c r="D66" s="912" t="s">
        <v>1439</v>
      </c>
      <c r="E66" s="962"/>
      <c r="F66" s="963"/>
      <c r="K66" s="1088"/>
      <c r="O66" s="1057" t="s">
        <v>1492</v>
      </c>
      <c r="P66" s="1058" t="s">
        <v>1493</v>
      </c>
      <c r="Q66" s="1094">
        <f ca="1">C40+J29</f>
        <v>46005</v>
      </c>
      <c r="R66" s="1058" t="s">
        <v>1494</v>
      </c>
    </row>
    <row r="67" s="716" customFormat="1" ht="20.25" spans="1:18">
      <c r="A67" s="862" t="s">
        <v>1443</v>
      </c>
      <c r="B67" s="1818" t="s">
        <v>1468</v>
      </c>
      <c r="C67" s="999">
        <f ca="1">ROUND(C66*(1-((1+F69)/(1+F67))^F68)/(F67-F69),0)</f>
        <v>-3578</v>
      </c>
      <c r="D67" s="950" t="s">
        <v>1445</v>
      </c>
      <c r="E67" s="910" t="s">
        <v>1546</v>
      </c>
      <c r="F67" s="883">
        <f ca="1">F40</f>
        <v>0.05</v>
      </c>
      <c r="K67" s="1088"/>
      <c r="O67" s="1057" t="s">
        <v>1497</v>
      </c>
      <c r="P67" s="1058" t="s">
        <v>1529</v>
      </c>
      <c r="Q67" s="1094">
        <f ca="1">L60</f>
        <v>0</v>
      </c>
      <c r="R67" s="1096" t="s">
        <v>1530</v>
      </c>
    </row>
    <row r="68" ht="24" spans="1:18">
      <c r="A68" s="881"/>
      <c r="B68" s="1017"/>
      <c r="C68" s="1000"/>
      <c r="D68" s="1018" t="s">
        <v>1449</v>
      </c>
      <c r="E68" s="910" t="s">
        <v>1450</v>
      </c>
      <c r="F68" s="1019">
        <f>F41</f>
        <v>50</v>
      </c>
      <c r="O68" s="1063" t="s">
        <v>1502</v>
      </c>
      <c r="P68" s="1058" t="s">
        <v>1532</v>
      </c>
      <c r="Q68" s="1098">
        <f ca="1">L51</f>
        <v>22941</v>
      </c>
      <c r="R68" s="1099" t="s">
        <v>1547</v>
      </c>
    </row>
    <row r="69" ht="20.25" spans="1:18">
      <c r="A69" s="890"/>
      <c r="B69" s="1020"/>
      <c r="C69" s="905"/>
      <c r="D69" s="954"/>
      <c r="E69" s="910" t="s">
        <v>1453</v>
      </c>
      <c r="F69" s="1832"/>
      <c r="O69" s="1063" t="s">
        <v>1506</v>
      </c>
      <c r="P69" s="1097" t="s">
        <v>1548</v>
      </c>
      <c r="Q69" s="1094">
        <f ca="1">ROUND(Q70-Q71*Q72,0)</f>
        <v>1267</v>
      </c>
      <c r="R69" s="1096"/>
    </row>
    <row r="70" ht="15.75" spans="1:18">
      <c r="A70" s="935" t="s">
        <v>1456</v>
      </c>
      <c r="B70" s="1819" t="s">
        <v>1472</v>
      </c>
      <c r="C70" s="1022">
        <f ca="1">ROUND(C67*10000/F70,0)</f>
        <v>-1430</v>
      </c>
      <c r="D70" s="1023" t="s">
        <v>1473</v>
      </c>
      <c r="E70" s="1024" t="s">
        <v>1474</v>
      </c>
      <c r="F70" s="980">
        <f ca="1">F43</f>
        <v>25022.71</v>
      </c>
      <c r="O70" s="1063" t="s">
        <v>1549</v>
      </c>
      <c r="P70" s="1097" t="s">
        <v>1550</v>
      </c>
      <c r="Q70" s="1094">
        <f ca="1">C39</f>
        <v>2520</v>
      </c>
      <c r="R70" s="1058" t="s">
        <v>1494</v>
      </c>
    </row>
    <row r="71" ht="15.75" spans="15:18">
      <c r="O71" s="1063" t="s">
        <v>1551</v>
      </c>
      <c r="P71" s="1097" t="s">
        <v>1552</v>
      </c>
      <c r="Q71" s="1094">
        <f ca="1">C13</f>
        <v>16706</v>
      </c>
      <c r="R71" s="1058" t="s">
        <v>1494</v>
      </c>
    </row>
    <row r="72" ht="15.75" spans="15:18">
      <c r="O72" s="1063" t="s">
        <v>1553</v>
      </c>
      <c r="P72" s="1097" t="s">
        <v>1554</v>
      </c>
      <c r="Q72" s="1095">
        <f ca="1">J36</f>
        <v>0.075</v>
      </c>
      <c r="R72" s="1096"/>
    </row>
    <row r="73" ht="15.75" spans="15:18">
      <c r="O73" s="1063" t="s">
        <v>1510</v>
      </c>
      <c r="P73" s="1058" t="s">
        <v>1535</v>
      </c>
      <c r="Q73" s="1095">
        <f>L52</f>
        <v>0</v>
      </c>
      <c r="R73" s="1096"/>
    </row>
    <row r="74" ht="20.25" spans="15:18">
      <c r="O74" s="1063" t="s">
        <v>1514</v>
      </c>
      <c r="P74" s="1058" t="s">
        <v>1536</v>
      </c>
      <c r="Q74" s="1094" t="e">
        <f ca="1">L58</f>
        <v>#DIV/0!</v>
      </c>
      <c r="R74" s="1096" t="s">
        <v>1537</v>
      </c>
    </row>
    <row r="75" ht="15.75" spans="15:18">
      <c r="O75" s="1063" t="s">
        <v>1555</v>
      </c>
      <c r="P75" s="1058" t="str">
        <f>K59</f>
        <v>建筑物剩余耐用年限下的土地年期修正系数Kn</v>
      </c>
      <c r="Q75" s="1094" t="e">
        <f ca="1">L59</f>
        <v>#DIV/0!</v>
      </c>
      <c r="R75" s="1096" t="s">
        <v>1542</v>
      </c>
    </row>
    <row r="76" ht="15.75" spans="15:18">
      <c r="O76" s="1057" t="s">
        <v>1517</v>
      </c>
      <c r="P76" s="1058" t="s">
        <v>1518</v>
      </c>
      <c r="Q76" s="1094">
        <f ca="1">Q66+Q67</f>
        <v>46005</v>
      </c>
      <c r="R76" s="1096" t="s">
        <v>1519</v>
      </c>
    </row>
  </sheetData>
  <sheetProtection formatCells="0" formatColumns="0" formatRows="0"/>
  <mergeCells count="3">
    <mergeCell ref="K53:L53"/>
    <mergeCell ref="B6:B9"/>
    <mergeCell ref="I6:I9"/>
  </mergeCells>
  <conditionalFormatting sqref="C11">
    <cfRule type="expression" dxfId="13" priority="4">
      <formula>$F$10="自定义"</formula>
    </cfRule>
  </conditionalFormatting>
  <conditionalFormatting sqref="J11">
    <cfRule type="expression" dxfId="13" priority="2">
      <formula>$M$10="自定义"</formula>
    </cfRule>
  </conditionalFormatting>
  <conditionalFormatting sqref="C53">
    <cfRule type="expression" dxfId="13" priority="1">
      <formula>$F$52="自定义"</formula>
    </cfRule>
  </conditionalFormatting>
  <conditionalFormatting sqref="I55">
    <cfRule type="expression" dxfId="14" priority="8">
      <formula>$J$51&gt;$L$48</formula>
    </cfRule>
  </conditionalFormatting>
  <conditionalFormatting sqref="K55">
    <cfRule type="expression" dxfId="14" priority="7">
      <formula>$L$48&gt;$J$51</formula>
    </cfRule>
  </conditionalFormatting>
  <conditionalFormatting sqref="I60">
    <cfRule type="expression" dxfId="14" priority="6">
      <formula>$J$51&gt;$L$48</formula>
    </cfRule>
  </conditionalFormatting>
  <conditionalFormatting sqref="K60">
    <cfRule type="expression" dxfId="14" priority="5">
      <formula>$L$48&gt;$J$51</formula>
    </cfRule>
  </conditionalFormatting>
  <dataValidations count="8">
    <dataValidation type="list" allowBlank="1" showInputMessage="1" showErrorMessage="1" sqref="D1">
      <formula1>"土地（套用方法）,——"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2">
      <formula1>"押一,押二,押三,自定义"</formula1>
    </dataValidation>
    <dataValidation type="list" allowBlank="1" showInputMessage="1" showErrorMessage="1" sqref="C1:C3">
      <formula1>项目类型</formula1>
    </dataValidation>
    <dataValidation type="list" allowBlank="1" showInputMessage="1" showErrorMessage="1" sqref="J56">
      <formula1>判定</formula1>
    </dataValidation>
    <dataValidation type="list" allowBlank="1" showInputMessage="1" showErrorMessage="1" sqref="K19">
      <formula1>"按租金收入计税,按房产原值计税"</formula1>
    </dataValidation>
    <dataValidation type="list" allowBlank="1" showInputMessage="1" showErrorMessage="1" sqref="D33">
      <formula1>"按租金收入计税,按房产原值计税,按票据"</formula1>
    </dataValidation>
    <dataValidation type="list" allowBlank="1" showInputMessage="1" showErrorMessage="1" sqref="J47">
      <formula1>"钢,钢混,砖混"</formula1>
    </dataValidation>
  </dataValidations>
  <pageMargins left="0.7" right="0.7" top="0.75" bottom="0.75" header="0.3" footer="0.3"/>
  <pageSetup paperSize="9" scale="62" orientation="landscape"/>
  <headerFooter/>
  <ignoredErrors>
    <ignoredError sqref="F49:F50 F70 F67:F68 F62:F65" evalError="1"/>
  </ignoredError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76"/>
  <sheetViews>
    <sheetView view="pageBreakPreview" zoomScale="60" zoomScaleNormal="60" workbookViewId="0">
      <selection activeCell="E56" sqref="E56"/>
    </sheetView>
  </sheetViews>
  <sheetFormatPr defaultColWidth="9" defaultRowHeight="15"/>
  <cols>
    <col min="1" max="1" width="9" style="834" customWidth="1"/>
    <col min="2" max="2" width="20.625" style="833" customWidth="1"/>
    <col min="3" max="3" width="11.875" style="833" customWidth="1"/>
    <col min="4" max="4" width="40.5" style="834" customWidth="1"/>
    <col min="5" max="5" width="15.75" style="834" customWidth="1"/>
    <col min="6" max="6" width="10.625" style="834" customWidth="1"/>
    <col min="7" max="7" width="4.875" style="834" customWidth="1"/>
    <col min="8" max="8" width="8.5" style="834" customWidth="1"/>
    <col min="9" max="9" width="21.25" style="834" customWidth="1"/>
    <col min="10" max="10" width="12.25" style="834" customWidth="1"/>
    <col min="11" max="11" width="40.125" style="835" customWidth="1"/>
    <col min="12" max="12" width="18.375" style="834" customWidth="1"/>
    <col min="13" max="13" width="13" style="834" customWidth="1"/>
    <col min="14" max="14" width="9.5" style="716" customWidth="1"/>
    <col min="15" max="15" width="5.875" style="716" customWidth="1"/>
    <col min="16" max="16" width="27.625" style="716" customWidth="1"/>
    <col min="17" max="17" width="13.75" style="993" customWidth="1"/>
    <col min="18" max="18" width="23.5" style="716" customWidth="1"/>
    <col min="19" max="19" width="1.5" style="716" customWidth="1"/>
    <col min="20" max="33" width="9" style="716"/>
    <col min="34" max="16384" width="9" style="834"/>
  </cols>
  <sheetData>
    <row r="1" s="830" customFormat="1" ht="20.25" spans="1:33">
      <c r="A1" s="1790" t="s">
        <v>1367</v>
      </c>
      <c r="B1" s="837"/>
      <c r="C1" s="1791" t="s">
        <v>378</v>
      </c>
      <c r="D1" s="1792" t="s">
        <v>138</v>
      </c>
      <c r="E1" s="840" t="s">
        <v>605</v>
      </c>
      <c r="F1" s="841" t="e">
        <f ca="1">J53</f>
        <v>#N/A</v>
      </c>
      <c r="G1" s="1793" t="e">
        <f>MATCH(C1,'数据-取费表'!A6:A16,0)+5</f>
        <v>#N/A</v>
      </c>
      <c r="H1" s="839"/>
      <c r="I1" s="994"/>
      <c r="J1" s="994"/>
      <c r="K1" s="995"/>
      <c r="L1" s="994"/>
      <c r="M1" s="994"/>
      <c r="N1" s="996"/>
      <c r="O1" s="996"/>
      <c r="P1" s="996"/>
      <c r="Q1" s="1853"/>
      <c r="R1" s="996"/>
      <c r="S1" s="996"/>
      <c r="T1" s="996"/>
      <c r="U1" s="996"/>
      <c r="V1" s="996"/>
      <c r="W1" s="996"/>
      <c r="X1" s="996"/>
      <c r="Y1" s="996"/>
      <c r="Z1" s="996"/>
      <c r="AA1" s="996"/>
      <c r="AB1" s="996"/>
      <c r="AC1" s="996"/>
      <c r="AD1" s="996"/>
      <c r="AE1" s="996"/>
      <c r="AF1" s="996"/>
      <c r="AG1" s="996"/>
    </row>
    <row r="2" ht="18" customHeight="1" spans="1:13">
      <c r="A2" s="211" t="s">
        <v>1202</v>
      </c>
      <c r="B2" s="121" t="e">
        <f ca="1">C40+J29+L46</f>
        <v>#N/A</v>
      </c>
      <c r="C2" s="1794"/>
      <c r="D2" s="1795"/>
      <c r="E2" s="1796"/>
      <c r="F2" s="1796"/>
      <c r="G2" s="1797"/>
      <c r="H2" s="997"/>
      <c r="I2" s="997"/>
      <c r="J2" s="997"/>
      <c r="K2" s="998"/>
      <c r="L2" s="997"/>
      <c r="M2" s="997"/>
    </row>
    <row r="3" ht="18" customHeight="1" spans="1:13">
      <c r="A3" s="1798" t="s">
        <v>1368</v>
      </c>
      <c r="B3" s="1799">
        <f ca="1">IF(ISERROR(B2*10000/F43),0,ROUND(B2*10000/F43,0))</f>
        <v>0</v>
      </c>
      <c r="C3" s="1794"/>
      <c r="D3" s="1795"/>
      <c r="E3" s="1796"/>
      <c r="F3" s="1796"/>
      <c r="G3" s="1797"/>
      <c r="H3" s="852" t="s">
        <v>1369</v>
      </c>
      <c r="I3" s="849"/>
      <c r="J3" s="849"/>
      <c r="K3" s="1833"/>
      <c r="L3" s="849"/>
      <c r="M3" s="849"/>
    </row>
    <row r="4" ht="18" customHeight="1" spans="1:13">
      <c r="A4" s="1800" t="s">
        <v>1370</v>
      </c>
      <c r="B4" s="1801" t="s">
        <v>1371</v>
      </c>
      <c r="C4" s="1801" t="s">
        <v>1372</v>
      </c>
      <c r="D4" s="1801" t="s">
        <v>1373</v>
      </c>
      <c r="E4" s="859" t="s">
        <v>1374</v>
      </c>
      <c r="F4" s="860"/>
      <c r="G4" s="938"/>
      <c r="H4" s="1800" t="s">
        <v>1370</v>
      </c>
      <c r="I4" s="1801" t="s">
        <v>1371</v>
      </c>
      <c r="J4" s="1801" t="s">
        <v>1372</v>
      </c>
      <c r="K4" s="1801" t="s">
        <v>1373</v>
      </c>
      <c r="L4" s="859" t="s">
        <v>1374</v>
      </c>
      <c r="M4" s="860"/>
    </row>
    <row r="5" ht="18" customHeight="1" spans="1:13">
      <c r="A5" s="862">
        <v>1</v>
      </c>
      <c r="B5" s="863" t="s">
        <v>1375</v>
      </c>
      <c r="C5" s="1802" t="e">
        <f ca="1">C6+C10+C12</f>
        <v>#N/A</v>
      </c>
      <c r="D5" s="864" t="s">
        <v>1376</v>
      </c>
      <c r="E5" s="865"/>
      <c r="F5" s="866"/>
      <c r="G5" s="938"/>
      <c r="H5" s="862">
        <v>1</v>
      </c>
      <c r="I5" s="863" t="s">
        <v>1375</v>
      </c>
      <c r="J5" s="1802" t="e">
        <f ca="1">J6+J10+J12</f>
        <v>#N/A</v>
      </c>
      <c r="K5" s="864" t="s">
        <v>1376</v>
      </c>
      <c r="L5" s="865"/>
      <c r="M5" s="866"/>
    </row>
    <row r="6" ht="18" customHeight="1" spans="1:13">
      <c r="A6" s="867" t="s">
        <v>1145</v>
      </c>
      <c r="B6" s="868" t="s">
        <v>1377</v>
      </c>
      <c r="C6" s="999" t="e">
        <f ca="1">ROUND(F6*F8*F7*(1-F9)/10000,0)</f>
        <v>#N/A</v>
      </c>
      <c r="D6" s="1803" t="s">
        <v>1378</v>
      </c>
      <c r="E6" s="910" t="s">
        <v>1379</v>
      </c>
      <c r="F6" s="872" t="e">
        <f ca="1">INDIRECT("'数据-取费表'!u"&amp;$G$1)</f>
        <v>#N/A</v>
      </c>
      <c r="G6" s="938"/>
      <c r="H6" s="873" t="s">
        <v>1145</v>
      </c>
      <c r="I6" s="868" t="s">
        <v>1377</v>
      </c>
      <c r="J6" s="999" t="e">
        <f ca="1">ROUND(M6*M8*M7*(1-M9)/10000,0)</f>
        <v>#N/A</v>
      </c>
      <c r="K6" s="948" t="s">
        <v>1380</v>
      </c>
      <c r="L6" s="910" t="s">
        <v>1379</v>
      </c>
      <c r="M6" s="872" t="e">
        <f ca="1">INDIRECT("'数据-取费表'!z"&amp;$G$1)</f>
        <v>#N/A</v>
      </c>
    </row>
    <row r="7" ht="18" customHeight="1" spans="1:13">
      <c r="A7" s="874"/>
      <c r="B7" s="875"/>
      <c r="C7" s="1000"/>
      <c r="D7" s="893"/>
      <c r="E7" s="910" t="s">
        <v>1381</v>
      </c>
      <c r="F7" s="872" t="e">
        <f ca="1">IF(INDIRECT("'数据-取费表'!ah"&amp;$G$1)="",INDIRECT("'数据-取费表'!k"&amp;$G$1),INDIRECT("'数据-取费表'!ah"&amp;$G$1))</f>
        <v>#N/A</v>
      </c>
      <c r="G7" s="938"/>
      <c r="H7" s="878"/>
      <c r="I7" s="875"/>
      <c r="J7" s="1000"/>
      <c r="K7" s="893"/>
      <c r="L7" s="910" t="s">
        <v>1381</v>
      </c>
      <c r="M7" s="872" t="e">
        <f ca="1">F7</f>
        <v>#N/A</v>
      </c>
    </row>
    <row r="8" ht="18" customHeight="1" spans="1:13">
      <c r="A8" s="879"/>
      <c r="B8" s="880"/>
      <c r="C8" s="1000"/>
      <c r="D8" s="893"/>
      <c r="E8" s="910" t="s">
        <v>1382</v>
      </c>
      <c r="F8" s="872" t="e">
        <f ca="1">INDIRECT("'数据-取费表'!ai"&amp;$G$1)</f>
        <v>#N/A</v>
      </c>
      <c r="G8" s="938"/>
      <c r="H8" s="878"/>
      <c r="I8" s="880"/>
      <c r="J8" s="1000"/>
      <c r="K8" s="893"/>
      <c r="L8" s="910" t="s">
        <v>1382</v>
      </c>
      <c r="M8" s="872" t="e">
        <f ca="1">INDIRECT("'数据-取费表'!ai"&amp;$G$1)</f>
        <v>#N/A</v>
      </c>
    </row>
    <row r="9" ht="18" customHeight="1" spans="1:13">
      <c r="A9" s="881"/>
      <c r="B9" s="882"/>
      <c r="C9" s="1000"/>
      <c r="D9" s="893"/>
      <c r="E9" s="910" t="s">
        <v>1383</v>
      </c>
      <c r="F9" s="883" t="e">
        <f ca="1">INDIRECT("'数据-取费表'!w"&amp;$G$1)</f>
        <v>#N/A</v>
      </c>
      <c r="G9" s="938"/>
      <c r="H9" s="884"/>
      <c r="I9" s="880"/>
      <c r="J9" s="1000"/>
      <c r="K9" s="893"/>
      <c r="L9" s="907" t="s">
        <v>1383</v>
      </c>
      <c r="M9" s="894" t="e">
        <f ca="1">INDIRECT("'数据-取费表'!ab"&amp;$G$1)</f>
        <v>#N/A</v>
      </c>
    </row>
    <row r="10" ht="18" customHeight="1" spans="1:13">
      <c r="A10" s="867" t="s">
        <v>1147</v>
      </c>
      <c r="B10" s="885" t="s">
        <v>1384</v>
      </c>
      <c r="C10" s="122">
        <f ca="1">ROUND(IF(F10="押一",C6/12*F11,IF(F10="押二",C6/12*2*F11,IF(F10="押三",C6/12*3*F11,C11*F11))),0)</f>
        <v>0</v>
      </c>
      <c r="D10" s="886" t="s">
        <v>1385</v>
      </c>
      <c r="E10" s="887" t="s">
        <v>1386</v>
      </c>
      <c r="F10" s="888"/>
      <c r="G10" s="938"/>
      <c r="H10" s="889" t="s">
        <v>1147</v>
      </c>
      <c r="I10" s="1001" t="s">
        <v>1384</v>
      </c>
      <c r="J10" s="999">
        <f ca="1">ROUND(IF(M10="押一",J6/12*M11,IF(M10="押二",J6/12*2*M11,IF(M10="押三",J6/12*3*M11,J11*M11))),0)</f>
        <v>0</v>
      </c>
      <c r="K10" s="886" t="s">
        <v>1385</v>
      </c>
      <c r="L10" s="887" t="s">
        <v>1386</v>
      </c>
      <c r="M10" s="888"/>
    </row>
    <row r="11" ht="18" customHeight="1" spans="1:13">
      <c r="A11" s="890"/>
      <c r="B11" s="891" t="s">
        <v>1388</v>
      </c>
      <c r="C11" s="892"/>
      <c r="D11" s="893"/>
      <c r="E11" s="887" t="s">
        <v>653</v>
      </c>
      <c r="F11" s="894">
        <f ca="1">'数据-取费表'!B39</f>
        <v>0.015</v>
      </c>
      <c r="G11" s="938"/>
      <c r="H11" s="895"/>
      <c r="I11" s="891" t="s">
        <v>1388</v>
      </c>
      <c r="J11" s="892"/>
      <c r="K11" s="1002"/>
      <c r="L11" s="887" t="s">
        <v>653</v>
      </c>
      <c r="M11" s="1003">
        <f ca="1">'数据-取费表'!B39</f>
        <v>0.015</v>
      </c>
    </row>
    <row r="12" ht="18" customHeight="1" spans="1:13">
      <c r="A12" s="896" t="s">
        <v>1209</v>
      </c>
      <c r="B12" s="897" t="s">
        <v>1389</v>
      </c>
      <c r="C12" s="898"/>
      <c r="D12" s="899"/>
      <c r="E12" s="900"/>
      <c r="F12" s="901"/>
      <c r="G12" s="938"/>
      <c r="H12" s="902" t="s">
        <v>1209</v>
      </c>
      <c r="I12" s="1004" t="s">
        <v>1389</v>
      </c>
      <c r="J12" s="1005"/>
      <c r="K12" s="899"/>
      <c r="L12" s="900"/>
      <c r="M12" s="1006"/>
    </row>
    <row r="13" ht="18" customHeight="1" spans="1:13">
      <c r="A13" s="903">
        <v>2</v>
      </c>
      <c r="B13" s="904" t="s">
        <v>1390</v>
      </c>
      <c r="C13" s="905" t="e">
        <f ca="1">ROUND(C29*F13,0)</f>
        <v>#N/A</v>
      </c>
      <c r="D13" s="906" t="s">
        <v>1391</v>
      </c>
      <c r="E13" s="906" t="s">
        <v>1392</v>
      </c>
      <c r="F13" s="1804" t="e">
        <f ca="1">INDIRECT("'数据-取费表'!y"&amp;$G$1)</f>
        <v>#N/A</v>
      </c>
      <c r="G13" s="938"/>
      <c r="H13" s="903">
        <v>2</v>
      </c>
      <c r="I13" s="904" t="s">
        <v>1390</v>
      </c>
      <c r="J13" s="1007" t="e">
        <f ca="1">ROUND(J14*J15,0)</f>
        <v>#N/A</v>
      </c>
      <c r="K13" s="936" t="s">
        <v>1393</v>
      </c>
      <c r="L13" s="1834"/>
      <c r="M13" s="1835"/>
    </row>
    <row r="14" ht="18" customHeight="1" spans="1:13">
      <c r="A14" s="1805" t="s">
        <v>1166</v>
      </c>
      <c r="B14" s="910" t="s">
        <v>1216</v>
      </c>
      <c r="C14" s="911" t="e">
        <f ca="1">INDIRECT("'数据-取费表'!m"&amp;$G$1)+INDIRECT("'数据-取费表'!t"&amp;$G$1)</f>
        <v>#N/A</v>
      </c>
      <c r="D14" s="912" t="s">
        <v>1394</v>
      </c>
      <c r="E14" s="913"/>
      <c r="F14" s="914"/>
      <c r="G14" s="938"/>
      <c r="H14" s="1806" t="s">
        <v>1145</v>
      </c>
      <c r="I14" s="1010" t="s">
        <v>1395</v>
      </c>
      <c r="J14" s="123" t="e">
        <f ca="1">C29</f>
        <v>#N/A</v>
      </c>
      <c r="K14" s="1011"/>
      <c r="L14" s="1008"/>
      <c r="M14" s="1009"/>
    </row>
    <row r="15" s="831" customFormat="1" ht="18" customHeight="1" spans="1:33">
      <c r="A15" s="1805" t="s">
        <v>1170</v>
      </c>
      <c r="B15" s="910" t="s">
        <v>1218</v>
      </c>
      <c r="C15" s="123" t="e">
        <f ca="1">ROUND(C14*F15,0)</f>
        <v>#N/A</v>
      </c>
      <c r="D15" s="915" t="s">
        <v>1396</v>
      </c>
      <c r="E15" s="915" t="s">
        <v>1397</v>
      </c>
      <c r="F15" s="916">
        <f>'数据-取费表'!B33</f>
        <v>0.03</v>
      </c>
      <c r="G15" s="1807"/>
      <c r="H15" s="902" t="s">
        <v>1147</v>
      </c>
      <c r="I15" s="933" t="s">
        <v>1392</v>
      </c>
      <c r="J15" s="1836" t="e">
        <f ca="1">INDIRECT("'数据-取费表'!ad"&amp;$G$1)</f>
        <v>#N/A</v>
      </c>
      <c r="K15" s="1837"/>
      <c r="L15" s="1838"/>
      <c r="M15" s="1839"/>
      <c r="N15" s="1013"/>
      <c r="O15" s="1013"/>
      <c r="P15" s="1013"/>
      <c r="Q15" s="1854"/>
      <c r="R15" s="1013"/>
      <c r="S15" s="1013"/>
      <c r="T15" s="1013"/>
      <c r="U15" s="1013"/>
      <c r="V15" s="1013"/>
      <c r="W15" s="1013"/>
      <c r="X15" s="1013"/>
      <c r="Y15" s="1013"/>
      <c r="Z15" s="1013"/>
      <c r="AA15" s="1013"/>
      <c r="AB15" s="1013"/>
      <c r="AC15" s="1013"/>
      <c r="AD15" s="1013"/>
      <c r="AE15" s="1013"/>
      <c r="AF15" s="1013"/>
      <c r="AG15" s="1013"/>
    </row>
    <row r="16" ht="18" customHeight="1" spans="1:13">
      <c r="A16" s="1805" t="s">
        <v>1173</v>
      </c>
      <c r="B16" s="910" t="s">
        <v>1221</v>
      </c>
      <c r="C16" s="123" t="e">
        <f ca="1">ROUND(INDIRECT("'数据-取费表'!m"&amp;$G$1)*F16,0)</f>
        <v>#N/A</v>
      </c>
      <c r="D16" s="910" t="s">
        <v>1396</v>
      </c>
      <c r="E16" s="910" t="s">
        <v>1397</v>
      </c>
      <c r="F16" s="918" t="e">
        <f ca="1">IF(INDIRECT("'数据-取费表'!c"&amp;$G$1)="住宅",'数据-取费表'!B34,0)</f>
        <v>#N/A</v>
      </c>
      <c r="G16" s="938"/>
      <c r="H16" s="903" t="s">
        <v>1398</v>
      </c>
      <c r="I16" s="904" t="s">
        <v>1399</v>
      </c>
      <c r="J16" s="905" t="e">
        <f ca="1">ROUND(J17+J22+J23+J24,0)</f>
        <v>#N/A</v>
      </c>
      <c r="K16" s="936" t="s">
        <v>1400</v>
      </c>
      <c r="L16" s="937"/>
      <c r="M16" s="866"/>
    </row>
    <row r="17" s="831" customFormat="1" ht="18" customHeight="1" spans="1:33">
      <c r="A17" s="1805" t="s">
        <v>1401</v>
      </c>
      <c r="B17" s="910" t="s">
        <v>1402</v>
      </c>
      <c r="C17" s="123" t="e">
        <f ca="1">ROUND(F17*(F43+INDIRECT("'数据-取费表'!S"&amp;$G$1))/10000,0)</f>
        <v>#N/A</v>
      </c>
      <c r="D17" s="910" t="s">
        <v>1403</v>
      </c>
      <c r="E17" s="910" t="s">
        <v>1404</v>
      </c>
      <c r="F17" s="920">
        <f>'数据-取费表'!B35</f>
        <v>200</v>
      </c>
      <c r="G17" s="1807"/>
      <c r="H17" s="1806" t="s">
        <v>1145</v>
      </c>
      <c r="I17" s="910" t="s">
        <v>1405</v>
      </c>
      <c r="J17" s="940" t="e">
        <f ca="1">ROUND(IF(AND(项目基本情况!B11="自然人",项目基本情况!B10="北京市"),J6*M17/(1+'数据-取费表'!C42),J18+J19+J20),0)</f>
        <v>#N/A</v>
      </c>
      <c r="K17" s="912" t="s">
        <v>1406</v>
      </c>
      <c r="L17" s="941" t="s">
        <v>1407</v>
      </c>
      <c r="M17" s="942" t="str">
        <f ca="1">IF(项目基本情况!B11="企业","——",IF('数据-取费表'!B10="住宅",IF(M6*M7*M8/12/(1+'数据-取费表'!F30)&gt;100000,4%,2.5%),IF(M6*M7*M8/12/(1+'数据-取费表'!F30)&gt;100000,12%,7%)))</f>
        <v>——</v>
      </c>
      <c r="N17" s="1013"/>
      <c r="O17" s="1013"/>
      <c r="P17" s="1013"/>
      <c r="Q17" s="1854"/>
      <c r="R17" s="1013"/>
      <c r="S17" s="1013"/>
      <c r="T17" s="1013"/>
      <c r="U17" s="1013"/>
      <c r="V17" s="1013"/>
      <c r="W17" s="1013"/>
      <c r="X17" s="1013"/>
      <c r="Y17" s="1013"/>
      <c r="Z17" s="1013"/>
      <c r="AA17" s="1013"/>
      <c r="AB17" s="1013"/>
      <c r="AC17" s="1013"/>
      <c r="AD17" s="1013"/>
      <c r="AE17" s="1013"/>
      <c r="AF17" s="1013"/>
      <c r="AG17" s="1013"/>
    </row>
    <row r="18" s="831" customFormat="1" ht="18" customHeight="1" spans="1:33">
      <c r="A18" s="1805" t="s">
        <v>1408</v>
      </c>
      <c r="B18" s="910" t="s">
        <v>1226</v>
      </c>
      <c r="C18" s="123" t="e">
        <f ca="1">ROUND(C14*F18,0)</f>
        <v>#N/A</v>
      </c>
      <c r="D18" s="910" t="s">
        <v>1396</v>
      </c>
      <c r="E18" s="910" t="s">
        <v>1397</v>
      </c>
      <c r="F18" s="918">
        <f>'数据-取费表'!B36</f>
        <v>0.015</v>
      </c>
      <c r="G18" s="1807"/>
      <c r="H18" s="1805" t="s">
        <v>1166</v>
      </c>
      <c r="I18" s="910" t="s">
        <v>1409</v>
      </c>
      <c r="J18" s="123" t="e">
        <f ca="1">ROUND(J6*M18/(1+'数据-取费表'!C42),1)</f>
        <v>#N/A</v>
      </c>
      <c r="K18" s="941" t="s">
        <v>1410</v>
      </c>
      <c r="L18" s="910" t="s">
        <v>1397</v>
      </c>
      <c r="M18" s="918">
        <f>'数据-取费表'!B41</f>
        <v>0.056</v>
      </c>
      <c r="N18" s="1013"/>
      <c r="O18" s="1013"/>
      <c r="P18" s="1013"/>
      <c r="Q18" s="1854"/>
      <c r="R18" s="1013"/>
      <c r="S18" s="1013"/>
      <c r="T18" s="1013"/>
      <c r="U18" s="1013"/>
      <c r="V18" s="1013"/>
      <c r="W18" s="1013"/>
      <c r="X18" s="1013"/>
      <c r="Y18" s="1013"/>
      <c r="Z18" s="1013"/>
      <c r="AA18" s="1013"/>
      <c r="AB18" s="1013"/>
      <c r="AC18" s="1013"/>
      <c r="AD18" s="1013"/>
      <c r="AE18" s="1013"/>
      <c r="AF18" s="1013"/>
      <c r="AG18" s="1013"/>
    </row>
    <row r="19" ht="18" customHeight="1" spans="1:13">
      <c r="A19" s="1806" t="s">
        <v>1145</v>
      </c>
      <c r="B19" s="910" t="s">
        <v>1411</v>
      </c>
      <c r="C19" s="123" t="e">
        <f ca="1">SUM(C14:C18)</f>
        <v>#N/A</v>
      </c>
      <c r="D19" s="921" t="s">
        <v>1412</v>
      </c>
      <c r="E19" s="125"/>
      <c r="F19" s="920"/>
      <c r="G19" s="938"/>
      <c r="H19" s="1805" t="s">
        <v>1170</v>
      </c>
      <c r="I19" s="910" t="s">
        <v>1413</v>
      </c>
      <c r="J19" s="123" t="e">
        <f ca="1">IF(K19="按租金收入计税",ROUND(J6*M19/(1+'数据-取费表'!C42),1),ROUND(C29*F33*0.7,1))</f>
        <v>#N/A</v>
      </c>
      <c r="K19" s="945" t="s">
        <v>1414</v>
      </c>
      <c r="L19" s="910" t="s">
        <v>1397</v>
      </c>
      <c r="M19" s="918">
        <f>IF(K19="按租金收入计税",'数据-取费表'!B51,'数据-取费表'!B50)</f>
        <v>0.012</v>
      </c>
    </row>
    <row r="20" s="831" customFormat="1" ht="18" customHeight="1" spans="1:33">
      <c r="A20" s="1806" t="s">
        <v>1147</v>
      </c>
      <c r="B20" s="910" t="s">
        <v>1415</v>
      </c>
      <c r="C20" s="123" t="e">
        <f ca="1">ROUND(C19*F20,0)</f>
        <v>#N/A</v>
      </c>
      <c r="D20" s="922" t="s">
        <v>1416</v>
      </c>
      <c r="E20" s="910" t="s">
        <v>1397</v>
      </c>
      <c r="F20" s="918">
        <f>'数据-取费表'!B37</f>
        <v>0.02</v>
      </c>
      <c r="G20" s="1807"/>
      <c r="H20" s="1808" t="s">
        <v>1173</v>
      </c>
      <c r="I20" s="948" t="s">
        <v>1417</v>
      </c>
      <c r="J20" s="949" t="e">
        <f ca="1">ROUND(M20*M21/10000,0)</f>
        <v>#N/A</v>
      </c>
      <c r="K20" s="950" t="s">
        <v>1418</v>
      </c>
      <c r="L20" s="910" t="s">
        <v>1419</v>
      </c>
      <c r="M20" s="928">
        <f>'数据-取费表'!B52</f>
        <v>12</v>
      </c>
      <c r="N20" s="1013"/>
      <c r="O20" s="1013"/>
      <c r="P20" s="1013"/>
      <c r="Q20" s="1854"/>
      <c r="R20" s="1013"/>
      <c r="S20" s="1013"/>
      <c r="T20" s="1013"/>
      <c r="U20" s="1013"/>
      <c r="V20" s="1013"/>
      <c r="W20" s="1013"/>
      <c r="X20" s="1013"/>
      <c r="Y20" s="1013"/>
      <c r="Z20" s="1013"/>
      <c r="AA20" s="1013"/>
      <c r="AB20" s="1013"/>
      <c r="AC20" s="1013"/>
      <c r="AD20" s="1013"/>
      <c r="AE20" s="1013"/>
      <c r="AF20" s="1013"/>
      <c r="AG20" s="1013"/>
    </row>
    <row r="21" s="831" customFormat="1" ht="18" customHeight="1" spans="1:33">
      <c r="A21" s="1806" t="s">
        <v>1209</v>
      </c>
      <c r="B21" s="910" t="s">
        <v>1420</v>
      </c>
      <c r="C21" s="123" t="s">
        <v>138</v>
      </c>
      <c r="D21" s="922" t="s">
        <v>1421</v>
      </c>
      <c r="E21" s="910" t="s">
        <v>1422</v>
      </c>
      <c r="F21" s="918">
        <f>'数据-取费表'!B38</f>
        <v>0.02</v>
      </c>
      <c r="G21" s="1807"/>
      <c r="H21" s="1809"/>
      <c r="I21" s="952"/>
      <c r="J21" s="953"/>
      <c r="K21" s="954"/>
      <c r="L21" s="910" t="s">
        <v>1423</v>
      </c>
      <c r="M21" s="872" t="e">
        <f ca="1">INDIRECT("'数据-取费表'!r"&amp;$G$1)</f>
        <v>#N/A</v>
      </c>
      <c r="N21" s="1013"/>
      <c r="O21" s="1013"/>
      <c r="P21" s="1013"/>
      <c r="Q21" s="1854"/>
      <c r="R21" s="1013"/>
      <c r="S21" s="1013"/>
      <c r="T21" s="1013"/>
      <c r="U21" s="1013"/>
      <c r="V21" s="1013"/>
      <c r="W21" s="1013"/>
      <c r="X21" s="1013"/>
      <c r="Y21" s="1013"/>
      <c r="Z21" s="1013"/>
      <c r="AA21" s="1013"/>
      <c r="AB21" s="1013"/>
      <c r="AC21" s="1013"/>
      <c r="AD21" s="1013"/>
      <c r="AE21" s="1013"/>
      <c r="AF21" s="1013"/>
      <c r="AG21" s="1013"/>
    </row>
    <row r="22" ht="18" customHeight="1" spans="1:13">
      <c r="A22" s="1806" t="s">
        <v>1424</v>
      </c>
      <c r="B22" s="910" t="s">
        <v>1425</v>
      </c>
      <c r="C22" s="123"/>
      <c r="D22" s="925" t="str">
        <f>IF(F23&lt;=1,"单利计息。","复利计息。")&amp;"建造成本、管理费用、销售费用产生的利息。"</f>
        <v>复利计息。建造成本、管理费用、销售费用产生的利息。</v>
      </c>
      <c r="E22" s="125"/>
      <c r="F22" s="920"/>
      <c r="G22" s="938"/>
      <c r="H22" s="1806" t="s">
        <v>1147</v>
      </c>
      <c r="I22" s="910" t="s">
        <v>1426</v>
      </c>
      <c r="J22" s="123" t="e">
        <f ca="1">ROUND(J14*M22,0)</f>
        <v>#N/A</v>
      </c>
      <c r="K22" s="941" t="s">
        <v>1427</v>
      </c>
      <c r="L22" s="910" t="s">
        <v>1397</v>
      </c>
      <c r="M22" s="955" t="e">
        <f ca="1">INDIRECT("'数据-取费表'!Ak"&amp;$G$1)</f>
        <v>#N/A</v>
      </c>
    </row>
    <row r="23" s="831" customFormat="1" ht="18" customHeight="1" spans="1:33">
      <c r="A23" s="1805" t="s">
        <v>1166</v>
      </c>
      <c r="B23" s="910" t="s">
        <v>1428</v>
      </c>
      <c r="C23" s="123" t="e">
        <f ca="1">ROUND(IF('数据-取费表'!B22&lt;=1,(C19+C20)*F24*F23/2,(C19+C20)*(POWER((1+F24),F23/2)-1)),0)</f>
        <v>#N/A</v>
      </c>
      <c r="D23" s="927" t="str">
        <f>IF(F23&lt;=1,"(建造成本+管理费用)×利率×(建设周期÷2)","(建造成本+管理费用)×((1+利率)^(建设周期÷2)-1)")</f>
        <v>(建造成本+管理费用)×((1+利率)^(建设周期÷2)-1)</v>
      </c>
      <c r="E23" s="910" t="s">
        <v>1429</v>
      </c>
      <c r="F23" s="928">
        <f>'数据-取费表'!B20</f>
        <v>1.5</v>
      </c>
      <c r="G23" s="1807"/>
      <c r="H23" s="1806" t="s">
        <v>1209</v>
      </c>
      <c r="I23" s="910" t="s">
        <v>1430</v>
      </c>
      <c r="J23" s="123" t="e">
        <f ca="1">ROUND(J13*M23,0)</f>
        <v>#N/A</v>
      </c>
      <c r="K23" s="941" t="s">
        <v>1431</v>
      </c>
      <c r="L23" s="910" t="s">
        <v>1397</v>
      </c>
      <c r="M23" s="956" t="e">
        <f ca="1">INDIRECT("'数据-取费表'!Al"&amp;$G$1)</f>
        <v>#N/A</v>
      </c>
      <c r="N23" s="1013"/>
      <c r="O23" s="1013"/>
      <c r="P23" s="1013"/>
      <c r="Q23" s="1854"/>
      <c r="R23" s="1013"/>
      <c r="S23" s="1013"/>
      <c r="T23" s="1013"/>
      <c r="U23" s="1013"/>
      <c r="V23" s="1013"/>
      <c r="W23" s="1013"/>
      <c r="X23" s="1013"/>
      <c r="Y23" s="1013"/>
      <c r="Z23" s="1013"/>
      <c r="AA23" s="1013"/>
      <c r="AB23" s="1013"/>
      <c r="AC23" s="1013"/>
      <c r="AD23" s="1013"/>
      <c r="AE23" s="1013"/>
      <c r="AF23" s="1013"/>
      <c r="AG23" s="1013"/>
    </row>
    <row r="24" s="831" customFormat="1" ht="18" customHeight="1" spans="1:33">
      <c r="A24" s="1805" t="s">
        <v>1170</v>
      </c>
      <c r="B24" s="910" t="s">
        <v>1432</v>
      </c>
      <c r="C24" s="123">
        <f ca="1">ROUND(IF('数据-取费表'!B22&lt;=1,F21*F24*F23/2,F21*(POWER((1+F24),F23/2)-1)),4)</f>
        <v>0.0007</v>
      </c>
      <c r="D24" s="927" t="str">
        <f>IF(F23&lt;=1,"销售费用×利率×(建设周期÷2)","销售费用×((1+利率)^(建设周期÷2)-1)")</f>
        <v>销售费用×((1+利率)^(建设周期÷2)-1)</v>
      </c>
      <c r="E24" s="910" t="s">
        <v>1433</v>
      </c>
      <c r="F24" s="929">
        <f ca="1">'数据-取费表'!B40</f>
        <v>0.0475</v>
      </c>
      <c r="G24" s="1807"/>
      <c r="H24" s="902" t="s">
        <v>1424</v>
      </c>
      <c r="I24" s="933" t="s">
        <v>1415</v>
      </c>
      <c r="J24" s="931" t="e">
        <f ca="1">ROUND(J5*M24,0)</f>
        <v>#N/A</v>
      </c>
      <c r="K24" s="932" t="s">
        <v>1434</v>
      </c>
      <c r="L24" s="933" t="s">
        <v>1397</v>
      </c>
      <c r="M24" s="901" t="e">
        <f ca="1">INDIRECT("'数据-取费表'!Am"&amp;$G$1)</f>
        <v>#N/A</v>
      </c>
      <c r="N24" s="1013"/>
      <c r="O24" s="1013"/>
      <c r="P24" s="1013"/>
      <c r="Q24" s="1854"/>
      <c r="R24" s="1013"/>
      <c r="S24" s="1013"/>
      <c r="T24" s="1013"/>
      <c r="U24" s="1013"/>
      <c r="V24" s="1013"/>
      <c r="W24" s="1013"/>
      <c r="X24" s="1013"/>
      <c r="Y24" s="1013"/>
      <c r="Z24" s="1013"/>
      <c r="AA24" s="1013"/>
      <c r="AB24" s="1013"/>
      <c r="AC24" s="1013"/>
      <c r="AD24" s="1013"/>
      <c r="AE24" s="1013"/>
      <c r="AF24" s="1013"/>
      <c r="AG24" s="1013"/>
    </row>
    <row r="25" ht="18" customHeight="1" spans="1:13">
      <c r="A25" s="1810" t="s">
        <v>1197</v>
      </c>
      <c r="B25" s="910" t="s">
        <v>1435</v>
      </c>
      <c r="C25" s="123"/>
      <c r="D25" s="921" t="s">
        <v>1436</v>
      </c>
      <c r="E25" s="125"/>
      <c r="F25" s="920"/>
      <c r="G25" s="938"/>
      <c r="H25" s="903" t="s">
        <v>1437</v>
      </c>
      <c r="I25" s="1814" t="s">
        <v>1438</v>
      </c>
      <c r="J25" s="905" t="e">
        <f ca="1">J5-J16</f>
        <v>#N/A</v>
      </c>
      <c r="K25" s="1815" t="s">
        <v>1439</v>
      </c>
      <c r="L25" s="1816"/>
      <c r="M25" s="1817"/>
    </row>
    <row r="26" ht="18" customHeight="1" spans="1:13">
      <c r="A26" s="1805" t="s">
        <v>1166</v>
      </c>
      <c r="B26" s="910" t="s">
        <v>1440</v>
      </c>
      <c r="C26" s="123" t="e">
        <f ca="1">ROUND((C19+C20)*F26,0)</f>
        <v>#N/A</v>
      </c>
      <c r="D26" s="922" t="s">
        <v>1441</v>
      </c>
      <c r="E26" s="907" t="s">
        <v>1442</v>
      </c>
      <c r="F26" s="883" t="e">
        <f ca="1">INDIRECT("'数据-取费表'!q"&amp;$G$1)</f>
        <v>#N/A</v>
      </c>
      <c r="G26" s="938"/>
      <c r="H26" s="1811" t="s">
        <v>1443</v>
      </c>
      <c r="I26" s="1818" t="s">
        <v>1444</v>
      </c>
      <c r="J26" s="999" t="e">
        <f ca="1">IF(J5&lt;&gt;0,ROUND(J25*(1-((1+M28)/(1+M26))^M27)/(M26-M28),0),0)</f>
        <v>#N/A</v>
      </c>
      <c r="K26" s="950" t="s">
        <v>1445</v>
      </c>
      <c r="L26" s="910" t="s">
        <v>1446</v>
      </c>
      <c r="M26" s="883" t="e">
        <f ca="1">INDIRECT("'数据-取费表'!I"&amp;$G$1)</f>
        <v>#N/A</v>
      </c>
    </row>
    <row r="27" ht="18" customHeight="1" spans="1:13">
      <c r="A27" s="1805" t="s">
        <v>1170</v>
      </c>
      <c r="B27" s="910" t="s">
        <v>1447</v>
      </c>
      <c r="C27" s="123" t="e">
        <f ca="1">ROUND(F21*F26,4)</f>
        <v>#N/A</v>
      </c>
      <c r="D27" s="922" t="s">
        <v>1448</v>
      </c>
      <c r="E27" s="915"/>
      <c r="F27" s="916"/>
      <c r="G27" s="938"/>
      <c r="H27" s="1812"/>
      <c r="I27" s="1017"/>
      <c r="J27" s="1000"/>
      <c r="K27" s="1018" t="s">
        <v>1449</v>
      </c>
      <c r="L27" s="910" t="s">
        <v>1450</v>
      </c>
      <c r="M27" s="1019" t="e">
        <f ca="1">INDIRECT("'数据-取费表'!ag"&amp;$G$1)</f>
        <v>#N/A</v>
      </c>
    </row>
    <row r="28" s="831" customFormat="1" ht="18" customHeight="1" spans="1:33">
      <c r="A28" s="1810" t="s">
        <v>1198</v>
      </c>
      <c r="B28" s="910" t="s">
        <v>1451</v>
      </c>
      <c r="C28" s="123">
        <f>ROUND(F28/(1+'数据-取费表'!C42),4)</f>
        <v>0.0533</v>
      </c>
      <c r="D28" s="922" t="s">
        <v>1452</v>
      </c>
      <c r="E28" s="910" t="s">
        <v>1397</v>
      </c>
      <c r="F28" s="918">
        <f>'数据-取费表'!B41</f>
        <v>0.056</v>
      </c>
      <c r="G28" s="1807"/>
      <c r="H28" s="903"/>
      <c r="I28" s="1020"/>
      <c r="J28" s="905"/>
      <c r="K28" s="954"/>
      <c r="L28" s="910" t="s">
        <v>1453</v>
      </c>
      <c r="M28" s="883" t="e">
        <f ca="1">INDIRECT("'数据-取费表'!aa"&amp;$G$1)</f>
        <v>#N/A</v>
      </c>
      <c r="N28" s="1013"/>
      <c r="O28" s="1013"/>
      <c r="P28" s="1013"/>
      <c r="Q28" s="1854"/>
      <c r="R28" s="1013"/>
      <c r="S28" s="1013"/>
      <c r="T28" s="1013"/>
      <c r="U28" s="1013"/>
      <c r="V28" s="1013"/>
      <c r="W28" s="1013"/>
      <c r="X28" s="1013"/>
      <c r="Y28" s="1013"/>
      <c r="Z28" s="1013"/>
      <c r="AA28" s="1013"/>
      <c r="AB28" s="1013"/>
      <c r="AC28" s="1013"/>
      <c r="AD28" s="1013"/>
      <c r="AE28" s="1013"/>
      <c r="AF28" s="1013"/>
      <c r="AG28" s="1013"/>
    </row>
    <row r="29" s="831" customFormat="1" ht="18" customHeight="1" spans="1:33">
      <c r="A29" s="1813" t="s">
        <v>1454</v>
      </c>
      <c r="B29" s="900" t="s">
        <v>1455</v>
      </c>
      <c r="C29" s="931" t="e">
        <f ca="1">ROUND((C19+C20+C23+C26)/(1-F21-C24-C27-C28),0)</f>
        <v>#N/A</v>
      </c>
      <c r="D29" s="932"/>
      <c r="E29" s="933"/>
      <c r="F29" s="934"/>
      <c r="G29" s="1807"/>
      <c r="H29" s="935" t="s">
        <v>1456</v>
      </c>
      <c r="I29" s="1819" t="s">
        <v>1457</v>
      </c>
      <c r="J29" s="1022" t="e">
        <f ca="1">ROUND(J26/(1+F40)^F41,0)</f>
        <v>#N/A</v>
      </c>
      <c r="K29" s="1023" t="s">
        <v>1458</v>
      </c>
      <c r="L29" s="1024"/>
      <c r="M29" s="980" t="e">
        <f ca="1">INDIRECT("'数据-取费表'!k"&amp;$G$1)</f>
        <v>#N/A</v>
      </c>
      <c r="N29" s="1013"/>
      <c r="O29" s="1013"/>
      <c r="P29" s="1013"/>
      <c r="Q29" s="1854"/>
      <c r="R29" s="1013"/>
      <c r="S29" s="1013"/>
      <c r="T29" s="1013"/>
      <c r="U29" s="1013"/>
      <c r="V29" s="1013"/>
      <c r="W29" s="1013"/>
      <c r="X29" s="1013"/>
      <c r="Y29" s="1013"/>
      <c r="Z29" s="1013"/>
      <c r="AA29" s="1013"/>
      <c r="AB29" s="1013"/>
      <c r="AC29" s="1013"/>
      <c r="AD29" s="1013"/>
      <c r="AE29" s="1013"/>
      <c r="AF29" s="1013"/>
      <c r="AG29" s="1013"/>
    </row>
    <row r="30" ht="18" customHeight="1" spans="1:13">
      <c r="A30" s="903" t="s">
        <v>1398</v>
      </c>
      <c r="B30" s="904" t="s">
        <v>1399</v>
      </c>
      <c r="C30" s="905" t="e">
        <f ca="1">ROUND(C31+C36+C37+C38,0)</f>
        <v>#N/A</v>
      </c>
      <c r="D30" s="936" t="s">
        <v>1400</v>
      </c>
      <c r="E30" s="937"/>
      <c r="F30" s="866"/>
      <c r="G30" s="938"/>
      <c r="H30" s="939"/>
      <c r="I30" s="1025"/>
      <c r="J30" s="1026"/>
      <c r="K30" s="1027"/>
      <c r="L30" s="1028"/>
      <c r="M30" s="1029"/>
    </row>
    <row r="31" ht="18" customHeight="1" spans="1:13">
      <c r="A31" s="1806" t="s">
        <v>1145</v>
      </c>
      <c r="B31" s="910" t="s">
        <v>1405</v>
      </c>
      <c r="C31" s="940" t="e">
        <f ca="1">ROUND(IF(AND(项目基本情况!B11="自然人",项目基本情况!B10="北京市"),C6*F31/(1+'数据-取费表'!C42),C32+C33+C34),0)</f>
        <v>#N/A</v>
      </c>
      <c r="D31" s="912" t="s">
        <v>1406</v>
      </c>
      <c r="E31" s="941" t="s">
        <v>1407</v>
      </c>
      <c r="F31" s="942" t="str">
        <f ca="1">IF(项目基本情况!B11="企业","——",IF('数据-取费表'!B10="住宅",IF(F6*F7*F8/12/(1+'数据-取费表'!F30)&gt;100000,4%,2.5%),IF(F6*F7*F8/12/(1+'数据-取费表'!F30)&gt;100000,12%,7%)))</f>
        <v>——</v>
      </c>
      <c r="G31" s="938"/>
      <c r="H31" s="943" t="s">
        <v>1459</v>
      </c>
      <c r="I31" s="1025"/>
      <c r="J31" s="1026"/>
      <c r="K31" s="1027"/>
      <c r="L31" s="1028"/>
      <c r="M31" s="1029"/>
    </row>
    <row r="32" ht="18" customHeight="1" spans="1:13">
      <c r="A32" s="1805" t="s">
        <v>1166</v>
      </c>
      <c r="B32" s="910" t="s">
        <v>1409</v>
      </c>
      <c r="C32" s="123" t="e">
        <f ca="1">ROUND(C6*F32/(1+'数据-取费表'!C42),1)</f>
        <v>#N/A</v>
      </c>
      <c r="D32" s="941" t="s">
        <v>1410</v>
      </c>
      <c r="E32" s="910" t="s">
        <v>1397</v>
      </c>
      <c r="F32" s="918">
        <f>'数据-取费表'!B41</f>
        <v>0.056</v>
      </c>
      <c r="G32" s="938"/>
      <c r="H32" s="944"/>
      <c r="I32" s="1030"/>
      <c r="J32" s="1031"/>
      <c r="K32" s="1032"/>
      <c r="L32" s="1033"/>
      <c r="M32" s="1034"/>
    </row>
    <row r="33" ht="18" customHeight="1" spans="1:13">
      <c r="A33" s="1805" t="s">
        <v>1170</v>
      </c>
      <c r="B33" s="910" t="s">
        <v>1413</v>
      </c>
      <c r="C33" s="123" t="e">
        <f ca="1">IF(D33="按租金收入计税",ROUND(C6*F33/(1+'数据-取费表'!C42),1),IF(D33="按房产原值计税",ROUND(C29*F33*0.7,1),INDIRECT("'数据-取费表'!Aj"&amp;$G$1)))</f>
        <v>#N/A</v>
      </c>
      <c r="D33" s="945" t="s">
        <v>1460</v>
      </c>
      <c r="E33" s="910" t="s">
        <v>1397</v>
      </c>
      <c r="F33" s="918">
        <f>IF(D33="按租金收入计税",'数据-取费表'!B51,'数据-取费表'!B50)</f>
        <v>0.12</v>
      </c>
      <c r="G33" s="938"/>
      <c r="H33" s="946"/>
      <c r="I33" s="946"/>
      <c r="J33" s="946"/>
      <c r="K33" s="1035"/>
      <c r="L33" s="946"/>
      <c r="M33" s="946"/>
    </row>
    <row r="34" ht="18" customHeight="1" spans="1:13">
      <c r="A34" s="1808" t="s">
        <v>1173</v>
      </c>
      <c r="B34" s="948" t="s">
        <v>1417</v>
      </c>
      <c r="C34" s="949" t="e">
        <f ca="1">ROUND(F34*F35/10000,1)</f>
        <v>#N/A</v>
      </c>
      <c r="D34" s="950" t="s">
        <v>1418</v>
      </c>
      <c r="E34" s="910" t="s">
        <v>1419</v>
      </c>
      <c r="F34" s="928">
        <f>'数据-取费表'!B52</f>
        <v>12</v>
      </c>
      <c r="G34" s="938"/>
      <c r="H34" s="939"/>
      <c r="I34" s="960" t="s">
        <v>1461</v>
      </c>
      <c r="J34" s="964"/>
      <c r="K34" s="1038"/>
      <c r="L34" s="1037"/>
      <c r="M34" s="1037"/>
    </row>
    <row r="35" ht="18" customHeight="1" spans="1:13">
      <c r="A35" s="951"/>
      <c r="B35" s="952"/>
      <c r="C35" s="953"/>
      <c r="D35" s="954"/>
      <c r="E35" s="910" t="s">
        <v>1423</v>
      </c>
      <c r="F35" s="872" t="e">
        <f ca="1">INDIRECT("'数据-取费表'!r"&amp;$G$1)</f>
        <v>#N/A</v>
      </c>
      <c r="G35" s="938"/>
      <c r="H35" s="939"/>
      <c r="I35" s="1840" t="s">
        <v>1462</v>
      </c>
      <c r="J35" s="1841" t="e">
        <f ca="1">ROUND(C13*J36,0)</f>
        <v>#N/A</v>
      </c>
      <c r="K35" s="1035"/>
      <c r="L35" s="946"/>
      <c r="M35" s="946"/>
    </row>
    <row r="36" ht="18" customHeight="1" spans="1:13">
      <c r="A36" s="1806" t="s">
        <v>1147</v>
      </c>
      <c r="B36" s="910" t="s">
        <v>1426</v>
      </c>
      <c r="C36" s="123" t="e">
        <f ca="1">ROUND(C29*F36,1)</f>
        <v>#N/A</v>
      </c>
      <c r="D36" s="941" t="s">
        <v>1463</v>
      </c>
      <c r="E36" s="910" t="s">
        <v>1397</v>
      </c>
      <c r="F36" s="955" t="e">
        <f ca="1">INDIRECT("'数据-取费表'!Ak"&amp;$G$1)</f>
        <v>#N/A</v>
      </c>
      <c r="G36" s="938"/>
      <c r="H36" s="946"/>
      <c r="I36" s="1554" t="s">
        <v>1464</v>
      </c>
      <c r="J36" s="1842" t="e">
        <f ca="1">INDIRECT("'数据-取费表'!j"&amp;$G$1)</f>
        <v>#N/A</v>
      </c>
      <c r="K36" s="1040"/>
      <c r="L36" s="946"/>
      <c r="M36" s="946"/>
    </row>
    <row r="37" ht="18" customHeight="1" spans="1:13">
      <c r="A37" s="1806" t="s">
        <v>1209</v>
      </c>
      <c r="B37" s="910" t="s">
        <v>1430</v>
      </c>
      <c r="C37" s="123" t="e">
        <f ca="1">ROUND(C13*F37,1)</f>
        <v>#N/A</v>
      </c>
      <c r="D37" s="941" t="s">
        <v>1431</v>
      </c>
      <c r="E37" s="910" t="s">
        <v>1397</v>
      </c>
      <c r="F37" s="956" t="e">
        <f ca="1">INDIRECT("'数据-取费表'!Al"&amp;$G$1)</f>
        <v>#N/A</v>
      </c>
      <c r="G37" s="938"/>
      <c r="H37" s="946"/>
      <c r="I37" s="1843" t="s">
        <v>1465</v>
      </c>
      <c r="J37" s="1844"/>
      <c r="K37" s="1040"/>
      <c r="L37" s="946"/>
      <c r="M37" s="946"/>
    </row>
    <row r="38" ht="18" customHeight="1" spans="1:13">
      <c r="A38" s="902" t="s">
        <v>1424</v>
      </c>
      <c r="B38" s="933" t="s">
        <v>1415</v>
      </c>
      <c r="C38" s="931" t="e">
        <f ca="1">ROUND(C5*F38,1)</f>
        <v>#N/A</v>
      </c>
      <c r="D38" s="932" t="s">
        <v>1434</v>
      </c>
      <c r="E38" s="933" t="s">
        <v>1397</v>
      </c>
      <c r="F38" s="901" t="e">
        <f ca="1">INDIRECT("'数据-取费表'!Am"&amp;$G$1)</f>
        <v>#N/A</v>
      </c>
      <c r="G38" s="938"/>
      <c r="H38" s="946"/>
      <c r="I38" s="1845" t="s">
        <v>1466</v>
      </c>
      <c r="J38" s="1846"/>
      <c r="K38" s="1041"/>
      <c r="L38" s="946"/>
      <c r="M38" s="946"/>
    </row>
    <row r="39" ht="24.6" customHeight="1" spans="1:13">
      <c r="A39" s="903" t="s">
        <v>1437</v>
      </c>
      <c r="B39" s="1814" t="s">
        <v>1438</v>
      </c>
      <c r="C39" s="905" t="e">
        <f ca="1">C5-C30</f>
        <v>#N/A</v>
      </c>
      <c r="D39" s="1815" t="s">
        <v>1439</v>
      </c>
      <c r="E39" s="1816"/>
      <c r="F39" s="1817"/>
      <c r="G39" s="938"/>
      <c r="H39" s="946"/>
      <c r="I39" s="1840" t="s">
        <v>1467</v>
      </c>
      <c r="J39" s="1847" t="e">
        <f ca="1">ROUND(J35/C39,3)</f>
        <v>#N/A</v>
      </c>
      <c r="K39" s="1041"/>
      <c r="L39" s="946"/>
      <c r="M39" s="946"/>
    </row>
    <row r="40" ht="18" customHeight="1" spans="1:13">
      <c r="A40" s="862" t="s">
        <v>1443</v>
      </c>
      <c r="B40" s="1818" t="s">
        <v>1468</v>
      </c>
      <c r="C40" s="999" t="e">
        <f ca="1">ROUND(C39*(1-((1+F42)/(1+F40))^F41)/(F40-F42),0)</f>
        <v>#N/A</v>
      </c>
      <c r="D40" s="950" t="s">
        <v>1445</v>
      </c>
      <c r="E40" s="910" t="s">
        <v>1446</v>
      </c>
      <c r="F40" s="883" t="e">
        <f ca="1">INDIRECT("'数据-取费表'!I"&amp;$G$1)</f>
        <v>#N/A</v>
      </c>
      <c r="G40" s="938"/>
      <c r="H40" s="938"/>
      <c r="I40" s="1840" t="s">
        <v>1469</v>
      </c>
      <c r="J40" s="1847" t="e">
        <f ca="1">1-J39</f>
        <v>#N/A</v>
      </c>
      <c r="K40" s="1041"/>
      <c r="L40" s="938"/>
      <c r="M40" s="938"/>
    </row>
    <row r="41" ht="18" customHeight="1" spans="1:13">
      <c r="A41" s="881"/>
      <c r="B41" s="1017"/>
      <c r="C41" s="1000"/>
      <c r="D41" s="1018" t="s">
        <v>1449</v>
      </c>
      <c r="E41" s="910" t="s">
        <v>1450</v>
      </c>
      <c r="F41" s="1019">
        <f>项目基本情况!F18</f>
        <v>50</v>
      </c>
      <c r="G41" s="938"/>
      <c r="H41" s="1039"/>
      <c r="I41" s="1845" t="s">
        <v>1470</v>
      </c>
      <c r="J41" s="709"/>
      <c r="K41" s="1040"/>
      <c r="L41" s="1039"/>
      <c r="M41" s="1039"/>
    </row>
    <row r="42" ht="18" customHeight="1" spans="1:13">
      <c r="A42" s="890"/>
      <c r="B42" s="1020"/>
      <c r="C42" s="905"/>
      <c r="D42" s="954"/>
      <c r="E42" s="910" t="s">
        <v>1453</v>
      </c>
      <c r="F42" s="883" t="e">
        <f ca="1">INDIRECT("'数据-取费表'!v"&amp;$G$1)</f>
        <v>#N/A</v>
      </c>
      <c r="G42" s="938"/>
      <c r="H42" s="1039"/>
      <c r="I42" s="1848" t="s">
        <v>1471</v>
      </c>
      <c r="J42" s="1847" t="e">
        <f ca="1">ROUND(C13/C40,3)</f>
        <v>#N/A</v>
      </c>
      <c r="K42" s="1040"/>
      <c r="L42" s="1039"/>
      <c r="M42" s="1039"/>
    </row>
    <row r="43" ht="18" customHeight="1" spans="1:13">
      <c r="A43" s="935" t="s">
        <v>1456</v>
      </c>
      <c r="B43" s="1819" t="s">
        <v>1472</v>
      </c>
      <c r="C43" s="1022" t="e">
        <f ca="1">ROUND(C40*10000/F43,0)</f>
        <v>#N/A</v>
      </c>
      <c r="D43" s="1023" t="s">
        <v>1473</v>
      </c>
      <c r="E43" s="1024" t="s">
        <v>1474</v>
      </c>
      <c r="F43" s="980" t="e">
        <f ca="1">INDIRECT("'数据-取费表'!k"&amp;$G$1)</f>
        <v>#N/A</v>
      </c>
      <c r="G43" s="938"/>
      <c r="H43" s="1039"/>
      <c r="I43" s="1848" t="s">
        <v>1475</v>
      </c>
      <c r="J43" s="1849" t="e">
        <f ca="1">1-J42</f>
        <v>#N/A</v>
      </c>
      <c r="K43" s="1040"/>
      <c r="L43" s="1039"/>
      <c r="M43" s="1039"/>
    </row>
    <row r="44" s="716" customFormat="1" ht="18" customHeight="1" spans="1:17">
      <c r="A44" s="982"/>
      <c r="B44" s="982"/>
      <c r="C44" s="1820"/>
      <c r="D44" s="982"/>
      <c r="E44" s="982"/>
      <c r="F44" s="982"/>
      <c r="K44" s="1088"/>
      <c r="Q44" s="993"/>
    </row>
    <row r="45" s="716" customFormat="1" ht="18" customHeight="1" spans="1:17">
      <c r="A45" s="982"/>
      <c r="B45" s="982"/>
      <c r="C45" s="1820"/>
      <c r="D45" s="982"/>
      <c r="E45" s="982"/>
      <c r="F45" s="982"/>
      <c r="K45" s="1088"/>
      <c r="Q45" s="993"/>
    </row>
    <row r="46" s="716" customFormat="1" ht="18" customHeight="1" spans="1:18">
      <c r="A46" s="1821" t="s">
        <v>1476</v>
      </c>
      <c r="B46" s="982"/>
      <c r="C46" s="1822" t="e">
        <f ca="1">C67-C40</f>
        <v>#N/A</v>
      </c>
      <c r="D46" s="1823"/>
      <c r="E46" s="1823"/>
      <c r="F46" s="1823"/>
      <c r="I46" s="1042" t="s">
        <v>1477</v>
      </c>
      <c r="J46" s="1043"/>
      <c r="K46" s="1044"/>
      <c r="L46" s="1045" t="e">
        <f ca="1">IF(OR(M47="住宅",D1="土地（套用方法）"),0,IF(L48&gt;J51,L60,J60))</f>
        <v>#N/A</v>
      </c>
      <c r="M46" s="1850"/>
      <c r="O46" s="1046" t="s">
        <v>1478</v>
      </c>
      <c r="P46" s="861"/>
      <c r="Q46" s="661"/>
      <c r="R46" s="861"/>
    </row>
    <row r="47" s="716" customFormat="1" ht="18" customHeight="1" spans="1:18">
      <c r="A47" s="1824">
        <v>1</v>
      </c>
      <c r="B47" s="1825" t="s">
        <v>1479</v>
      </c>
      <c r="C47" s="1822" t="e">
        <f ca="1">C48+C52+C54</f>
        <v>#N/A</v>
      </c>
      <c r="D47" s="1823"/>
      <c r="E47" s="1823"/>
      <c r="F47" s="1823"/>
      <c r="I47" s="1047" t="s">
        <v>1480</v>
      </c>
      <c r="J47" s="1048" t="s">
        <v>1481</v>
      </c>
      <c r="K47" s="1049" t="s">
        <v>1482</v>
      </c>
      <c r="L47" s="1050" t="e">
        <f ca="1">INDIRECT("'数据-取费表'!d"&amp;$G$1)</f>
        <v>#N/A</v>
      </c>
      <c r="M47" s="661" t="str">
        <f>IF(ISNUMBER(FIND("住宅",C1)),"住宅","非住宅")</f>
        <v>非住宅</v>
      </c>
      <c r="O47" s="1052" t="s">
        <v>1483</v>
      </c>
      <c r="P47" s="1053" t="s">
        <v>1484</v>
      </c>
      <c r="Q47" s="1093" t="s">
        <v>1485</v>
      </c>
      <c r="R47" s="1053" t="s">
        <v>1486</v>
      </c>
    </row>
    <row r="48" s="716" customFormat="1" ht="18" customHeight="1" spans="1:18">
      <c r="A48" s="1826" t="s">
        <v>823</v>
      </c>
      <c r="B48" s="1827" t="s">
        <v>1487</v>
      </c>
      <c r="C48" s="1828" t="e">
        <f ca="1">ROUND(F48*F50*F49*(1-F51)/10000,0)</f>
        <v>#N/A</v>
      </c>
      <c r="D48" s="1829" t="s">
        <v>1380</v>
      </c>
      <c r="E48" s="1830" t="s">
        <v>1488</v>
      </c>
      <c r="F48" s="1831"/>
      <c r="G48" s="986"/>
      <c r="I48" s="1054" t="s">
        <v>1489</v>
      </c>
      <c r="J48" s="1055" t="s">
        <v>1490</v>
      </c>
      <c r="K48" s="1056" t="s">
        <v>1491</v>
      </c>
      <c r="L48" s="710" t="e">
        <f ca="1">INDIRECT("'数据-取费表'!f"&amp;$G$1)</f>
        <v>#N/A</v>
      </c>
      <c r="M48" s="1850"/>
      <c r="O48" s="1057" t="s">
        <v>1492</v>
      </c>
      <c r="P48" s="1058" t="s">
        <v>1493</v>
      </c>
      <c r="Q48" s="1094" t="e">
        <f ca="1">C40+J29</f>
        <v>#N/A</v>
      </c>
      <c r="R48" s="1058" t="s">
        <v>1494</v>
      </c>
    </row>
    <row r="49" s="716" customFormat="1" ht="18" customHeight="1" spans="1:18">
      <c r="A49" s="881"/>
      <c r="B49" s="1017"/>
      <c r="C49" s="1000"/>
      <c r="D49" s="893"/>
      <c r="E49" s="910" t="s">
        <v>1381</v>
      </c>
      <c r="F49" s="872" t="e">
        <f ca="1">F7</f>
        <v>#N/A</v>
      </c>
      <c r="G49" s="986"/>
      <c r="H49" s="989"/>
      <c r="I49" s="1054" t="s">
        <v>1495</v>
      </c>
      <c r="J49" s="1059">
        <v>2017</v>
      </c>
      <c r="K49" s="1060" t="s">
        <v>1496</v>
      </c>
      <c r="L49" s="1061"/>
      <c r="M49" s="1850"/>
      <c r="O49" s="1057" t="s">
        <v>1497</v>
      </c>
      <c r="P49" s="1058" t="s">
        <v>1498</v>
      </c>
      <c r="Q49" s="1094" t="e">
        <f ca="1">J60</f>
        <v>#N/A</v>
      </c>
      <c r="R49" s="1058" t="s">
        <v>1499</v>
      </c>
    </row>
    <row r="50" s="716" customFormat="1" ht="18" customHeight="1" spans="1:18">
      <c r="A50" s="881"/>
      <c r="B50" s="1017"/>
      <c r="C50" s="1000"/>
      <c r="D50" s="893"/>
      <c r="E50" s="910" t="s">
        <v>1382</v>
      </c>
      <c r="F50" s="872" t="e">
        <f ca="1">F8</f>
        <v>#N/A</v>
      </c>
      <c r="G50" s="991"/>
      <c r="H50" s="989"/>
      <c r="I50" s="1054" t="s">
        <v>1500</v>
      </c>
      <c r="J50" s="1062">
        <f>SUMPRODUCT((I63:I65=J47)*(J62:L62=J48)*(J63:L65))</f>
        <v>60</v>
      </c>
      <c r="K50" s="1060" t="s">
        <v>1501</v>
      </c>
      <c r="L50" s="1061"/>
      <c r="M50" s="1850"/>
      <c r="O50" s="1063" t="s">
        <v>1502</v>
      </c>
      <c r="P50" s="1058" t="s">
        <v>1503</v>
      </c>
      <c r="Q50" s="1094" t="e">
        <f ca="1">C29</f>
        <v>#N/A</v>
      </c>
      <c r="R50" s="1058" t="s">
        <v>1494</v>
      </c>
    </row>
    <row r="51" s="716" customFormat="1" ht="18" customHeight="1" spans="1:18">
      <c r="A51" s="881"/>
      <c r="B51" s="1017"/>
      <c r="C51" s="1000"/>
      <c r="D51" s="893"/>
      <c r="E51" s="910" t="s">
        <v>1383</v>
      </c>
      <c r="F51" s="1832"/>
      <c r="H51" s="989"/>
      <c r="I51" s="1064" t="s">
        <v>1504</v>
      </c>
      <c r="J51" s="1065">
        <f>IF(J49="",J50,J49+J50-YEAR('数据-取费表'!B2))</f>
        <v>56</v>
      </c>
      <c r="K51" s="1054" t="s">
        <v>1505</v>
      </c>
      <c r="L51" s="1066" t="e">
        <f ca="1">ROUND(-PV(INDIRECT("'数据-取费表'!h"&amp;$G$1),J51,(C39-C13*J36),0),0)</f>
        <v>#N/A</v>
      </c>
      <c r="M51" s="1850"/>
      <c r="O51" s="1063" t="s">
        <v>1506</v>
      </c>
      <c r="P51" s="1058" t="s">
        <v>1507</v>
      </c>
      <c r="Q51" s="1095" t="e">
        <f ca="1">J58</f>
        <v>#N/A</v>
      </c>
      <c r="R51" s="1096"/>
    </row>
    <row r="52" s="716" customFormat="1" ht="18" customHeight="1" spans="1:18">
      <c r="A52" s="862" t="s">
        <v>1508</v>
      </c>
      <c r="B52" s="885" t="s">
        <v>1384</v>
      </c>
      <c r="C52" s="122">
        <f ca="1">ROUND(IF(F52="押一",C48/12*F11,IF(F52="押二",C48/12*2*F11,IF(F52="押三",C48/12*3*F11,C53*F11))),0)</f>
        <v>0</v>
      </c>
      <c r="D52" s="886" t="s">
        <v>1385</v>
      </c>
      <c r="E52" s="887" t="s">
        <v>1386</v>
      </c>
      <c r="F52" s="888"/>
      <c r="I52" s="1067" t="s">
        <v>1509</v>
      </c>
      <c r="J52" s="1068"/>
      <c r="K52" s="1067" t="s">
        <v>901</v>
      </c>
      <c r="L52" s="1068"/>
      <c r="M52" s="1850"/>
      <c r="O52" s="1063" t="s">
        <v>1510</v>
      </c>
      <c r="P52" s="1058" t="s">
        <v>1511</v>
      </c>
      <c r="Q52" s="1095">
        <f>J52</f>
        <v>0</v>
      </c>
      <c r="R52" s="1096"/>
    </row>
    <row r="53" s="716" customFormat="1" ht="39.75" customHeight="1" spans="1:18">
      <c r="A53" s="881"/>
      <c r="B53" s="891" t="s">
        <v>1388</v>
      </c>
      <c r="C53" s="892"/>
      <c r="D53" s="886"/>
      <c r="E53" s="887"/>
      <c r="F53" s="908"/>
      <c r="I53" s="1069" t="s">
        <v>1512</v>
      </c>
      <c r="J53" s="1070" t="e">
        <f ca="1">IF(M47="住宅",IF(D1="——",MAX(J51,L48),MAX(J51,L48-'数据-取费表'!B20)),IF(D1="——",MIN(J51,L48),MIN(J51,L48-'数据-取费表'!B20)))</f>
        <v>#N/A</v>
      </c>
      <c r="K53" s="1851" t="s">
        <v>1513</v>
      </c>
      <c r="L53" s="1852"/>
      <c r="M53" s="1850"/>
      <c r="O53" s="1063" t="s">
        <v>1514</v>
      </c>
      <c r="P53" s="1058" t="s">
        <v>1515</v>
      </c>
      <c r="Q53" s="1094" t="e">
        <f ca="1">J53</f>
        <v>#N/A</v>
      </c>
      <c r="R53" s="1058" t="s">
        <v>1516</v>
      </c>
    </row>
    <row r="54" s="716" customFormat="1" ht="18" customHeight="1" spans="1:18">
      <c r="A54" s="896" t="s">
        <v>1209</v>
      </c>
      <c r="B54" s="897" t="s">
        <v>1389</v>
      </c>
      <c r="C54" s="898"/>
      <c r="D54" s="886"/>
      <c r="E54" s="887"/>
      <c r="F54" s="908"/>
      <c r="I54" s="71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K54" s="1088"/>
      <c r="M54" s="1850"/>
      <c r="O54" s="1057" t="s">
        <v>1517</v>
      </c>
      <c r="P54" s="1058" t="s">
        <v>1518</v>
      </c>
      <c r="Q54" s="1094" t="e">
        <f ca="1">Q48+Q49</f>
        <v>#N/A</v>
      </c>
      <c r="R54" s="1096" t="s">
        <v>1519</v>
      </c>
    </row>
    <row r="55" s="716" customFormat="1" ht="18" customHeight="1" spans="1:18">
      <c r="A55" s="919">
        <v>2</v>
      </c>
      <c r="B55" s="1014" t="s">
        <v>1390</v>
      </c>
      <c r="C55" s="122" t="e">
        <f ca="1">C13</f>
        <v>#N/A</v>
      </c>
      <c r="D55" s="907"/>
      <c r="E55" s="907"/>
      <c r="F55" s="908"/>
      <c r="I55" s="1075" t="s">
        <v>1520</v>
      </c>
      <c r="J55" s="1076" t="e">
        <f ca="1">ROUND(IF(J47="钢混",J57/J50,1-(1-2%)*(J50-J57)/J50),3)</f>
        <v>#N/A</v>
      </c>
      <c r="K55" s="1077" t="s">
        <v>1521</v>
      </c>
      <c r="L55" s="1078"/>
      <c r="M55" s="1850"/>
      <c r="O55" s="1079" t="s">
        <v>1522</v>
      </c>
      <c r="P55" s="861"/>
      <c r="Q55" s="661"/>
      <c r="R55" s="861"/>
    </row>
    <row r="56" s="716" customFormat="1" ht="42.75" customHeight="1" spans="1:18">
      <c r="A56" s="1810"/>
      <c r="B56" s="1010" t="s">
        <v>1455</v>
      </c>
      <c r="C56" s="123" t="e">
        <f ca="1">C29</f>
        <v>#N/A</v>
      </c>
      <c r="D56" s="941"/>
      <c r="E56" s="910"/>
      <c r="F56" s="918"/>
      <c r="I56" s="1080" t="s">
        <v>1523</v>
      </c>
      <c r="J56" s="1081" t="s">
        <v>507</v>
      </c>
      <c r="K56" s="1054" t="s">
        <v>1524</v>
      </c>
      <c r="L56" s="710" t="e">
        <f ca="1">IF(L48&lt;J51,"——",L48-J51)</f>
        <v>#N/A</v>
      </c>
      <c r="M56" s="1850"/>
      <c r="O56" s="1052" t="s">
        <v>1483</v>
      </c>
      <c r="P56" s="1053" t="s">
        <v>1484</v>
      </c>
      <c r="Q56" s="1093" t="s">
        <v>1485</v>
      </c>
      <c r="R56" s="1053" t="s">
        <v>1486</v>
      </c>
    </row>
    <row r="57" s="716" customFormat="1" ht="28.5" customHeight="1" spans="1:18">
      <c r="A57" s="919" t="s">
        <v>1398</v>
      </c>
      <c r="B57" s="1014" t="s">
        <v>1399</v>
      </c>
      <c r="C57" s="122" t="e">
        <f ca="1">ROUND(C58+C63+C64+C65,0)</f>
        <v>#N/A</v>
      </c>
      <c r="D57" s="1011" t="s">
        <v>1400</v>
      </c>
      <c r="E57" s="125"/>
      <c r="F57" s="920"/>
      <c r="I57" s="1082" t="s">
        <v>1525</v>
      </c>
      <c r="J57" s="1083" t="e">
        <f ca="1">IF(OR(M47="住宅",J51&lt;L48,J56="是"),"——",J51-L48)</f>
        <v>#N/A</v>
      </c>
      <c r="K57" s="1054" t="s">
        <v>1526</v>
      </c>
      <c r="L57" s="710" t="e">
        <f ca="1">IF(L48&lt;J51,"——",IF(L55="比较法",L49,IF(L55="基准地价",L50,L51)))</f>
        <v>#N/A</v>
      </c>
      <c r="M57" s="1850"/>
      <c r="O57" s="1057" t="s">
        <v>1492</v>
      </c>
      <c r="P57" s="1058" t="s">
        <v>1493</v>
      </c>
      <c r="Q57" s="1094" t="e">
        <f ca="1">C40+J29</f>
        <v>#N/A</v>
      </c>
      <c r="R57" s="1058" t="s">
        <v>1494</v>
      </c>
    </row>
    <row r="58" s="716" customFormat="1" ht="28.5" customHeight="1" spans="1:18">
      <c r="A58" s="1806" t="s">
        <v>1145</v>
      </c>
      <c r="B58" s="910" t="s">
        <v>1405</v>
      </c>
      <c r="C58" s="940" t="e">
        <f ca="1">ROUND(IF(AND(项目基本情况!B11="自然人",项目基本情况!B10="北京市"),C48*F58/(1+'数据-取费表'!C42),C59+C60+C61),0)</f>
        <v>#N/A</v>
      </c>
      <c r="D58" s="912" t="s">
        <v>1406</v>
      </c>
      <c r="E58" s="941" t="s">
        <v>1407</v>
      </c>
      <c r="F58" s="942" t="str">
        <f ca="1">IF(项目基本情况!B11="企业","——",IF('数据-取费表'!B10="住宅",IF(F48*F49*F50/12/(1+'数据-取费表'!F30)&gt;100000,4%,2.5%),IF(F48*F49*F50/12/(1+'数据-取费表'!F30)&gt;100000,12%,7%)))</f>
        <v>——</v>
      </c>
      <c r="I58" s="1082" t="s">
        <v>1527</v>
      </c>
      <c r="J58" s="1084" t="e">
        <f ca="1">IF(J55&lt;0.4,0.4,J55)</f>
        <v>#N/A</v>
      </c>
      <c r="K58" s="1054" t="s">
        <v>1528</v>
      </c>
      <c r="L58" s="710" t="e">
        <f ca="1">ROUND(POWER(1+L52,L47-L48)*(POWER(1+L52,L48)-1)/(POWER(1+L52,L47)-1),4)</f>
        <v>#N/A</v>
      </c>
      <c r="M58" s="1850"/>
      <c r="O58" s="1057" t="s">
        <v>1497</v>
      </c>
      <c r="P58" s="1058" t="s">
        <v>1529</v>
      </c>
      <c r="Q58" s="1094" t="e">
        <f ca="1">L60</f>
        <v>#N/A</v>
      </c>
      <c r="R58" s="1096" t="s">
        <v>1530</v>
      </c>
    </row>
    <row r="59" s="716" customFormat="1" ht="28.5" customHeight="1" spans="1:18">
      <c r="A59" s="1805" t="s">
        <v>1166</v>
      </c>
      <c r="B59" s="910" t="s">
        <v>1409</v>
      </c>
      <c r="C59" s="123" t="e">
        <f ca="1">ROUND(C47*F59/1.05,1)</f>
        <v>#N/A</v>
      </c>
      <c r="D59" s="941" t="s">
        <v>1410</v>
      </c>
      <c r="E59" s="910" t="s">
        <v>1397</v>
      </c>
      <c r="F59" s="918">
        <f t="shared" ref="F59:F65" si="0">F32</f>
        <v>0.056</v>
      </c>
      <c r="I59" s="1082" t="s">
        <v>1531</v>
      </c>
      <c r="J59" s="1083" t="e">
        <f ca="1">IF(OR(M47="住宅",J51&lt;L48,J56="是"),"——",ROUND(C29*J58,0))</f>
        <v>#N/A</v>
      </c>
      <c r="K59" s="1054" t="str">
        <f>IF(D1="——","建筑物剩余耐用年限下的土地年期修正系数Kn","建设期及建筑物耐用年限下的土地年期修正系数Kn")</f>
        <v>建筑物剩余耐用年限下的土地年期修正系数Kn</v>
      </c>
      <c r="L59" s="710" t="e">
        <f ca="1">ROUND(IF(D1="土地（套用方法）",POWER(1+L52,L47-(J51+'数据-取费表'!B20))*(POWER(1+L52,(J51+'数据-取费表'!B20))-1)/(POWER(1+L52,L47)-1),POWER(1+L52,L47-J51)*(POWER(1+L52,J51)-1)/(POWER(1+L52,L47)-1)),4)</f>
        <v>#N/A</v>
      </c>
      <c r="M59" s="1850"/>
      <c r="O59" s="1063" t="s">
        <v>1502</v>
      </c>
      <c r="P59" s="1058" t="s">
        <v>1532</v>
      </c>
      <c r="Q59" s="1094">
        <f>IF(L55="比较法",L49,IF(L55="基准地价",L50,0))</f>
        <v>0</v>
      </c>
      <c r="R59" s="1058" t="s">
        <v>1494</v>
      </c>
    </row>
    <row r="60" s="716" customFormat="1" ht="18" customHeight="1" spans="1:18">
      <c r="A60" s="1805" t="s">
        <v>1170</v>
      </c>
      <c r="B60" s="910" t="s">
        <v>1413</v>
      </c>
      <c r="C60" s="123" t="e">
        <f ca="1">IF(D60="按租金收入计税",ROUND(C48*F60/(1+'数据-取费表'!C42),1),IF(D60="按房产原值计税",ROUND(C56*F60*0.7,1),INDIRECT("'数据-取费表'!Aj"&amp;$G$1)))</f>
        <v>#N/A</v>
      </c>
      <c r="D60" s="941" t="str">
        <f>D33</f>
        <v>按租金收入计税</v>
      </c>
      <c r="E60" s="910" t="s">
        <v>1397</v>
      </c>
      <c r="F60" s="918">
        <f t="shared" si="0"/>
        <v>0.12</v>
      </c>
      <c r="I60" s="1085" t="s">
        <v>1533</v>
      </c>
      <c r="J60" s="1086" t="e">
        <f ca="1">IF(OR(M47="住宅",J51&lt;L48,J56="是"),"0",ROUND(J59/(1+J52)^J53,0))</f>
        <v>#N/A</v>
      </c>
      <c r="K60" s="1087" t="s">
        <v>1534</v>
      </c>
      <c r="L60" s="1086" t="e">
        <f ca="1">IF(OR(M47="住宅",L48&lt;J51),0,ROUND(L57*(L58/L59-1),0))</f>
        <v>#N/A</v>
      </c>
      <c r="M60" s="1850"/>
      <c r="O60" s="1063" t="s">
        <v>1506</v>
      </c>
      <c r="P60" s="1058" t="s">
        <v>1535</v>
      </c>
      <c r="Q60" s="1095">
        <f>L52</f>
        <v>0</v>
      </c>
      <c r="R60" s="1096"/>
    </row>
    <row r="61" s="716" customFormat="1" ht="18" customHeight="1" spans="1:18">
      <c r="A61" s="1808" t="s">
        <v>1173</v>
      </c>
      <c r="B61" s="948" t="s">
        <v>1417</v>
      </c>
      <c r="C61" s="949" t="e">
        <f ca="1">ROUND(F61*F62/10000,1)</f>
        <v>#N/A</v>
      </c>
      <c r="D61" s="950" t="s">
        <v>1418</v>
      </c>
      <c r="E61" s="910" t="s">
        <v>1419</v>
      </c>
      <c r="F61" s="928">
        <f t="shared" si="0"/>
        <v>12</v>
      </c>
      <c r="K61" s="1088"/>
      <c r="O61" s="1063" t="s">
        <v>1510</v>
      </c>
      <c r="P61" s="1058" t="s">
        <v>1536</v>
      </c>
      <c r="Q61" s="1094" t="e">
        <f ca="1">L58</f>
        <v>#N/A</v>
      </c>
      <c r="R61" s="1096" t="s">
        <v>1537</v>
      </c>
    </row>
    <row r="62" s="716" customFormat="1" ht="15.75" spans="1:18">
      <c r="A62" s="951"/>
      <c r="B62" s="952"/>
      <c r="C62" s="953"/>
      <c r="D62" s="954"/>
      <c r="E62" s="910" t="s">
        <v>1423</v>
      </c>
      <c r="F62" s="872" t="e">
        <f ca="1" t="shared" si="0"/>
        <v>#N/A</v>
      </c>
      <c r="I62" s="1089" t="s">
        <v>1538</v>
      </c>
      <c r="J62" s="1090" t="s">
        <v>1539</v>
      </c>
      <c r="K62" s="1090" t="s">
        <v>1540</v>
      </c>
      <c r="L62" s="1090" t="s">
        <v>1490</v>
      </c>
      <c r="M62" s="1091" t="s">
        <v>1541</v>
      </c>
      <c r="O62" s="1063" t="s">
        <v>1514</v>
      </c>
      <c r="P62" s="1058" t="str">
        <f>K59</f>
        <v>建筑物剩余耐用年限下的土地年期修正系数Kn</v>
      </c>
      <c r="Q62" s="1094" t="e">
        <f ca="1">L59</f>
        <v>#N/A</v>
      </c>
      <c r="R62" s="1096" t="s">
        <v>1542</v>
      </c>
    </row>
    <row r="63" s="716" customFormat="1" ht="15.75" spans="1:18">
      <c r="A63" s="1806" t="s">
        <v>1147</v>
      </c>
      <c r="B63" s="910" t="s">
        <v>1426</v>
      </c>
      <c r="C63" s="123" t="e">
        <f ca="1">ROUND(C56*F63,1)</f>
        <v>#N/A</v>
      </c>
      <c r="D63" s="941" t="s">
        <v>1463</v>
      </c>
      <c r="E63" s="910" t="s">
        <v>1397</v>
      </c>
      <c r="F63" s="955" t="e">
        <f ca="1" t="shared" si="0"/>
        <v>#N/A</v>
      </c>
      <c r="I63" s="1089" t="s">
        <v>1543</v>
      </c>
      <c r="J63" s="1090">
        <v>70</v>
      </c>
      <c r="K63" s="1090">
        <v>50</v>
      </c>
      <c r="L63" s="1090">
        <v>80</v>
      </c>
      <c r="M63" s="1092">
        <v>0.02</v>
      </c>
      <c r="O63" s="1057" t="s">
        <v>1517</v>
      </c>
      <c r="P63" s="1058" t="s">
        <v>1518</v>
      </c>
      <c r="Q63" s="1094" t="e">
        <f ca="1">Q57+Q58</f>
        <v>#N/A</v>
      </c>
      <c r="R63" s="1096" t="s">
        <v>1519</v>
      </c>
    </row>
    <row r="64" s="716" customFormat="1" ht="16.5" spans="1:18">
      <c r="A64" s="1806" t="s">
        <v>1209</v>
      </c>
      <c r="B64" s="910" t="s">
        <v>1430</v>
      </c>
      <c r="C64" s="123" t="e">
        <f ca="1">ROUND(C55*F64,1)</f>
        <v>#N/A</v>
      </c>
      <c r="D64" s="941" t="s">
        <v>1431</v>
      </c>
      <c r="E64" s="910" t="s">
        <v>1397</v>
      </c>
      <c r="F64" s="956" t="e">
        <f ca="1" t="shared" si="0"/>
        <v>#N/A</v>
      </c>
      <c r="I64" s="1089" t="s">
        <v>1481</v>
      </c>
      <c r="J64" s="1090">
        <v>50</v>
      </c>
      <c r="K64" s="1090">
        <v>35</v>
      </c>
      <c r="L64" s="1090">
        <v>60</v>
      </c>
      <c r="M64" s="709">
        <v>0</v>
      </c>
      <c r="O64" s="1079" t="s">
        <v>1544</v>
      </c>
      <c r="P64" s="861"/>
      <c r="Q64" s="661"/>
      <c r="R64" s="861"/>
    </row>
    <row r="65" s="716" customFormat="1" ht="15.75" spans="1:18">
      <c r="A65" s="1806" t="s">
        <v>1424</v>
      </c>
      <c r="B65" s="910" t="s">
        <v>1415</v>
      </c>
      <c r="C65" s="123" t="e">
        <f ca="1">ROUND(C47*F65,1)</f>
        <v>#N/A</v>
      </c>
      <c r="D65" s="941" t="s">
        <v>1434</v>
      </c>
      <c r="E65" s="910" t="s">
        <v>1397</v>
      </c>
      <c r="F65" s="883" t="e">
        <f ca="1" t="shared" si="0"/>
        <v>#N/A</v>
      </c>
      <c r="I65" s="1089" t="s">
        <v>1545</v>
      </c>
      <c r="J65" s="1090">
        <v>40</v>
      </c>
      <c r="K65" s="1090">
        <v>30</v>
      </c>
      <c r="L65" s="1090">
        <v>50</v>
      </c>
      <c r="M65" s="1092">
        <v>0.02</v>
      </c>
      <c r="O65" s="1052" t="s">
        <v>1483</v>
      </c>
      <c r="P65" s="1053" t="s">
        <v>1484</v>
      </c>
      <c r="Q65" s="1093" t="s">
        <v>1485</v>
      </c>
      <c r="R65" s="1053" t="s">
        <v>1486</v>
      </c>
    </row>
    <row r="66" s="716" customFormat="1" ht="15.75" spans="1:18">
      <c r="A66" s="919" t="s">
        <v>1437</v>
      </c>
      <c r="B66" s="1016" t="s">
        <v>1438</v>
      </c>
      <c r="C66" s="122" t="e">
        <f ca="1">C47-C57</f>
        <v>#N/A</v>
      </c>
      <c r="D66" s="912" t="s">
        <v>1439</v>
      </c>
      <c r="E66" s="962"/>
      <c r="F66" s="963"/>
      <c r="K66" s="1088"/>
      <c r="O66" s="1057" t="s">
        <v>1492</v>
      </c>
      <c r="P66" s="1058" t="s">
        <v>1493</v>
      </c>
      <c r="Q66" s="1094" t="e">
        <f ca="1">C40+J29</f>
        <v>#N/A</v>
      </c>
      <c r="R66" s="1058" t="s">
        <v>1494</v>
      </c>
    </row>
    <row r="67" s="716" customFormat="1" ht="20.25" spans="1:18">
      <c r="A67" s="862" t="s">
        <v>1443</v>
      </c>
      <c r="B67" s="1818" t="s">
        <v>1468</v>
      </c>
      <c r="C67" s="999" t="e">
        <f ca="1">ROUND(C66*(1-((1+F69)/(1+F67))^F68)/(F67-F69),0)</f>
        <v>#N/A</v>
      </c>
      <c r="D67" s="950" t="s">
        <v>1445</v>
      </c>
      <c r="E67" s="910" t="s">
        <v>1546</v>
      </c>
      <c r="F67" s="883" t="e">
        <f ca="1" t="shared" ref="F67:F70" si="1">F40</f>
        <v>#N/A</v>
      </c>
      <c r="K67" s="1088"/>
      <c r="O67" s="1057" t="s">
        <v>1497</v>
      </c>
      <c r="P67" s="1058" t="s">
        <v>1529</v>
      </c>
      <c r="Q67" s="1094" t="e">
        <f ca="1">L60</f>
        <v>#N/A</v>
      </c>
      <c r="R67" s="1096" t="s">
        <v>1530</v>
      </c>
    </row>
    <row r="68" ht="24" spans="1:18">
      <c r="A68" s="881"/>
      <c r="B68" s="1017"/>
      <c r="C68" s="1000"/>
      <c r="D68" s="1018" t="s">
        <v>1449</v>
      </c>
      <c r="E68" s="910" t="s">
        <v>1450</v>
      </c>
      <c r="F68" s="1019">
        <f t="shared" si="1"/>
        <v>50</v>
      </c>
      <c r="O68" s="1063" t="s">
        <v>1502</v>
      </c>
      <c r="P68" s="1058" t="s">
        <v>1532</v>
      </c>
      <c r="Q68" s="1098" t="e">
        <f ca="1">L51</f>
        <v>#N/A</v>
      </c>
      <c r="R68" s="1099" t="s">
        <v>1547</v>
      </c>
    </row>
    <row r="69" ht="20.25" spans="1:18">
      <c r="A69" s="890"/>
      <c r="B69" s="1020"/>
      <c r="C69" s="905"/>
      <c r="D69" s="954"/>
      <c r="E69" s="910" t="s">
        <v>1453</v>
      </c>
      <c r="F69" s="1832"/>
      <c r="O69" s="1063" t="s">
        <v>1506</v>
      </c>
      <c r="P69" s="1097" t="s">
        <v>1548</v>
      </c>
      <c r="Q69" s="1094" t="e">
        <f ca="1">ROUND(Q70-Q71*Q72,0)</f>
        <v>#N/A</v>
      </c>
      <c r="R69" s="1096"/>
    </row>
    <row r="70" ht="15.75" spans="1:18">
      <c r="A70" s="935" t="s">
        <v>1456</v>
      </c>
      <c r="B70" s="1819" t="s">
        <v>1472</v>
      </c>
      <c r="C70" s="1022" t="e">
        <f ca="1">ROUND(C67*10000/F70,0)</f>
        <v>#N/A</v>
      </c>
      <c r="D70" s="1023" t="s">
        <v>1473</v>
      </c>
      <c r="E70" s="1024" t="s">
        <v>1474</v>
      </c>
      <c r="F70" s="980" t="e">
        <f ca="1" t="shared" si="1"/>
        <v>#N/A</v>
      </c>
      <c r="O70" s="1063" t="s">
        <v>1549</v>
      </c>
      <c r="P70" s="1097" t="s">
        <v>1550</v>
      </c>
      <c r="Q70" s="1094" t="e">
        <f ca="1">C39</f>
        <v>#N/A</v>
      </c>
      <c r="R70" s="1058" t="s">
        <v>1494</v>
      </c>
    </row>
    <row r="71" ht="15.75" spans="15:18">
      <c r="O71" s="1063" t="s">
        <v>1551</v>
      </c>
      <c r="P71" s="1097" t="s">
        <v>1552</v>
      </c>
      <c r="Q71" s="1094" t="e">
        <f ca="1">C13</f>
        <v>#N/A</v>
      </c>
      <c r="R71" s="1058" t="s">
        <v>1494</v>
      </c>
    </row>
    <row r="72" ht="15.75" spans="15:18">
      <c r="O72" s="1063" t="s">
        <v>1553</v>
      </c>
      <c r="P72" s="1097" t="s">
        <v>1554</v>
      </c>
      <c r="Q72" s="1095" t="e">
        <f ca="1">J36</f>
        <v>#N/A</v>
      </c>
      <c r="R72" s="1096"/>
    </row>
    <row r="73" ht="15.75" spans="15:18">
      <c r="O73" s="1063" t="s">
        <v>1510</v>
      </c>
      <c r="P73" s="1058" t="s">
        <v>1535</v>
      </c>
      <c r="Q73" s="1095">
        <f>L52</f>
        <v>0</v>
      </c>
      <c r="R73" s="1096"/>
    </row>
    <row r="74" ht="20.25" spans="15:18">
      <c r="O74" s="1063" t="s">
        <v>1514</v>
      </c>
      <c r="P74" s="1058" t="s">
        <v>1536</v>
      </c>
      <c r="Q74" s="1094" t="e">
        <f ca="1">L58</f>
        <v>#N/A</v>
      </c>
      <c r="R74" s="1096" t="s">
        <v>1537</v>
      </c>
    </row>
    <row r="75" ht="15.75" spans="15:18">
      <c r="O75" s="1063" t="s">
        <v>1555</v>
      </c>
      <c r="P75" s="1058" t="str">
        <f>K59</f>
        <v>建筑物剩余耐用年限下的土地年期修正系数Kn</v>
      </c>
      <c r="Q75" s="1094" t="e">
        <f ca="1">L59</f>
        <v>#N/A</v>
      </c>
      <c r="R75" s="1096" t="s">
        <v>1542</v>
      </c>
    </row>
    <row r="76" ht="15.75" spans="15:18">
      <c r="O76" s="1057" t="s">
        <v>1517</v>
      </c>
      <c r="P76" s="1058" t="s">
        <v>1518</v>
      </c>
      <c r="Q76" s="1094" t="e">
        <f ca="1">Q66+Q67</f>
        <v>#N/A</v>
      </c>
      <c r="R76" s="1096" t="s">
        <v>1519</v>
      </c>
    </row>
  </sheetData>
  <sheetProtection formatCells="0" formatColumns="0" formatRows="0"/>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3">
    <cfRule type="expression" dxfId="13" priority="1">
      <formula>$F$52="自定义"</formula>
    </cfRule>
  </conditionalFormatting>
  <conditionalFormatting sqref="I55">
    <cfRule type="expression" dxfId="14" priority="7">
      <formula>$J$51&gt;$L$48</formula>
    </cfRule>
  </conditionalFormatting>
  <conditionalFormatting sqref="K55">
    <cfRule type="expression" dxfId="14" priority="6">
      <formula>$L$48&gt;$J$51</formula>
    </cfRule>
  </conditionalFormatting>
  <conditionalFormatting sqref="I60">
    <cfRule type="expression" dxfId="14" priority="5">
      <formula>$J$51&gt;$L$48</formula>
    </cfRule>
  </conditionalFormatting>
  <conditionalFormatting sqref="K60">
    <cfRule type="expression" dxfId="14" priority="4">
      <formula>$L$48&gt;$J$51</formula>
    </cfRule>
  </conditionalFormatting>
  <dataValidations count="8">
    <dataValidation type="list" allowBlank="1" showInputMessage="1" showErrorMessage="1" sqref="D1">
      <formula1>"土地（套用方法）,——"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F10 M10 F52">
      <formula1>"押一,押二,押三,自定义"</formula1>
    </dataValidation>
    <dataValidation type="list" allowBlank="1" showInputMessage="1" showErrorMessage="1" sqref="C1:C3">
      <formula1>项目类型</formula1>
    </dataValidation>
    <dataValidation type="list" allowBlank="1" showInputMessage="1" showErrorMessage="1" sqref="J56">
      <formula1>判定</formula1>
    </dataValidation>
    <dataValidation type="list" allowBlank="1" showInputMessage="1" showErrorMessage="1" sqref="K19">
      <formula1>"按租金收入计税,按房产原值计税"</formula1>
    </dataValidation>
    <dataValidation type="list" allowBlank="1" showInputMessage="1" showErrorMessage="1" sqref="D33">
      <formula1>"按租金收入计税,按房产原值计税,按票据"</formula1>
    </dataValidation>
    <dataValidation type="list" allowBlank="1" showInputMessage="1" showErrorMessage="1" sqref="J47">
      <formula1>"钢,钢混,砖混"</formula1>
    </dataValidation>
  </dataValidations>
  <pageMargins left="0.7" right="0.7" top="0.75" bottom="0.75" header="0.3" footer="0.3"/>
  <pageSetup paperSize="9" scale="62"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2"/>
  <sheetViews>
    <sheetView view="pageLayout" zoomScale="80" zoomScaleNormal="100" topLeftCell="A25" workbookViewId="0">
      <selection activeCell="A30" sqref="A30"/>
    </sheetView>
  </sheetViews>
  <sheetFormatPr defaultColWidth="9" defaultRowHeight="13.5" outlineLevelCol="3"/>
  <cols>
    <col min="1" max="1" width="84" style="3574" customWidth="1"/>
    <col min="2" max="2" width="9" style="3574"/>
    <col min="3" max="4" width="9.625" style="3574" customWidth="1"/>
    <col min="5" max="16384" width="9" style="3574"/>
  </cols>
  <sheetData>
    <row r="1" ht="22.5" spans="1:1">
      <c r="A1" s="3575" t="s">
        <v>82</v>
      </c>
    </row>
    <row r="2" spans="1:1">
      <c r="A2" s="3576"/>
    </row>
    <row r="3" ht="18.75" spans="1:1">
      <c r="A3" s="3577" t="str">
        <f>项目基本情况!B5&amp;"："</f>
        <v>：</v>
      </c>
    </row>
    <row r="4" ht="37.5" spans="1:1">
      <c r="A4" s="3578" t="str">
        <f>"受贵公司委托，我公司对"&amp;项目基本情况!K2&amp;项目基本情况!B9&amp;"进行了预评估。"</f>
        <v>受贵公司委托，我公司对北京市出让国有建设用地使用权市场价格进行了预评估。</v>
      </c>
    </row>
    <row r="5" ht="18.75" spans="1:1">
      <c r="A5" s="3579" t="s">
        <v>83</v>
      </c>
    </row>
    <row r="6" ht="75" spans="1:1">
      <c r="A6" s="3578" t="str">
        <f>"估价对象为"&amp;项目基本情况!C11&amp;"使用的、位于"&amp;项目基本情况!K2&amp;"。"&amp;IF(项目基本情况!A22="——","根据"&amp;项目基本情况!E22&amp;"，估价对象（分摊）"&amp;项目基本情况!B16&amp;"国有建设用地使用权面积为"&amp;项目基本情况!C22&amp;"平方米。根据"&amp;项目基本情况!E21&amp;"，估价对象规划建筑面积为"&amp;项目基本情况!C21&amp;"平方米。","根据"&amp;项目基本情况!E22&amp;"，估价对象（分摊）"&amp;项目基本情况!B16&amp;"国有建设用地使用权面积为"&amp;项目基本情况!C22&amp;"平方米，规划建筑面积为"&amp;项目基本情况!C21&amp;"平方米。")</f>
        <v>估价对象为使用的、位于北京市出让国有建设用地使用权。根据《国有土地使用证》[]，估价对象（分摊）出让国有建设用地使用权面积为20468.06平方米。根据《建设工程规划许可证》[]、《出让合同》[]，估价对象规划建筑面积为57817.58平方米。</v>
      </c>
    </row>
    <row r="7" ht="56.25" spans="1:1">
      <c r="A7" s="3590" t="s">
        <v>84</v>
      </c>
    </row>
    <row r="8" ht="18.75" spans="1:1">
      <c r="A8" s="3579" t="s">
        <v>85</v>
      </c>
    </row>
    <row r="9" ht="37.5" spans="1:1">
      <c r="A9" s="3581" t="str">
        <f>IF(项目基本情况!B8="抵押",IF(项目基本情况!B5=项目基本情况!B6,定义!C51,定义!B51),定义!D51)</f>
        <v>本次评估为委托估价方了解标的物之市场价格提供参考依据而评估出让国有建设用地使用权市场价格。</v>
      </c>
    </row>
    <row r="10" ht="18.75" spans="1:1">
      <c r="A10" s="3577" t="s">
        <v>86</v>
      </c>
    </row>
    <row r="11" ht="18.75" spans="1:1">
      <c r="A11" s="3582" t="str">
        <f>TEXT(项目基本情况!D3,"yyyy年m月d日;;")&amp;IF(项目基本情况!B3=项目基本情况!D3,"（评估专业人员勘察现场之日）","")</f>
        <v>2021年11月19日</v>
      </c>
    </row>
    <row r="12" ht="18.75" spans="1:1">
      <c r="A12" s="3577" t="s">
        <v>87</v>
      </c>
    </row>
    <row r="13" ht="18.75" spans="1:1">
      <c r="A13" s="3578" t="s">
        <v>88</v>
      </c>
    </row>
    <row r="14" ht="18.75" spans="1:4">
      <c r="A14" s="3578" t="str">
        <f>"根据"&amp;项目基本情况!F12&amp;"，本次评估估价对象证载（地类）用途为"&amp;项目基本情况!B12&amp;"。"</f>
        <v>根据《国有土地使用证》[]，本次评估估价对象证载（地类）用途为。</v>
      </c>
      <c r="C14" s="3583"/>
      <c r="D14" s="3584"/>
    </row>
    <row r="15" ht="18.75" spans="1:4">
      <c r="A15" s="3578"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v>
      </c>
      <c r="C15" s="3583"/>
      <c r="D15" s="3584"/>
    </row>
    <row r="16" ht="18.75" spans="1:1">
      <c r="A16" s="3578" t="s">
        <v>89</v>
      </c>
    </row>
    <row r="17" ht="56.25" spans="1:1">
      <c r="A17" s="3578"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根据委托估价方介绍及评估专业人员现场勘查，本次评估估价对象实际土地开发程度为红线外市政基础设施达“七通”（即、、、、、、）、宗地红线内场地平整。</v>
      </c>
    </row>
    <row r="18" ht="37.5" spans="1:1">
      <c r="A18" s="3578" t="str">
        <f>IF(项目基本情况!B35="场地平整","本次评估设定土地开发程度为红线外市政基础设施达“"&amp;项目基本情况!T40&amp;"”、宗地红线内场地平整。",IF(项目基本情况!B35="宗地内已开工建设","由于估价对象已完成通平、具备施工条件，因此本次评估设定土地开发程度为红线外市政基础设施达“"&amp;项目基本情况!T40&amp;"”、宗地红线内场地平整。本次评估估价结果不包含上述在建工程或已建建筑物价格。",IF(AND(项目基本情况!B35="场地未平整",项目基本情况!D36="未平整"),"本次评估设定土地开发程度为红线外市政基础设施达“"&amp;项目基本情况!T40&amp;"”、宗地红线内场地未平整。"&amp;项目基本情况!H36,IF(项目基本情况!H36="",项目基本情况!E36&amp;"。本次评估设定土地开发程度为红线外市政基础设施达“"&amp;项目基本情况!T40&amp;"”、宗地红线内场地平整。",项目基本情况!E36&amp;"本次评估设定土地开发程度为红线外市政基础设施达“"&amp;项目基本情况!T40&amp;"”、宗地红线内场地平整。"&amp;项目基本情况!H36&amp;"。"))))</f>
        <v>。本次评估设定土地开发程度为红线外市政基础设施达“七通”、宗地红线内场地平整。</v>
      </c>
    </row>
    <row r="19" ht="18.75" spans="1:1">
      <c r="A19" s="3578" t="s">
        <v>90</v>
      </c>
    </row>
    <row r="20" ht="56.25" spans="1:1">
      <c r="A20" s="3585"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根据《国有土地使用证》[]，估价对象（分摊）出让国有建设用地使用权面积为20468.06平方米。根据《建设工程规划许可证》[]、《出让合同》[]，估价对象规划建筑面积为57817.58平方米。</v>
      </c>
    </row>
    <row r="21" ht="18.75" spans="1:1">
      <c r="A21" s="3578" t="s">
        <v>91</v>
      </c>
    </row>
    <row r="22" ht="56.25" spans="1:1">
      <c r="A22" s="3578" t="str">
        <f>IF(项目基本情况!B16="出让",IF(项目基本情况!C14="一致","本次估价对象为出让国有建设用地使用权，"&amp;项目基本情况!F12&amp;"证载土地终止日期为"&amp;项目基本情况!K17&amp;"。截至估价期日，出让国有建设用地使用权剩余土地使用年限为"&amp;项目基本情况!D20&amp;"。","本次估价对象为出让国有建设用地使用权，依据"&amp;项目基本情况!F12&amp;"、"&amp;项目基本情况!F13&amp;"，土地终止日期为"&amp;项目基本情况!K17&amp;"。截至估价期日，出让国有建设用地使用权剩余土地使用年限为"&amp;项目基本情况!D20&amp;"。"),"本次估价对象国有建设用地使用权类型为划拨，无土地使用年限限制。")</f>
        <v>本次估价对象为出让国有建设用地使用权，《国有土地使用证》[]证载土地终止日期为办公及地下办公2058年12月18日、地下车库2058年12月18日。截至估价期日，出让国有建设用地使用权剩余土地使用年限为。</v>
      </c>
    </row>
    <row r="23" ht="18.75" spans="1:1">
      <c r="A23" s="3578" t="str">
        <f>IF(项目基本情况!B16="出让","本次评估设定估价对象剩余土地使用年限为"&amp;项目基本情况!D20&amp;"。","")</f>
        <v>本次评估设定估价对象剩余土地使用年限为。</v>
      </c>
    </row>
    <row r="24" ht="18.75" spans="1:1">
      <c r="A24" s="3578" t="s">
        <v>92</v>
      </c>
    </row>
    <row r="25" ht="75" spans="1:1">
      <c r="A25" s="3578" t="str">
        <f>定义!C53</f>
        <v>本次估价的“出让国有建设用地使用权价格”是指在估价对象土地所有权为国家所有，使用权性质为出让，在公开市场条件下、于估价期日2021年11月19日，在规划利用条件下、设定土地开发程度为红线外“七通”、宗地内场地，设定用途为，剩余土地使用年限为的出让国有建设用地使用权价格。</v>
      </c>
    </row>
    <row r="26" ht="18.75" spans="1:1">
      <c r="A26" s="3578" t="str">
        <f>IF(项目基本情况!B9="市场价格","——",IF(项目基本情况!E8="抵押价格",定义!C54,IF(项目基本情况!E8="已注销",定义!C55,定义!C56)))</f>
        <v>——</v>
      </c>
    </row>
    <row r="27" ht="18.75" spans="1:1">
      <c r="A27" s="3578" t="str">
        <f>IF(项目基本情况!B9="市场价格","——",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v>
      </c>
    </row>
    <row r="28" ht="18.75" spans="1:1">
      <c r="A28" s="3578" t="str">
        <f>IF(项目基本情况!B9="市场价格","——",IF(项目基本情况!E9="——","",定义!C57))</f>
        <v>——</v>
      </c>
    </row>
    <row r="29" ht="18.75" spans="1:1">
      <c r="A29" s="3577" t="s">
        <v>93</v>
      </c>
    </row>
    <row r="30" ht="75" spans="1:1">
      <c r="A30" s="3578"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剩余法、基准地价系数修正法），在认真分析现有资料的基础上，通过仔细测算和认真分析各种影响土地价格的因素，确定估价对象于估价期日的出让国有建设用地使用权预评估价格详见估价结果一览表。</v>
      </c>
    </row>
    <row r="31" spans="1:1">
      <c r="A31" s="3588"/>
    </row>
    <row r="32" ht="18.75" spans="1:1">
      <c r="A32" s="3589" t="s">
        <v>94</v>
      </c>
    </row>
  </sheetData>
  <sheetProtection sheet="1" formatCells="0" formatRows="0" insertRows="0" deleteRows="0" objects="1" scenarios="1"/>
  <printOptions horizontalCentered="1"/>
  <pageMargins left="0.984251968503937" right="0.78740157480315" top="1.18110236220472" bottom="0.905511811023622" header="0.866141732283464"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853"/>
  <sheetViews>
    <sheetView view="pageBreakPreview" zoomScale="80" zoomScaleNormal="60" topLeftCell="C23" workbookViewId="0">
      <selection activeCell="G33" sqref="G33"/>
    </sheetView>
  </sheetViews>
  <sheetFormatPr defaultColWidth="9" defaultRowHeight="14.25"/>
  <cols>
    <col min="1" max="1" width="10.5" style="201" customWidth="1"/>
    <col min="2" max="2" width="15.75" style="201" customWidth="1"/>
    <col min="3" max="3" width="17.5" style="201" customWidth="1"/>
    <col min="4" max="4" width="12.25" style="201" customWidth="1"/>
    <col min="5" max="5" width="16.375" style="201" customWidth="1"/>
    <col min="6" max="6" width="12.25" style="201" customWidth="1"/>
    <col min="7" max="7" width="17.625" style="201" customWidth="1"/>
    <col min="8" max="8" width="12.25" style="201" customWidth="1"/>
    <col min="9" max="9" width="17.125" style="201" customWidth="1"/>
    <col min="10" max="10" width="12.25" style="201" customWidth="1"/>
    <col min="11" max="11" width="12.25" style="202" customWidth="1"/>
    <col min="12" max="12" width="12.25" style="203" customWidth="1"/>
    <col min="13" max="15" width="12.25" style="201" customWidth="1"/>
    <col min="16" max="16" width="4.75" style="1753" customWidth="1"/>
    <col min="17" max="17" width="19.5" style="201" customWidth="1"/>
    <col min="18" max="22" width="6.125" style="201" customWidth="1"/>
    <col min="23" max="23" width="5.75" style="201" customWidth="1"/>
    <col min="24" max="24" width="4.25" style="201" customWidth="1"/>
    <col min="25" max="25" width="3.5" style="201" customWidth="1"/>
    <col min="26" max="26" width="19.75" style="201" customWidth="1"/>
    <col min="27" max="28" width="9.375" style="201" customWidth="1"/>
    <col min="29" max="16384" width="9" style="201"/>
  </cols>
  <sheetData>
    <row r="1" s="195" customFormat="1" ht="28.5" customHeight="1" spans="1:29">
      <c r="A1" s="204" t="s">
        <v>1556</v>
      </c>
      <c r="B1" s="576" t="s">
        <v>1557</v>
      </c>
      <c r="C1" s="206" t="s">
        <v>1558</v>
      </c>
      <c r="D1" s="207" t="s">
        <v>567</v>
      </c>
      <c r="E1" s="208"/>
      <c r="F1" s="209" t="s">
        <v>985</v>
      </c>
      <c r="G1" s="210" t="s">
        <v>1559</v>
      </c>
      <c r="H1" s="208"/>
      <c r="I1" s="208"/>
      <c r="J1" s="208"/>
      <c r="K1" s="390"/>
      <c r="L1" s="391"/>
      <c r="M1" s="392"/>
      <c r="N1" s="392"/>
      <c r="O1" s="392"/>
      <c r="P1" s="1767"/>
      <c r="Q1" s="393"/>
      <c r="R1" s="393"/>
      <c r="S1" s="393"/>
      <c r="T1" s="393"/>
      <c r="U1" s="393"/>
      <c r="V1" s="393"/>
      <c r="W1" s="393"/>
      <c r="X1" s="393"/>
      <c r="Y1" s="393"/>
      <c r="Z1" s="393"/>
      <c r="AA1" s="393"/>
      <c r="AB1" s="393"/>
      <c r="AC1" s="503"/>
    </row>
    <row r="2" s="195" customFormat="1" ht="28.5" customHeight="1" spans="1:29">
      <c r="A2" s="211" t="s">
        <v>1202</v>
      </c>
      <c r="B2" s="212">
        <f>ROUND(B3*D3/10000,0)</f>
        <v>10</v>
      </c>
      <c r="C2" s="213"/>
      <c r="D2" s="213"/>
      <c r="E2" s="505"/>
      <c r="F2" s="215"/>
      <c r="G2" s="214"/>
      <c r="H2" s="214"/>
      <c r="I2" s="214"/>
      <c r="J2" s="214"/>
      <c r="K2" s="214"/>
      <c r="L2" s="395"/>
      <c r="M2" s="393"/>
      <c r="N2" s="393"/>
      <c r="O2" s="393"/>
      <c r="P2" s="1767"/>
      <c r="Q2" s="393"/>
      <c r="R2" s="393"/>
      <c r="S2" s="393"/>
      <c r="T2" s="393"/>
      <c r="U2" s="393"/>
      <c r="V2" s="393"/>
      <c r="W2" s="393"/>
      <c r="X2" s="393"/>
      <c r="Y2" s="393"/>
      <c r="Z2" s="393"/>
      <c r="AA2" s="393"/>
      <c r="AB2" s="393"/>
      <c r="AC2" s="503"/>
    </row>
    <row r="3" s="195" customFormat="1" ht="28.5" customHeight="1" spans="1:29">
      <c r="A3" s="216" t="s">
        <v>1368</v>
      </c>
      <c r="B3" s="217">
        <f>C50</f>
        <v>3.8</v>
      </c>
      <c r="C3" s="218" t="s">
        <v>1560</v>
      </c>
      <c r="D3" s="219">
        <f>SUMIF('数据-汇总表'!$C19:$C33,D1,'数据-汇总表'!$E19:$E33)</f>
        <v>25022.71</v>
      </c>
      <c r="E3" s="505"/>
      <c r="F3" s="215"/>
      <c r="G3" s="214"/>
      <c r="H3" s="214"/>
      <c r="I3" s="214"/>
      <c r="J3" s="214"/>
      <c r="K3" s="394"/>
      <c r="L3" s="395"/>
      <c r="M3" s="393"/>
      <c r="N3" s="393"/>
      <c r="O3" s="393"/>
      <c r="P3" s="1767"/>
      <c r="Q3" s="393"/>
      <c r="R3" s="393"/>
      <c r="S3" s="393"/>
      <c r="T3" s="393"/>
      <c r="U3" s="393"/>
      <c r="V3" s="393"/>
      <c r="W3" s="393"/>
      <c r="X3" s="393"/>
      <c r="Y3" s="393"/>
      <c r="Z3" s="393"/>
      <c r="AA3" s="393"/>
      <c r="AB3" s="393"/>
      <c r="AC3" s="503"/>
    </row>
    <row r="4" ht="15" spans="1:29">
      <c r="A4" s="220" t="s">
        <v>1284</v>
      </c>
      <c r="B4" s="221"/>
      <c r="C4" s="222" t="s">
        <v>1285</v>
      </c>
      <c r="D4" s="223"/>
      <c r="E4" s="224" t="s">
        <v>1286</v>
      </c>
      <c r="F4" s="225"/>
      <c r="G4" s="222" t="s">
        <v>1287</v>
      </c>
      <c r="H4" s="223"/>
      <c r="I4" s="222" t="s">
        <v>1288</v>
      </c>
      <c r="J4" s="223"/>
      <c r="K4" s="396" t="s">
        <v>1289</v>
      </c>
      <c r="L4" s="397"/>
      <c r="M4" s="398"/>
      <c r="N4" s="398"/>
      <c r="O4" s="398"/>
      <c r="P4" s="1768" t="s">
        <v>1290</v>
      </c>
      <c r="Q4" s="472"/>
      <c r="R4" s="473" t="s">
        <v>1286</v>
      </c>
      <c r="S4" s="474"/>
      <c r="T4" s="473" t="s">
        <v>1287</v>
      </c>
      <c r="U4" s="474"/>
      <c r="V4" s="475" t="s">
        <v>1288</v>
      </c>
      <c r="W4" s="475"/>
      <c r="X4" s="476"/>
      <c r="Y4" s="473" t="s">
        <v>1290</v>
      </c>
      <c r="Z4" s="474"/>
      <c r="AA4" s="506" t="s">
        <v>1286</v>
      </c>
      <c r="AB4" s="506" t="s">
        <v>1287</v>
      </c>
      <c r="AC4" s="506" t="s">
        <v>1288</v>
      </c>
    </row>
    <row r="5" ht="15" spans="1:29">
      <c r="A5" s="226"/>
      <c r="B5" s="227"/>
      <c r="C5" s="228" t="s">
        <v>1291</v>
      </c>
      <c r="D5" s="229"/>
      <c r="E5" s="1754" t="s">
        <v>1561</v>
      </c>
      <c r="F5" s="231"/>
      <c r="G5" s="1755" t="s">
        <v>1562</v>
      </c>
      <c r="H5" s="229"/>
      <c r="I5" s="1755" t="s">
        <v>1563</v>
      </c>
      <c r="J5" s="229"/>
      <c r="K5" s="396"/>
      <c r="L5" s="397"/>
      <c r="M5" s="398"/>
      <c r="N5" s="398"/>
      <c r="O5" s="398"/>
      <c r="P5" s="1769"/>
      <c r="Q5" s="477"/>
      <c r="R5" s="478"/>
      <c r="S5" s="479"/>
      <c r="T5" s="478"/>
      <c r="U5" s="479"/>
      <c r="V5" s="475"/>
      <c r="W5" s="475"/>
      <c r="X5" s="476"/>
      <c r="Y5" s="478"/>
      <c r="Z5" s="479"/>
      <c r="AA5" s="476"/>
      <c r="AB5" s="476"/>
      <c r="AC5" s="476"/>
    </row>
    <row r="6" ht="15.75" spans="1:29">
      <c r="A6" s="232"/>
      <c r="B6" s="233"/>
      <c r="C6" s="234" t="s">
        <v>1295</v>
      </c>
      <c r="D6" s="235"/>
      <c r="E6" s="236" t="s">
        <v>1295</v>
      </c>
      <c r="F6" s="237"/>
      <c r="G6" s="234" t="s">
        <v>1295</v>
      </c>
      <c r="H6" s="235"/>
      <c r="I6" s="234" t="s">
        <v>1295</v>
      </c>
      <c r="J6" s="235"/>
      <c r="K6" s="396" t="s">
        <v>1296</v>
      </c>
      <c r="L6" s="397"/>
      <c r="M6" s="398"/>
      <c r="N6" s="398"/>
      <c r="O6" s="398"/>
      <c r="P6" s="1770"/>
      <c r="Q6" s="480"/>
      <c r="R6" s="478"/>
      <c r="S6" s="479"/>
      <c r="T6" s="481"/>
      <c r="U6" s="482"/>
      <c r="V6" s="475"/>
      <c r="W6" s="475"/>
      <c r="X6" s="476"/>
      <c r="Y6" s="481"/>
      <c r="Z6" s="482"/>
      <c r="AA6" s="507"/>
      <c r="AB6" s="507"/>
      <c r="AC6" s="507"/>
    </row>
    <row r="7" s="196" customFormat="1" ht="15.75" spans="1:29">
      <c r="A7" s="238"/>
      <c r="B7" s="239" t="s">
        <v>1297</v>
      </c>
      <c r="C7" s="240">
        <f>'数据-取费表'!B2</f>
        <v>44519</v>
      </c>
      <c r="D7" s="241">
        <v>100</v>
      </c>
      <c r="E7" s="242">
        <f>C7</f>
        <v>44519</v>
      </c>
      <c r="F7" s="243">
        <f>SUMIF(59:59,YEAR(E7)&amp;"-"&amp;MONTH(E7),60:60)</f>
        <v>100</v>
      </c>
      <c r="G7" s="242">
        <f>C7</f>
        <v>44519</v>
      </c>
      <c r="H7" s="241">
        <f>SUMIF(59:59,YEAR(G7)&amp;"-"&amp;MONTH(G7),60:60)</f>
        <v>100</v>
      </c>
      <c r="I7" s="242">
        <f>C7</f>
        <v>44519</v>
      </c>
      <c r="J7" s="241">
        <f>SUMIF(59:59,YEAR(I7)&amp;"-"&amp;MONTH(I7),60:60)</f>
        <v>100</v>
      </c>
      <c r="K7" s="402"/>
      <c r="L7" s="403"/>
      <c r="M7" s="404"/>
      <c r="N7" s="404"/>
      <c r="O7" s="404"/>
      <c r="P7" s="483" t="s">
        <v>1298</v>
      </c>
      <c r="Q7" s="483"/>
      <c r="R7" s="484" t="s">
        <v>1299</v>
      </c>
      <c r="S7" s="485">
        <f t="shared" ref="S7:S15" si="0">F7</f>
        <v>100</v>
      </c>
      <c r="T7" s="484" t="s">
        <v>1299</v>
      </c>
      <c r="U7" s="485">
        <f t="shared" ref="U7:U15" si="1">H7</f>
        <v>100</v>
      </c>
      <c r="V7" s="484" t="s">
        <v>1299</v>
      </c>
      <c r="W7" s="485">
        <f t="shared" ref="W7:W15" si="2">J7</f>
        <v>100</v>
      </c>
      <c r="X7" s="486"/>
      <c r="Y7" s="405" t="s">
        <v>1298</v>
      </c>
      <c r="Z7" s="487"/>
      <c r="AA7" s="508">
        <f>D7/F7</f>
        <v>1</v>
      </c>
      <c r="AB7" s="508">
        <f>D7/H7</f>
        <v>1</v>
      </c>
      <c r="AC7" s="508">
        <f>D7/J7</f>
        <v>1</v>
      </c>
    </row>
    <row r="8" s="196" customFormat="1" ht="15.75" spans="1:29">
      <c r="A8" s="245"/>
      <c r="B8" s="246" t="s">
        <v>1300</v>
      </c>
      <c r="C8" s="247" t="s">
        <v>1301</v>
      </c>
      <c r="D8" s="241">
        <v>100</v>
      </c>
      <c r="E8" s="247" t="s">
        <v>1564</v>
      </c>
      <c r="F8" s="243">
        <f>SUMIF(62:62,E8,63:63)-SUMIF(62:62,C8,63:63)+100</f>
        <v>100</v>
      </c>
      <c r="G8" s="247" t="s">
        <v>1564</v>
      </c>
      <c r="H8" s="241">
        <f>SUMIF(62:62,G8,63:63)-SUMIF(62:62,C8,63:63)+100</f>
        <v>100</v>
      </c>
      <c r="I8" s="247" t="s">
        <v>1564</v>
      </c>
      <c r="J8" s="241">
        <f>SUMIF(62:62,I8,63:63)-SUMIF(62:62,C8,63:63)+100</f>
        <v>100</v>
      </c>
      <c r="K8" s="402"/>
      <c r="L8" s="403"/>
      <c r="M8" s="404"/>
      <c r="N8" s="404"/>
      <c r="O8" s="404"/>
      <c r="P8" s="483" t="s">
        <v>1302</v>
      </c>
      <c r="Q8" s="487"/>
      <c r="R8" s="484" t="s">
        <v>1299</v>
      </c>
      <c r="S8" s="485">
        <f t="shared" si="0"/>
        <v>100</v>
      </c>
      <c r="T8" s="484" t="s">
        <v>1299</v>
      </c>
      <c r="U8" s="485">
        <f t="shared" si="1"/>
        <v>100</v>
      </c>
      <c r="V8" s="484" t="s">
        <v>1299</v>
      </c>
      <c r="W8" s="485">
        <f t="shared" si="2"/>
        <v>100</v>
      </c>
      <c r="X8" s="486"/>
      <c r="Y8" s="405" t="s">
        <v>1302</v>
      </c>
      <c r="Z8" s="487"/>
      <c r="AA8" s="508">
        <f t="shared" ref="AA8:AA47" si="3">D8/F8</f>
        <v>1</v>
      </c>
      <c r="AB8" s="508">
        <f t="shared" ref="AB8:AB47" si="4">D8/H8</f>
        <v>1</v>
      </c>
      <c r="AC8" s="508">
        <f t="shared" ref="AC8:AC47" si="5">D8/J8</f>
        <v>1</v>
      </c>
    </row>
    <row r="9" s="196" customFormat="1" ht="15" spans="1:29">
      <c r="A9" s="248"/>
      <c r="B9" s="249" t="s">
        <v>1303</v>
      </c>
      <c r="C9" s="1756" t="s">
        <v>1565</v>
      </c>
      <c r="D9" s="251">
        <v>100</v>
      </c>
      <c r="E9" s="252" t="s">
        <v>1565</v>
      </c>
      <c r="F9" s="251">
        <f>SUMIF(64:64,E9,65:65)-SUMIF(64:64,C9,65:65)+100</f>
        <v>100</v>
      </c>
      <c r="G9" s="544" t="s">
        <v>1565</v>
      </c>
      <c r="H9" s="251">
        <f>SUMIF(64:64,G9,65:65)-SUMIF(64:64,C9,65:65)+100</f>
        <v>100</v>
      </c>
      <c r="I9" s="544" t="s">
        <v>1565</v>
      </c>
      <c r="J9" s="251">
        <f>SUMIF(64:64,I9,65:65)-SUMIF(64:64,C9,65:65)+100</f>
        <v>100</v>
      </c>
      <c r="K9" s="402"/>
      <c r="L9" s="403"/>
      <c r="M9" s="404"/>
      <c r="N9" s="404"/>
      <c r="O9" s="404"/>
      <c r="P9" s="407" t="s">
        <v>1304</v>
      </c>
      <c r="Q9" s="488" t="str">
        <f t="shared" ref="Q9:Q15" si="6">B9</f>
        <v>用途</v>
      </c>
      <c r="R9" s="484" t="s">
        <v>1299</v>
      </c>
      <c r="S9" s="485">
        <f t="shared" si="0"/>
        <v>100</v>
      </c>
      <c r="T9" s="484" t="s">
        <v>1299</v>
      </c>
      <c r="U9" s="485">
        <f t="shared" si="1"/>
        <v>100</v>
      </c>
      <c r="V9" s="484" t="s">
        <v>1299</v>
      </c>
      <c r="W9" s="485">
        <f t="shared" si="2"/>
        <v>100</v>
      </c>
      <c r="X9" s="486"/>
      <c r="Y9" s="488" t="s">
        <v>1305</v>
      </c>
      <c r="Z9" s="509" t="str">
        <f t="shared" ref="Z9:Z15" si="7">Q9</f>
        <v>用途</v>
      </c>
      <c r="AA9" s="508">
        <f t="shared" si="3"/>
        <v>1</v>
      </c>
      <c r="AB9" s="508">
        <f t="shared" si="4"/>
        <v>1</v>
      </c>
      <c r="AC9" s="508">
        <f t="shared" si="5"/>
        <v>1</v>
      </c>
    </row>
    <row r="10" s="197" customFormat="1" ht="27" spans="1:29">
      <c r="A10" s="253"/>
      <c r="B10" s="246" t="s">
        <v>1306</v>
      </c>
      <c r="C10" s="254"/>
      <c r="D10" s="255">
        <v>100</v>
      </c>
      <c r="E10" s="254"/>
      <c r="F10" s="255">
        <f>SUMIF(66:66,E10,67:67)-SUMIF(66:66,C10,67:67)+100</f>
        <v>100</v>
      </c>
      <c r="G10" s="256"/>
      <c r="H10" s="255">
        <f>SUMIF(66:66,G10,67:67)-SUMIF(66:66,C10,67:67)+100</f>
        <v>100</v>
      </c>
      <c r="I10" s="254"/>
      <c r="J10" s="255">
        <f>SUMIF(66:66,I10,67:67)-SUMIF(66:66,C10,67:67)+100</f>
        <v>100</v>
      </c>
      <c r="K10" s="408"/>
      <c r="L10" s="409"/>
      <c r="M10" s="410"/>
      <c r="N10" s="410"/>
      <c r="O10" s="410"/>
      <c r="P10" s="407"/>
      <c r="Q10" s="488" t="str">
        <f t="shared" si="6"/>
        <v>土地使用年限（年）</v>
      </c>
      <c r="R10" s="484" t="s">
        <v>1299</v>
      </c>
      <c r="S10" s="485">
        <f t="shared" si="0"/>
        <v>100</v>
      </c>
      <c r="T10" s="484" t="s">
        <v>1299</v>
      </c>
      <c r="U10" s="485">
        <f t="shared" si="1"/>
        <v>100</v>
      </c>
      <c r="V10" s="484" t="s">
        <v>1299</v>
      </c>
      <c r="W10" s="485">
        <f t="shared" si="2"/>
        <v>100</v>
      </c>
      <c r="X10" s="486"/>
      <c r="Y10" s="488"/>
      <c r="Z10" s="509" t="str">
        <f t="shared" si="7"/>
        <v>土地使用年限（年）</v>
      </c>
      <c r="AA10" s="508">
        <f t="shared" si="3"/>
        <v>1</v>
      </c>
      <c r="AB10" s="508">
        <f t="shared" si="4"/>
        <v>1</v>
      </c>
      <c r="AC10" s="508">
        <f t="shared" si="5"/>
        <v>1</v>
      </c>
    </row>
    <row r="11" ht="15" spans="1:29">
      <c r="A11" s="577"/>
      <c r="B11" s="246" t="s">
        <v>1307</v>
      </c>
      <c r="C11" s="578">
        <v>2</v>
      </c>
      <c r="D11" s="255">
        <v>100</v>
      </c>
      <c r="E11" s="578">
        <v>2</v>
      </c>
      <c r="F11" s="255">
        <f>LOOKUP(E11,69:69,70:70)-LOOKUP(C11,69:69,70:70)+100</f>
        <v>100</v>
      </c>
      <c r="G11" s="579">
        <v>2</v>
      </c>
      <c r="H11" s="255">
        <f>LOOKUP(G11,69:69,70:70)-LOOKUP(C11,69:69,70:70)+100</f>
        <v>100</v>
      </c>
      <c r="I11" s="578">
        <v>2</v>
      </c>
      <c r="J11" s="255">
        <f>LOOKUP(I11,69:69,70:70)-LOOKUP(C11,69:69,70:70)+100</f>
        <v>100</v>
      </c>
      <c r="K11" s="408"/>
      <c r="L11" s="413"/>
      <c r="M11" s="398"/>
      <c r="N11" s="398"/>
      <c r="O11" s="398"/>
      <c r="P11" s="407"/>
      <c r="Q11" s="488" t="str">
        <f t="shared" si="6"/>
        <v>容积率</v>
      </c>
      <c r="R11" s="484" t="s">
        <v>1299</v>
      </c>
      <c r="S11" s="485">
        <f t="shared" si="0"/>
        <v>100</v>
      </c>
      <c r="T11" s="484" t="s">
        <v>1299</v>
      </c>
      <c r="U11" s="485">
        <f t="shared" si="1"/>
        <v>100</v>
      </c>
      <c r="V11" s="484" t="s">
        <v>1299</v>
      </c>
      <c r="W11" s="485">
        <f t="shared" si="2"/>
        <v>100</v>
      </c>
      <c r="X11" s="486"/>
      <c r="Y11" s="488"/>
      <c r="Z11" s="509" t="str">
        <f t="shared" si="7"/>
        <v>容积率</v>
      </c>
      <c r="AA11" s="508">
        <f t="shared" si="3"/>
        <v>1</v>
      </c>
      <c r="AB11" s="508">
        <f t="shared" si="4"/>
        <v>1</v>
      </c>
      <c r="AC11" s="508">
        <f t="shared" si="5"/>
        <v>1</v>
      </c>
    </row>
    <row r="12" s="196" customFormat="1" ht="15" spans="1:29">
      <c r="A12" s="257"/>
      <c r="B12" s="258">
        <v>111</v>
      </c>
      <c r="C12" s="259"/>
      <c r="D12" s="261">
        <v>100</v>
      </c>
      <c r="E12" s="259"/>
      <c r="F12" s="255">
        <f>SUMIF(71:71,E12,72:72)-SUMIF(71:71,C12,72:72)+100</f>
        <v>100</v>
      </c>
      <c r="G12" s="1757"/>
      <c r="H12" s="255">
        <f>SUMIF(71:71,G12,72:72)-SUMIF(71:71,C12,72:72)+100</f>
        <v>100</v>
      </c>
      <c r="I12" s="259"/>
      <c r="J12" s="255">
        <f>SUMIF(71:71,I12,72:72)-SUMIF(71:71,C12,72:72)+100</f>
        <v>100</v>
      </c>
      <c r="K12" s="412"/>
      <c r="L12" s="403"/>
      <c r="M12" s="404"/>
      <c r="N12" s="404"/>
      <c r="O12" s="404"/>
      <c r="P12" s="407"/>
      <c r="Q12" s="488">
        <f t="shared" si="6"/>
        <v>111</v>
      </c>
      <c r="R12" s="484" t="s">
        <v>1299</v>
      </c>
      <c r="S12" s="485">
        <f t="shared" si="0"/>
        <v>100</v>
      </c>
      <c r="T12" s="484" t="s">
        <v>1299</v>
      </c>
      <c r="U12" s="485">
        <f t="shared" si="1"/>
        <v>100</v>
      </c>
      <c r="V12" s="484" t="s">
        <v>1299</v>
      </c>
      <c r="W12" s="485">
        <f t="shared" si="2"/>
        <v>100</v>
      </c>
      <c r="X12" s="486"/>
      <c r="Y12" s="488"/>
      <c r="Z12" s="509">
        <f t="shared" si="7"/>
        <v>111</v>
      </c>
      <c r="AA12" s="508">
        <f t="shared" si="3"/>
        <v>1</v>
      </c>
      <c r="AB12" s="508">
        <f t="shared" si="4"/>
        <v>1</v>
      </c>
      <c r="AC12" s="508">
        <f t="shared" si="5"/>
        <v>1</v>
      </c>
    </row>
    <row r="13" ht="15" spans="1:29">
      <c r="A13" s="257"/>
      <c r="B13" s="258">
        <v>111</v>
      </c>
      <c r="C13" s="264"/>
      <c r="D13" s="265">
        <v>100</v>
      </c>
      <c r="E13" s="259"/>
      <c r="F13" s="255">
        <f>SUMIF(73:73,E13,74:74)-SUMIF(73:73,C13,74:74)+100</f>
        <v>100</v>
      </c>
      <c r="G13" s="1757"/>
      <c r="H13" s="265">
        <f>SUMIF(73:73,G13,74:74)-SUMIF(73:73,C13,74:74)+100</f>
        <v>100</v>
      </c>
      <c r="I13" s="259"/>
      <c r="J13" s="265">
        <f>SUMIF(73:73,I13,74:74)-SUMIF(73:73,C13,74:74)+100</f>
        <v>100</v>
      </c>
      <c r="K13" s="412"/>
      <c r="L13" s="415"/>
      <c r="M13" s="398"/>
      <c r="N13" s="398"/>
      <c r="O13" s="398"/>
      <c r="P13" s="407"/>
      <c r="Q13" s="488">
        <f t="shared" si="6"/>
        <v>111</v>
      </c>
      <c r="R13" s="484" t="s">
        <v>1299</v>
      </c>
      <c r="S13" s="485">
        <f t="shared" si="0"/>
        <v>100</v>
      </c>
      <c r="T13" s="484" t="s">
        <v>1299</v>
      </c>
      <c r="U13" s="485">
        <f t="shared" si="1"/>
        <v>100</v>
      </c>
      <c r="V13" s="484" t="s">
        <v>1299</v>
      </c>
      <c r="W13" s="485">
        <f t="shared" si="2"/>
        <v>100</v>
      </c>
      <c r="X13" s="486"/>
      <c r="Y13" s="488"/>
      <c r="Z13" s="509">
        <f t="shared" si="7"/>
        <v>111</v>
      </c>
      <c r="AA13" s="508">
        <f t="shared" si="3"/>
        <v>1</v>
      </c>
      <c r="AB13" s="508">
        <f t="shared" si="4"/>
        <v>1</v>
      </c>
      <c r="AC13" s="508">
        <f t="shared" si="5"/>
        <v>1</v>
      </c>
    </row>
    <row r="14" ht="15.75" spans="1:29">
      <c r="A14" s="262"/>
      <c r="B14" s="263">
        <v>111</v>
      </c>
      <c r="C14" s="317"/>
      <c r="D14" s="318">
        <v>100</v>
      </c>
      <c r="E14" s="552"/>
      <c r="F14" s="318">
        <f>SUMIF(75:75,E14,76:76)-SUMIF(75:75,C14,76:76)+100</f>
        <v>100</v>
      </c>
      <c r="G14" s="1757"/>
      <c r="H14" s="318">
        <f>SUMIF(75:75,G14,76:76)-SUMIF(75:75,C14,76:76)+100</f>
        <v>100</v>
      </c>
      <c r="I14" s="259"/>
      <c r="J14" s="318">
        <f>SUMIF(75:75,I14,76:76)-SUMIF(75:75,C14,76:76)+100</f>
        <v>100</v>
      </c>
      <c r="K14" s="412"/>
      <c r="L14" s="415"/>
      <c r="M14" s="398"/>
      <c r="N14" s="398"/>
      <c r="O14" s="398"/>
      <c r="P14" s="407"/>
      <c r="Q14" s="488">
        <f t="shared" si="6"/>
        <v>111</v>
      </c>
      <c r="R14" s="484" t="s">
        <v>1299</v>
      </c>
      <c r="S14" s="485">
        <f t="shared" si="0"/>
        <v>100</v>
      </c>
      <c r="T14" s="484" t="s">
        <v>1299</v>
      </c>
      <c r="U14" s="485">
        <f t="shared" si="1"/>
        <v>100</v>
      </c>
      <c r="V14" s="484" t="s">
        <v>1299</v>
      </c>
      <c r="W14" s="485">
        <f t="shared" si="2"/>
        <v>100</v>
      </c>
      <c r="X14" s="486"/>
      <c r="Y14" s="488"/>
      <c r="Z14" s="509">
        <f t="shared" si="7"/>
        <v>111</v>
      </c>
      <c r="AA14" s="508">
        <f t="shared" si="3"/>
        <v>1</v>
      </c>
      <c r="AB14" s="508">
        <f t="shared" si="4"/>
        <v>1</v>
      </c>
      <c r="AC14" s="508">
        <f t="shared" si="5"/>
        <v>1</v>
      </c>
    </row>
    <row r="15" ht="54.75" spans="1:29">
      <c r="A15" s="266" t="s">
        <v>1309</v>
      </c>
      <c r="B15" s="545" t="s">
        <v>227</v>
      </c>
      <c r="C15" s="1758" t="str">
        <f>估价对象房地状况!C5</f>
        <v>估价对象位于XX商圈，周边办公楼项目较多，入驻率高，办公集聚程度较好</v>
      </c>
      <c r="D15" s="269">
        <v>100</v>
      </c>
      <c r="E15" s="272"/>
      <c r="F15" s="269">
        <f>SUMIF(77:77,E16,78:78)-SUMIF(77:77,C16,78:78)+100</f>
        <v>100</v>
      </c>
      <c r="G15" s="270"/>
      <c r="H15" s="269">
        <f>SUMIF(77:77,G16,78:78)-SUMIF(77:77,C16,78:78)+100</f>
        <v>100</v>
      </c>
      <c r="I15" s="270"/>
      <c r="J15" s="269">
        <f>SUMIF(77:77,I16,78:78)-SUMIF(77:77,C16,78:78)+100</f>
        <v>100</v>
      </c>
      <c r="K15" s="416"/>
      <c r="L15" s="415"/>
      <c r="M15" s="398"/>
      <c r="N15" s="398"/>
      <c r="O15" s="398"/>
      <c r="P15" s="417" t="s">
        <v>1310</v>
      </c>
      <c r="Q15" s="407" t="str">
        <f t="shared" si="6"/>
        <v>办公集聚程度</v>
      </c>
      <c r="R15" s="489" t="s">
        <v>1299</v>
      </c>
      <c r="S15" s="490">
        <f t="shared" si="0"/>
        <v>100</v>
      </c>
      <c r="T15" s="489" t="s">
        <v>1299</v>
      </c>
      <c r="U15" s="490">
        <f t="shared" si="1"/>
        <v>100</v>
      </c>
      <c r="V15" s="489" t="s">
        <v>1299</v>
      </c>
      <c r="W15" s="490">
        <f t="shared" si="2"/>
        <v>100</v>
      </c>
      <c r="X15" s="476"/>
      <c r="Y15" s="417" t="s">
        <v>1310</v>
      </c>
      <c r="Z15" s="475" t="str">
        <f t="shared" si="7"/>
        <v>办公集聚程度</v>
      </c>
      <c r="AA15" s="495">
        <f t="shared" si="3"/>
        <v>1</v>
      </c>
      <c r="AB15" s="495">
        <f t="shared" si="4"/>
        <v>1</v>
      </c>
      <c r="AC15" s="495">
        <f t="shared" si="5"/>
        <v>1</v>
      </c>
    </row>
    <row r="16" ht="15" spans="1:29">
      <c r="A16" s="273"/>
      <c r="B16" s="1759"/>
      <c r="C16" s="1760" t="s">
        <v>958</v>
      </c>
      <c r="D16" s="276"/>
      <c r="E16" s="275" t="s">
        <v>958</v>
      </c>
      <c r="F16" s="276"/>
      <c r="G16" s="1760" t="s">
        <v>958</v>
      </c>
      <c r="H16" s="278"/>
      <c r="I16" s="275" t="s">
        <v>958</v>
      </c>
      <c r="J16" s="276"/>
      <c r="K16" s="418"/>
      <c r="L16" s="415"/>
      <c r="M16" s="398"/>
      <c r="N16" s="398"/>
      <c r="O16" s="398"/>
      <c r="P16" s="419"/>
      <c r="Q16" s="407"/>
      <c r="R16" s="489"/>
      <c r="S16" s="490"/>
      <c r="T16" s="489"/>
      <c r="U16" s="490"/>
      <c r="V16" s="489"/>
      <c r="W16" s="490"/>
      <c r="X16" s="476"/>
      <c r="Y16" s="419"/>
      <c r="Z16" s="475"/>
      <c r="AA16" s="495">
        <v>1</v>
      </c>
      <c r="AB16" s="495">
        <v>1</v>
      </c>
      <c r="AC16" s="495">
        <v>1</v>
      </c>
    </row>
    <row r="17" ht="67.5" spans="1:29">
      <c r="A17" s="273"/>
      <c r="B17" s="547" t="s">
        <v>229</v>
      </c>
      <c r="C17" s="1761" t="str">
        <f>估价对象房地状况!C6</f>
        <v>估价对象周边道路状况、公共交通通达情况、停车便捷程度，综合评价交通便捷度较好</v>
      </c>
      <c r="D17" s="278">
        <v>100</v>
      </c>
      <c r="E17" s="290"/>
      <c r="F17" s="278">
        <f>SUMIF(79:79,E18,80:80)-SUMIF(79:79,C18,80:80)+100</f>
        <v>100</v>
      </c>
      <c r="G17" s="288"/>
      <c r="H17" s="281">
        <f>SUMIF(79:79,G18,80:80)-SUMIF(79:79,C18,80:80)+100</f>
        <v>100</v>
      </c>
      <c r="I17" s="288"/>
      <c r="J17" s="281">
        <f>SUMIF(79:79,I18,80:80)-SUMIF(79:79,C18,80:80)+100</f>
        <v>100</v>
      </c>
      <c r="K17" s="416"/>
      <c r="L17" s="415"/>
      <c r="M17" s="398"/>
      <c r="N17" s="398"/>
      <c r="O17" s="398"/>
      <c r="P17" s="419"/>
      <c r="Q17" s="407" t="str">
        <f>B17</f>
        <v>交通便捷度</v>
      </c>
      <c r="R17" s="489" t="s">
        <v>1299</v>
      </c>
      <c r="S17" s="490">
        <f>F17</f>
        <v>100</v>
      </c>
      <c r="T17" s="489" t="s">
        <v>1299</v>
      </c>
      <c r="U17" s="490">
        <f>H17</f>
        <v>100</v>
      </c>
      <c r="V17" s="489" t="s">
        <v>1299</v>
      </c>
      <c r="W17" s="490">
        <f>J17</f>
        <v>100</v>
      </c>
      <c r="X17" s="476"/>
      <c r="Y17" s="419"/>
      <c r="Z17" s="475" t="str">
        <f>Q17</f>
        <v>交通便捷度</v>
      </c>
      <c r="AA17" s="495">
        <f t="shared" si="3"/>
        <v>1</v>
      </c>
      <c r="AB17" s="495">
        <f t="shared" si="4"/>
        <v>1</v>
      </c>
      <c r="AC17" s="495">
        <f t="shared" si="5"/>
        <v>1</v>
      </c>
    </row>
    <row r="18" ht="15" spans="1:29">
      <c r="A18" s="273"/>
      <c r="B18" s="285"/>
      <c r="C18" s="1762" t="s">
        <v>958</v>
      </c>
      <c r="D18" s="278"/>
      <c r="E18" s="582" t="s">
        <v>958</v>
      </c>
      <c r="F18" s="278"/>
      <c r="G18" s="581" t="s">
        <v>958</v>
      </c>
      <c r="H18" s="276"/>
      <c r="I18" s="581" t="s">
        <v>958</v>
      </c>
      <c r="J18" s="276"/>
      <c r="K18" s="418"/>
      <c r="L18" s="415"/>
      <c r="M18" s="398"/>
      <c r="N18" s="398"/>
      <c r="O18" s="398"/>
      <c r="P18" s="419"/>
      <c r="Q18" s="407"/>
      <c r="R18" s="489"/>
      <c r="S18" s="490"/>
      <c r="T18" s="489"/>
      <c r="U18" s="490"/>
      <c r="V18" s="489"/>
      <c r="W18" s="490"/>
      <c r="X18" s="476"/>
      <c r="Y18" s="419"/>
      <c r="Z18" s="475"/>
      <c r="AA18" s="495">
        <v>1</v>
      </c>
      <c r="AB18" s="495">
        <v>1</v>
      </c>
      <c r="AC18" s="495">
        <v>1</v>
      </c>
    </row>
    <row r="19" ht="27" spans="1:29">
      <c r="A19" s="273"/>
      <c r="B19" s="279" t="s">
        <v>231</v>
      </c>
      <c r="C19" s="1761" t="str">
        <f>估价对象房地状况!C7</f>
        <v>估价对象所在区域公共配套设施齐备情况</v>
      </c>
      <c r="D19" s="281">
        <v>100</v>
      </c>
      <c r="E19" s="284"/>
      <c r="F19" s="281">
        <f>SUMIF(81:81,E20,82:82)-SUMIF(81:81,C20,82:82)+100</f>
        <v>100</v>
      </c>
      <c r="G19" s="282"/>
      <c r="H19" s="278">
        <f>SUMIF(81:81,G20,82:82)-SUMIF(81:81,C20,82:82)+100</f>
        <v>100</v>
      </c>
      <c r="I19" s="282"/>
      <c r="J19" s="278">
        <f>SUMIF(81:81,I20,82:82)-SUMIF(81:81,C20,82:82)+100</f>
        <v>100</v>
      </c>
      <c r="K19" s="416"/>
      <c r="L19" s="415"/>
      <c r="M19" s="398"/>
      <c r="N19" s="398"/>
      <c r="O19" s="398"/>
      <c r="P19" s="419"/>
      <c r="Q19" s="407" t="str">
        <f>B19</f>
        <v>公共配套设施</v>
      </c>
      <c r="R19" s="489" t="s">
        <v>1299</v>
      </c>
      <c r="S19" s="490">
        <f>F19</f>
        <v>100</v>
      </c>
      <c r="T19" s="489" t="s">
        <v>1299</v>
      </c>
      <c r="U19" s="490">
        <f>H19</f>
        <v>100</v>
      </c>
      <c r="V19" s="489" t="s">
        <v>1299</v>
      </c>
      <c r="W19" s="490">
        <f>J19</f>
        <v>100</v>
      </c>
      <c r="X19" s="476"/>
      <c r="Y19" s="419"/>
      <c r="Z19" s="475" t="str">
        <f>Q19</f>
        <v>公共配套设施</v>
      </c>
      <c r="AA19" s="495">
        <f t="shared" si="3"/>
        <v>1</v>
      </c>
      <c r="AB19" s="495">
        <f t="shared" si="4"/>
        <v>1</v>
      </c>
      <c r="AC19" s="495">
        <f t="shared" si="5"/>
        <v>1</v>
      </c>
    </row>
    <row r="20" ht="15" spans="1:29">
      <c r="A20" s="273"/>
      <c r="B20" s="285"/>
      <c r="C20" s="1760" t="s">
        <v>959</v>
      </c>
      <c r="D20" s="276"/>
      <c r="E20" s="584" t="s">
        <v>959</v>
      </c>
      <c r="F20" s="276"/>
      <c r="G20" s="583" t="s">
        <v>959</v>
      </c>
      <c r="H20" s="276"/>
      <c r="I20" s="583" t="s">
        <v>959</v>
      </c>
      <c r="J20" s="276"/>
      <c r="K20" s="418"/>
      <c r="L20" s="415"/>
      <c r="M20" s="398"/>
      <c r="N20" s="398"/>
      <c r="O20" s="398"/>
      <c r="P20" s="419"/>
      <c r="Q20" s="407"/>
      <c r="R20" s="489"/>
      <c r="S20" s="490"/>
      <c r="T20" s="489"/>
      <c r="U20" s="490"/>
      <c r="V20" s="489"/>
      <c r="W20" s="490"/>
      <c r="X20" s="476"/>
      <c r="Y20" s="419"/>
      <c r="Z20" s="475"/>
      <c r="AA20" s="495">
        <v>1</v>
      </c>
      <c r="AB20" s="495">
        <v>1</v>
      </c>
      <c r="AC20" s="495">
        <v>1</v>
      </c>
    </row>
    <row r="21" ht="27" spans="1:29">
      <c r="A21" s="273"/>
      <c r="B21" s="287" t="s">
        <v>232</v>
      </c>
      <c r="C21" s="1761" t="str">
        <f>估价对象房地状况!C8</f>
        <v>估价对象所在区域基础设施水平</v>
      </c>
      <c r="D21" s="281">
        <v>100</v>
      </c>
      <c r="E21" s="284"/>
      <c r="F21" s="281">
        <f>SUMIF(83:83,E22,84:84)-SUMIF(83:83,C22,84:84)+100</f>
        <v>100</v>
      </c>
      <c r="G21" s="282"/>
      <c r="H21" s="281">
        <f>SUMIF(83:83,G22,84:84)-SUMIF(83:83,C22,84:84)+100</f>
        <v>100</v>
      </c>
      <c r="I21" s="282"/>
      <c r="J21" s="281">
        <f>SUMIF(83:83,I22,84:84)-SUMIF(83:83,C22,84:84)+100</f>
        <v>100</v>
      </c>
      <c r="K21" s="416"/>
      <c r="L21" s="415"/>
      <c r="M21" s="398"/>
      <c r="N21" s="398"/>
      <c r="O21" s="398"/>
      <c r="P21" s="419"/>
      <c r="Q21" s="407" t="str">
        <f>B21</f>
        <v>基础设施水平</v>
      </c>
      <c r="R21" s="489" t="s">
        <v>1299</v>
      </c>
      <c r="S21" s="490">
        <f>F21</f>
        <v>100</v>
      </c>
      <c r="T21" s="489" t="s">
        <v>1299</v>
      </c>
      <c r="U21" s="490">
        <f>H21</f>
        <v>100</v>
      </c>
      <c r="V21" s="489" t="s">
        <v>1299</v>
      </c>
      <c r="W21" s="490">
        <f>J21</f>
        <v>100</v>
      </c>
      <c r="X21" s="476"/>
      <c r="Y21" s="419"/>
      <c r="Z21" s="475" t="str">
        <f>Q21</f>
        <v>基础设施水平</v>
      </c>
      <c r="AA21" s="495">
        <f t="shared" ref="AA21" si="8">D21/F21</f>
        <v>1</v>
      </c>
      <c r="AB21" s="495">
        <f t="shared" ref="AB21" si="9">D21/H21</f>
        <v>1</v>
      </c>
      <c r="AC21" s="495">
        <f t="shared" ref="AC21" si="10">D21/J21</f>
        <v>1</v>
      </c>
    </row>
    <row r="22" ht="15" spans="1:29">
      <c r="A22" s="273"/>
      <c r="B22" s="291"/>
      <c r="C22" s="1762" t="s">
        <v>247</v>
      </c>
      <c r="D22" s="276"/>
      <c r="E22" s="275" t="s">
        <v>247</v>
      </c>
      <c r="F22" s="276"/>
      <c r="G22" s="1760" t="s">
        <v>247</v>
      </c>
      <c r="H22" s="276"/>
      <c r="I22" s="1760" t="s">
        <v>247</v>
      </c>
      <c r="J22" s="276"/>
      <c r="K22" s="420"/>
      <c r="L22" s="415"/>
      <c r="M22" s="398"/>
      <c r="N22" s="398"/>
      <c r="O22" s="398"/>
      <c r="P22" s="419"/>
      <c r="Q22" s="407"/>
      <c r="R22" s="489"/>
      <c r="S22" s="490"/>
      <c r="T22" s="489"/>
      <c r="U22" s="490"/>
      <c r="V22" s="489"/>
      <c r="W22" s="490"/>
      <c r="X22" s="476"/>
      <c r="Y22" s="419"/>
      <c r="Z22" s="475"/>
      <c r="AA22" s="495">
        <v>1</v>
      </c>
      <c r="AB22" s="495">
        <v>1</v>
      </c>
      <c r="AC22" s="495">
        <v>1</v>
      </c>
    </row>
    <row r="23" ht="40.5" spans="1:29">
      <c r="A23" s="273"/>
      <c r="B23" s="547" t="s">
        <v>233</v>
      </c>
      <c r="C23" s="1761" t="str">
        <f>估价对象房地状况!C9</f>
        <v>区域自然环境：；人文环境；综合评价环境状况一般</v>
      </c>
      <c r="D23" s="278">
        <v>100</v>
      </c>
      <c r="E23" s="290"/>
      <c r="F23" s="278">
        <f>SUMIF(85:85,E24,86:86)-SUMIF(85:85,C24,86:86)+100</f>
        <v>100</v>
      </c>
      <c r="G23" s="288"/>
      <c r="H23" s="278">
        <f>SUMIF(85:85,G24,86:86)-SUMIF(85:85,C24,86:86)+100</f>
        <v>100</v>
      </c>
      <c r="I23" s="288"/>
      <c r="J23" s="278">
        <f>SUMIF(85:85,I24,86:86)-SUMIF(85:85,C24,86:86)+100</f>
        <v>100</v>
      </c>
      <c r="K23" s="416"/>
      <c r="L23" s="415"/>
      <c r="M23" s="398"/>
      <c r="N23" s="398"/>
      <c r="O23" s="398"/>
      <c r="P23" s="419"/>
      <c r="Q23" s="407" t="str">
        <f>B23</f>
        <v>环境质量</v>
      </c>
      <c r="R23" s="489" t="s">
        <v>1299</v>
      </c>
      <c r="S23" s="490">
        <f>F23</f>
        <v>100</v>
      </c>
      <c r="T23" s="489" t="s">
        <v>1299</v>
      </c>
      <c r="U23" s="490">
        <f>H23</f>
        <v>100</v>
      </c>
      <c r="V23" s="489" t="s">
        <v>1299</v>
      </c>
      <c r="W23" s="490">
        <f>J23</f>
        <v>100</v>
      </c>
      <c r="X23" s="476"/>
      <c r="Y23" s="419"/>
      <c r="Z23" s="475" t="str">
        <f>Q23</f>
        <v>环境质量</v>
      </c>
      <c r="AA23" s="495">
        <f t="shared" si="3"/>
        <v>1</v>
      </c>
      <c r="AB23" s="495">
        <f t="shared" si="4"/>
        <v>1</v>
      </c>
      <c r="AC23" s="495">
        <f t="shared" si="5"/>
        <v>1</v>
      </c>
    </row>
    <row r="24" ht="15" spans="1:29">
      <c r="A24" s="273"/>
      <c r="B24" s="291"/>
      <c r="C24" s="1760" t="s">
        <v>959</v>
      </c>
      <c r="D24" s="276"/>
      <c r="E24" s="584" t="s">
        <v>959</v>
      </c>
      <c r="F24" s="276"/>
      <c r="G24" s="583" t="s">
        <v>959</v>
      </c>
      <c r="H24" s="276"/>
      <c r="I24" s="583" t="s">
        <v>959</v>
      </c>
      <c r="J24" s="276"/>
      <c r="K24" s="418"/>
      <c r="L24" s="415"/>
      <c r="M24" s="398"/>
      <c r="N24" s="398"/>
      <c r="O24" s="398"/>
      <c r="P24" s="419"/>
      <c r="Q24" s="407"/>
      <c r="R24" s="489"/>
      <c r="S24" s="490"/>
      <c r="T24" s="489"/>
      <c r="U24" s="490"/>
      <c r="V24" s="489"/>
      <c r="W24" s="490"/>
      <c r="X24" s="476"/>
      <c r="Y24" s="419"/>
      <c r="Z24" s="475"/>
      <c r="AA24" s="495">
        <v>1</v>
      </c>
      <c r="AB24" s="495">
        <v>1</v>
      </c>
      <c r="AC24" s="495">
        <v>1</v>
      </c>
    </row>
    <row r="25" ht="27" spans="1:29">
      <c r="A25" s="226"/>
      <c r="B25" s="547" t="s">
        <v>1312</v>
      </c>
      <c r="C25" s="613"/>
      <c r="D25" s="265">
        <v>100</v>
      </c>
      <c r="E25" s="264"/>
      <c r="F25" s="265">
        <f>SUMIF(87:87,E26,88:88)-SUMIF(87:87,C26,88:88)+100</f>
        <v>100</v>
      </c>
      <c r="G25" s="613"/>
      <c r="H25" s="265">
        <f>SUMIF(87:87,G26,88:88)-SUMIF(87:87,C26,88:88)+100</f>
        <v>100</v>
      </c>
      <c r="I25" s="264"/>
      <c r="J25" s="265">
        <f>SUMIF(87:87,I26,88:88)-SUMIF(87:87,C26,88:88)+100</f>
        <v>100</v>
      </c>
      <c r="K25" s="416"/>
      <c r="L25" s="415"/>
      <c r="M25" s="398"/>
      <c r="N25" s="398"/>
      <c r="O25" s="398"/>
      <c r="P25" s="419"/>
      <c r="Q25" s="407" t="str">
        <f>B25</f>
        <v>毗邻道路的类型与等级</v>
      </c>
      <c r="R25" s="489" t="s">
        <v>1299</v>
      </c>
      <c r="S25" s="490">
        <f>F25</f>
        <v>100</v>
      </c>
      <c r="T25" s="489" t="s">
        <v>1299</v>
      </c>
      <c r="U25" s="490">
        <f>H25</f>
        <v>100</v>
      </c>
      <c r="V25" s="489" t="s">
        <v>1299</v>
      </c>
      <c r="W25" s="490">
        <f>J25</f>
        <v>100</v>
      </c>
      <c r="X25" s="476"/>
      <c r="Y25" s="419"/>
      <c r="Z25" s="475" t="str">
        <f>Q25</f>
        <v>毗邻道路的类型与等级</v>
      </c>
      <c r="AA25" s="495">
        <f t="shared" si="3"/>
        <v>1</v>
      </c>
      <c r="AB25" s="495">
        <f t="shared" si="4"/>
        <v>1</v>
      </c>
      <c r="AC25" s="495">
        <f t="shared" si="5"/>
        <v>1</v>
      </c>
    </row>
    <row r="26" ht="15" spans="1:29">
      <c r="A26" s="226"/>
      <c r="B26" s="285"/>
      <c r="C26" s="1763"/>
      <c r="D26" s="265"/>
      <c r="E26" s="294"/>
      <c r="F26" s="265"/>
      <c r="G26" s="1763"/>
      <c r="H26" s="265"/>
      <c r="I26" s="294"/>
      <c r="J26" s="265"/>
      <c r="K26" s="418"/>
      <c r="L26" s="415"/>
      <c r="M26" s="398"/>
      <c r="N26" s="398"/>
      <c r="O26" s="398"/>
      <c r="P26" s="419"/>
      <c r="Q26" s="407"/>
      <c r="R26" s="489"/>
      <c r="S26" s="490"/>
      <c r="T26" s="489"/>
      <c r="U26" s="490"/>
      <c r="V26" s="489"/>
      <c r="W26" s="490"/>
      <c r="X26" s="476"/>
      <c r="Y26" s="419"/>
      <c r="Z26" s="475"/>
      <c r="AA26" s="495">
        <v>1</v>
      </c>
      <c r="AB26" s="495">
        <v>1</v>
      </c>
      <c r="AC26" s="495">
        <v>1</v>
      </c>
    </row>
    <row r="27" ht="15" spans="1:29">
      <c r="A27" s="273"/>
      <c r="B27" s="285" t="s">
        <v>1566</v>
      </c>
      <c r="C27" s="1763" t="s">
        <v>1567</v>
      </c>
      <c r="D27" s="265">
        <v>100</v>
      </c>
      <c r="E27" s="294" t="s">
        <v>1567</v>
      </c>
      <c r="F27" s="265">
        <f>SUMIF(89:89,E27,90:90)-SUMIF(89:89,C27,90:90)+100</f>
        <v>100</v>
      </c>
      <c r="G27" s="1763" t="s">
        <v>1567</v>
      </c>
      <c r="H27" s="265">
        <f>SUMIF(89:89,G27,90:90)-SUMIF(89:89,C27,90:90)+100</f>
        <v>100</v>
      </c>
      <c r="I27" s="294" t="s">
        <v>1567</v>
      </c>
      <c r="J27" s="265">
        <f>SUMIF(89:89,I27,90:90)-SUMIF(89:89,C27,90:90)+100</f>
        <v>100</v>
      </c>
      <c r="K27" s="408"/>
      <c r="L27" s="415"/>
      <c r="M27" s="398"/>
      <c r="N27" s="398"/>
      <c r="O27" s="398"/>
      <c r="P27" s="419"/>
      <c r="Q27" s="407" t="str">
        <f t="shared" ref="Q27:Q47" si="11">B27</f>
        <v>楼层</v>
      </c>
      <c r="R27" s="489" t="s">
        <v>1299</v>
      </c>
      <c r="S27" s="490">
        <f>F27</f>
        <v>100</v>
      </c>
      <c r="T27" s="489" t="s">
        <v>1299</v>
      </c>
      <c r="U27" s="490">
        <f>H27</f>
        <v>100</v>
      </c>
      <c r="V27" s="489" t="s">
        <v>1299</v>
      </c>
      <c r="W27" s="490">
        <f>J27</f>
        <v>100</v>
      </c>
      <c r="X27" s="476"/>
      <c r="Y27" s="419"/>
      <c r="Z27" s="475" t="str">
        <f>Q27</f>
        <v>楼层</v>
      </c>
      <c r="AA27" s="495">
        <f t="shared" si="3"/>
        <v>1</v>
      </c>
      <c r="AB27" s="495">
        <f t="shared" si="4"/>
        <v>1</v>
      </c>
      <c r="AC27" s="495">
        <f t="shared" si="5"/>
        <v>1</v>
      </c>
    </row>
    <row r="28" s="196" customFormat="1" ht="15" spans="1:29">
      <c r="A28" s="297"/>
      <c r="B28" s="547" t="s">
        <v>1568</v>
      </c>
      <c r="C28" s="1764"/>
      <c r="D28" s="587">
        <v>100</v>
      </c>
      <c r="E28" s="618"/>
      <c r="F28" s="587">
        <f>SUMIF(91:91,E28,92:92)-SUMIF(91:91,C28,92:92)+100</f>
        <v>100</v>
      </c>
      <c r="G28" s="1764"/>
      <c r="H28" s="587">
        <f>SUMIF(91:91,G28,92:92)-SUMIF(91:91,C28,92:92)+100</f>
        <v>100</v>
      </c>
      <c r="I28" s="618"/>
      <c r="J28" s="587">
        <f>SUMIF(91:91,I28,92:92)-SUMIF(91:91,C28,92:92)+100</f>
        <v>100</v>
      </c>
      <c r="K28" s="408"/>
      <c r="L28" s="403"/>
      <c r="M28" s="404"/>
      <c r="N28" s="404"/>
      <c r="O28" s="404"/>
      <c r="P28" s="419"/>
      <c r="Q28" s="488" t="str">
        <f t="shared" si="11"/>
        <v>朝向</v>
      </c>
      <c r="R28" s="484" t="s">
        <v>1299</v>
      </c>
      <c r="S28" s="485">
        <f>F28</f>
        <v>100</v>
      </c>
      <c r="T28" s="484" t="s">
        <v>1299</v>
      </c>
      <c r="U28" s="485">
        <f>H28</f>
        <v>100</v>
      </c>
      <c r="V28" s="484" t="s">
        <v>1299</v>
      </c>
      <c r="W28" s="485">
        <f>J28</f>
        <v>100</v>
      </c>
      <c r="X28" s="486"/>
      <c r="Y28" s="419"/>
      <c r="Z28" s="509" t="str">
        <f>Q28</f>
        <v>朝向</v>
      </c>
      <c r="AA28" s="495">
        <f t="shared" si="3"/>
        <v>1</v>
      </c>
      <c r="AB28" s="495">
        <f t="shared" si="4"/>
        <v>1</v>
      </c>
      <c r="AC28" s="495">
        <f t="shared" si="5"/>
        <v>1</v>
      </c>
    </row>
    <row r="29" ht="15" spans="1:29">
      <c r="A29" s="273"/>
      <c r="B29" s="1765">
        <v>111</v>
      </c>
      <c r="C29" s="613"/>
      <c r="D29" s="265">
        <v>100</v>
      </c>
      <c r="E29" s="259"/>
      <c r="F29" s="265">
        <f>SUMIF(93:93,E29,94:94)-SUMIF(93:93,C29,94:94)+100</f>
        <v>100</v>
      </c>
      <c r="G29" s="1757"/>
      <c r="H29" s="265">
        <f>SUMIF(93:93,G29,94:94)-SUMIF(93:93,C29,94:94)+100</f>
        <v>100</v>
      </c>
      <c r="I29" s="259"/>
      <c r="J29" s="265">
        <f>SUMIF(93:93,I29,94:94)-SUMIF(93:93,C29,94:94)+100</f>
        <v>100</v>
      </c>
      <c r="K29" s="412"/>
      <c r="L29" s="415"/>
      <c r="M29" s="398"/>
      <c r="N29" s="398"/>
      <c r="O29" s="398"/>
      <c r="P29" s="419"/>
      <c r="Q29" s="407">
        <f t="shared" si="11"/>
        <v>111</v>
      </c>
      <c r="R29" s="489" t="s">
        <v>1299</v>
      </c>
      <c r="S29" s="490">
        <f t="shared" ref="S29:S47" si="12">F29</f>
        <v>100</v>
      </c>
      <c r="T29" s="489" t="s">
        <v>1299</v>
      </c>
      <c r="U29" s="490">
        <f t="shared" ref="U29:U47" si="13">H29</f>
        <v>100</v>
      </c>
      <c r="V29" s="489" t="s">
        <v>1299</v>
      </c>
      <c r="W29" s="490">
        <f t="shared" ref="W29:W47" si="14">J29</f>
        <v>100</v>
      </c>
      <c r="X29" s="476"/>
      <c r="Y29" s="419"/>
      <c r="Z29" s="475">
        <f t="shared" ref="Z29:Z47" si="15">Q29</f>
        <v>111</v>
      </c>
      <c r="AA29" s="495">
        <f t="shared" si="3"/>
        <v>1</v>
      </c>
      <c r="AB29" s="495">
        <f t="shared" si="4"/>
        <v>1</v>
      </c>
      <c r="AC29" s="495">
        <f t="shared" si="5"/>
        <v>1</v>
      </c>
    </row>
    <row r="30" ht="15" spans="1:29">
      <c r="A30" s="273"/>
      <c r="B30" s="1765">
        <v>111</v>
      </c>
      <c r="C30" s="613"/>
      <c r="D30" s="265">
        <v>100</v>
      </c>
      <c r="E30" s="259"/>
      <c r="F30" s="265">
        <f>SUMIF(95:95,E30,96:96)-SUMIF(95:95,C30,96:96)+100</f>
        <v>100</v>
      </c>
      <c r="G30" s="1757"/>
      <c r="H30" s="265">
        <f>SUMIF(95:95,G30,96:96)-SUMIF(95:95,C30,96:96)+100</f>
        <v>100</v>
      </c>
      <c r="I30" s="259"/>
      <c r="J30" s="265">
        <f>SUMIF(95:95,I30,96:96)-SUMIF(95:95,C30,96:96)+100</f>
        <v>100</v>
      </c>
      <c r="K30" s="412"/>
      <c r="L30" s="415"/>
      <c r="M30" s="398"/>
      <c r="N30" s="398"/>
      <c r="O30" s="398"/>
      <c r="P30" s="419"/>
      <c r="Q30" s="407">
        <f t="shared" si="11"/>
        <v>111</v>
      </c>
      <c r="R30" s="489" t="s">
        <v>1299</v>
      </c>
      <c r="S30" s="490">
        <f t="shared" si="12"/>
        <v>100</v>
      </c>
      <c r="T30" s="489" t="s">
        <v>1299</v>
      </c>
      <c r="U30" s="490">
        <f t="shared" si="13"/>
        <v>100</v>
      </c>
      <c r="V30" s="489" t="s">
        <v>1299</v>
      </c>
      <c r="W30" s="490">
        <f t="shared" si="14"/>
        <v>100</v>
      </c>
      <c r="X30" s="476"/>
      <c r="Y30" s="419"/>
      <c r="Z30" s="475">
        <f t="shared" si="15"/>
        <v>111</v>
      </c>
      <c r="AA30" s="495">
        <f t="shared" si="3"/>
        <v>1</v>
      </c>
      <c r="AB30" s="495">
        <f t="shared" si="4"/>
        <v>1</v>
      </c>
      <c r="AC30" s="495">
        <f t="shared" si="5"/>
        <v>1</v>
      </c>
    </row>
    <row r="31" ht="15" spans="1:29">
      <c r="A31" s="273"/>
      <c r="B31" s="1765">
        <v>111</v>
      </c>
      <c r="C31" s="613"/>
      <c r="D31" s="265">
        <v>100</v>
      </c>
      <c r="E31" s="259"/>
      <c r="F31" s="265">
        <f>SUMIF(97:97,E31,98:98)-SUMIF(97:97,C31,98:98)+100</f>
        <v>100</v>
      </c>
      <c r="G31" s="1757"/>
      <c r="H31" s="265">
        <f>SUMIF(97:97,G31,98:98)-SUMIF(97:97,C31,98:98)+100</f>
        <v>100</v>
      </c>
      <c r="I31" s="259"/>
      <c r="J31" s="265">
        <f>SUMIF(97:97,I31,98:98)-SUMIF(97:97,C31,98:98)+100</f>
        <v>100</v>
      </c>
      <c r="K31" s="412"/>
      <c r="L31" s="415"/>
      <c r="M31" s="398"/>
      <c r="N31" s="398"/>
      <c r="O31" s="398"/>
      <c r="P31" s="419"/>
      <c r="Q31" s="407">
        <f t="shared" si="11"/>
        <v>111</v>
      </c>
      <c r="R31" s="489" t="s">
        <v>1299</v>
      </c>
      <c r="S31" s="490">
        <f t="shared" si="12"/>
        <v>100</v>
      </c>
      <c r="T31" s="489" t="s">
        <v>1299</v>
      </c>
      <c r="U31" s="490">
        <f t="shared" si="13"/>
        <v>100</v>
      </c>
      <c r="V31" s="489" t="s">
        <v>1299</v>
      </c>
      <c r="W31" s="490">
        <f t="shared" si="14"/>
        <v>100</v>
      </c>
      <c r="X31" s="476"/>
      <c r="Y31" s="419"/>
      <c r="Z31" s="475">
        <f t="shared" si="15"/>
        <v>111</v>
      </c>
      <c r="AA31" s="495">
        <f t="shared" si="3"/>
        <v>1</v>
      </c>
      <c r="AB31" s="495">
        <f t="shared" si="4"/>
        <v>1</v>
      </c>
      <c r="AC31" s="495">
        <f t="shared" si="5"/>
        <v>1</v>
      </c>
    </row>
    <row r="32" ht="15.75" spans="1:29">
      <c r="A32" s="589"/>
      <c r="B32" s="550">
        <v>111</v>
      </c>
      <c r="C32" s="1766"/>
      <c r="D32" s="318">
        <v>100</v>
      </c>
      <c r="E32" s="552"/>
      <c r="F32" s="318">
        <f>SUMIF(99:99,E32,100:100)-SUMIF(99:99,C32,100:100)+100</f>
        <v>100</v>
      </c>
      <c r="G32" s="1757"/>
      <c r="H32" s="318">
        <f>SUMIF(99:99,G32,100:100)-SUMIF(99:99,C32,100:100)+100</f>
        <v>100</v>
      </c>
      <c r="I32" s="259"/>
      <c r="J32" s="318">
        <f>SUMIF(99:99,I32,100:100)-SUMIF(99:99,C32,100:100)+100</f>
        <v>100</v>
      </c>
      <c r="K32" s="412"/>
      <c r="L32" s="415"/>
      <c r="M32" s="398"/>
      <c r="N32" s="398"/>
      <c r="O32" s="398"/>
      <c r="P32" s="419"/>
      <c r="Q32" s="407">
        <f t="shared" si="11"/>
        <v>111</v>
      </c>
      <c r="R32" s="489" t="s">
        <v>1299</v>
      </c>
      <c r="S32" s="490">
        <f t="shared" si="12"/>
        <v>100</v>
      </c>
      <c r="T32" s="489" t="s">
        <v>1299</v>
      </c>
      <c r="U32" s="490">
        <f t="shared" si="13"/>
        <v>100</v>
      </c>
      <c r="V32" s="489" t="s">
        <v>1299</v>
      </c>
      <c r="W32" s="490">
        <f t="shared" si="14"/>
        <v>100</v>
      </c>
      <c r="X32" s="476"/>
      <c r="Y32" s="419"/>
      <c r="Z32" s="475">
        <f t="shared" si="15"/>
        <v>111</v>
      </c>
      <c r="AA32" s="495">
        <f t="shared" si="3"/>
        <v>1</v>
      </c>
      <c r="AB32" s="495">
        <f t="shared" si="4"/>
        <v>1</v>
      </c>
      <c r="AC32" s="495">
        <f t="shared" si="5"/>
        <v>1</v>
      </c>
    </row>
    <row r="33" ht="15" spans="1:29">
      <c r="A33" s="301" t="s">
        <v>1315</v>
      </c>
      <c r="B33" s="302" t="s">
        <v>1569</v>
      </c>
      <c r="C33" s="303" t="s">
        <v>1570</v>
      </c>
      <c r="D33" s="304">
        <v>100</v>
      </c>
      <c r="E33" s="303" t="s">
        <v>1570</v>
      </c>
      <c r="F33" s="295">
        <f>SUMIF(101:101,E33,102:102)-SUMIF(101:101,C33,102:102)+100</f>
        <v>100</v>
      </c>
      <c r="G33" s="303" t="s">
        <v>1570</v>
      </c>
      <c r="H33" s="265">
        <f>SUMIF(101:101,G33,102:102)-SUMIF(101:101,C33,102:102)+100</f>
        <v>100</v>
      </c>
      <c r="I33" s="303" t="s">
        <v>1570</v>
      </c>
      <c r="J33" s="304">
        <f>SUMIF(101:101,I33,102:102)-SUMIF(101:101,C33,102:102)+100</f>
        <v>100</v>
      </c>
      <c r="K33" s="408"/>
      <c r="L33" s="415"/>
      <c r="M33" s="398"/>
      <c r="N33" s="398"/>
      <c r="O33" s="398"/>
      <c r="P33" s="421" t="s">
        <v>1314</v>
      </c>
      <c r="Q33" s="407" t="str">
        <f t="shared" si="11"/>
        <v>建筑类型</v>
      </c>
      <c r="R33" s="489" t="s">
        <v>1299</v>
      </c>
      <c r="S33" s="490">
        <f t="shared" si="12"/>
        <v>100</v>
      </c>
      <c r="T33" s="489" t="s">
        <v>1299</v>
      </c>
      <c r="U33" s="490">
        <f t="shared" si="13"/>
        <v>100</v>
      </c>
      <c r="V33" s="489" t="s">
        <v>1299</v>
      </c>
      <c r="W33" s="490">
        <f t="shared" si="14"/>
        <v>100</v>
      </c>
      <c r="X33" s="476"/>
      <c r="Y33" s="424" t="s">
        <v>1314</v>
      </c>
      <c r="Z33" s="475" t="str">
        <f t="shared" si="15"/>
        <v>建筑类型</v>
      </c>
      <c r="AA33" s="495">
        <f t="shared" si="3"/>
        <v>1</v>
      </c>
      <c r="AB33" s="495">
        <f t="shared" si="4"/>
        <v>1</v>
      </c>
      <c r="AC33" s="495">
        <f t="shared" si="5"/>
        <v>1</v>
      </c>
    </row>
    <row r="34" s="198" customFormat="1" ht="15" spans="1:29">
      <c r="A34" s="306"/>
      <c r="B34" s="307" t="s">
        <v>1571</v>
      </c>
      <c r="C34" s="260">
        <f>'数据-基础表'!I5</f>
        <v>25022.71</v>
      </c>
      <c r="D34" s="255">
        <v>100</v>
      </c>
      <c r="E34" s="579">
        <v>140.2</v>
      </c>
      <c r="F34" s="590">
        <f>LOOKUP(E34,104:104,105:105)-LOOKUP(C34,104:104,105:105)+100</f>
        <v>104</v>
      </c>
      <c r="G34" s="578">
        <v>638.99</v>
      </c>
      <c r="H34" s="255">
        <f>LOOKUP(G34,104:104,105:105)-LOOKUP(C34,104:104,105:105)+100</f>
        <v>103</v>
      </c>
      <c r="I34" s="578">
        <v>228</v>
      </c>
      <c r="J34" s="255">
        <f>LOOKUP(I34,104:104,105:105)-LOOKUP(C34,104:104,105:105)+100</f>
        <v>104</v>
      </c>
      <c r="K34" s="412"/>
      <c r="L34" s="413"/>
      <c r="M34" s="422"/>
      <c r="N34" s="422"/>
      <c r="O34" s="422"/>
      <c r="P34" s="424"/>
      <c r="Q34" s="491" t="str">
        <f t="shared" si="11"/>
        <v>项目建筑规模</v>
      </c>
      <c r="R34" s="492" t="s">
        <v>1299</v>
      </c>
      <c r="S34" s="493">
        <f t="shared" si="12"/>
        <v>104</v>
      </c>
      <c r="T34" s="492" t="s">
        <v>1299</v>
      </c>
      <c r="U34" s="493">
        <f t="shared" si="13"/>
        <v>103</v>
      </c>
      <c r="V34" s="492" t="s">
        <v>1299</v>
      </c>
      <c r="W34" s="493">
        <f t="shared" si="14"/>
        <v>104</v>
      </c>
      <c r="X34" s="494"/>
      <c r="Y34" s="424"/>
      <c r="Z34" s="510" t="str">
        <f t="shared" si="15"/>
        <v>项目建筑规模</v>
      </c>
      <c r="AA34" s="495">
        <f t="shared" si="3"/>
        <v>0.961538461538462</v>
      </c>
      <c r="AB34" s="495">
        <f t="shared" si="4"/>
        <v>0.970873786407767</v>
      </c>
      <c r="AC34" s="495">
        <f t="shared" si="5"/>
        <v>0.961538461538462</v>
      </c>
    </row>
    <row r="35" ht="15" spans="1:29">
      <c r="A35" s="311"/>
      <c r="B35" s="307" t="s">
        <v>1572</v>
      </c>
      <c r="C35" s="312" t="s">
        <v>1481</v>
      </c>
      <c r="D35" s="265">
        <v>100</v>
      </c>
      <c r="E35" s="312" t="s">
        <v>1481</v>
      </c>
      <c r="F35" s="295">
        <f>SUMIF(106:106,E35,107:107)-SUMIF(106:106,C35,107:107)+100</f>
        <v>100</v>
      </c>
      <c r="G35" s="312" t="s">
        <v>1481</v>
      </c>
      <c r="H35" s="265">
        <f>SUMIF(106:106,G35,107:107)-SUMIF(106:106,C35,107:107)+100</f>
        <v>100</v>
      </c>
      <c r="I35" s="312" t="s">
        <v>1481</v>
      </c>
      <c r="J35" s="265">
        <f>SUMIF(106:106,I35,107:107)-SUMIF(106:106,C35,107:107)+100</f>
        <v>100</v>
      </c>
      <c r="K35" s="408"/>
      <c r="L35" s="415"/>
      <c r="M35" s="398"/>
      <c r="N35" s="398"/>
      <c r="O35" s="398"/>
      <c r="P35" s="424"/>
      <c r="Q35" s="407" t="str">
        <f t="shared" si="11"/>
        <v>建筑结构</v>
      </c>
      <c r="R35" s="489" t="s">
        <v>1299</v>
      </c>
      <c r="S35" s="490">
        <f t="shared" si="12"/>
        <v>100</v>
      </c>
      <c r="T35" s="489" t="s">
        <v>1299</v>
      </c>
      <c r="U35" s="490">
        <f t="shared" si="13"/>
        <v>100</v>
      </c>
      <c r="V35" s="489" t="s">
        <v>1299</v>
      </c>
      <c r="W35" s="490">
        <f t="shared" si="14"/>
        <v>100</v>
      </c>
      <c r="X35" s="476"/>
      <c r="Y35" s="424"/>
      <c r="Z35" s="475" t="str">
        <f t="shared" si="15"/>
        <v>建筑结构</v>
      </c>
      <c r="AA35" s="495">
        <f t="shared" si="3"/>
        <v>1</v>
      </c>
      <c r="AB35" s="495">
        <f t="shared" si="4"/>
        <v>1</v>
      </c>
      <c r="AC35" s="495">
        <f t="shared" si="5"/>
        <v>1</v>
      </c>
    </row>
    <row r="36" ht="15" spans="1:29">
      <c r="A36" s="311"/>
      <c r="B36" s="307" t="s">
        <v>1573</v>
      </c>
      <c r="C36" s="312" t="s">
        <v>1574</v>
      </c>
      <c r="D36" s="265">
        <v>100</v>
      </c>
      <c r="E36" s="312" t="s">
        <v>1574</v>
      </c>
      <c r="F36" s="295">
        <f>SUMIF(108:108,E36,109:109)-SUMIF(108:108,C36,109:109)+100</f>
        <v>100</v>
      </c>
      <c r="G36" s="312" t="s">
        <v>1574</v>
      </c>
      <c r="H36" s="265">
        <f>SUMIF(108:108,G36,109:109)-SUMIF(108:108,C36,109:109)+100</f>
        <v>100</v>
      </c>
      <c r="I36" s="312" t="s">
        <v>1574</v>
      </c>
      <c r="J36" s="265">
        <f>SUMIF(108:108,I36,109:109)-SUMIF(108:108,C36,109:109)+100</f>
        <v>100</v>
      </c>
      <c r="K36" s="408"/>
      <c r="L36" s="415"/>
      <c r="M36" s="398"/>
      <c r="N36" s="398"/>
      <c r="O36" s="398"/>
      <c r="P36" s="424"/>
      <c r="Q36" s="407" t="str">
        <f t="shared" si="11"/>
        <v>公共部分装修</v>
      </c>
      <c r="R36" s="489" t="s">
        <v>1299</v>
      </c>
      <c r="S36" s="490">
        <f t="shared" si="12"/>
        <v>100</v>
      </c>
      <c r="T36" s="489" t="s">
        <v>1299</v>
      </c>
      <c r="U36" s="490">
        <f t="shared" si="13"/>
        <v>100</v>
      </c>
      <c r="V36" s="489" t="s">
        <v>1299</v>
      </c>
      <c r="W36" s="490">
        <f t="shared" si="14"/>
        <v>100</v>
      </c>
      <c r="X36" s="476"/>
      <c r="Y36" s="424"/>
      <c r="Z36" s="475" t="str">
        <f t="shared" si="15"/>
        <v>公共部分装修</v>
      </c>
      <c r="AA36" s="495">
        <f t="shared" si="3"/>
        <v>1</v>
      </c>
      <c r="AB36" s="495">
        <f t="shared" si="4"/>
        <v>1</v>
      </c>
      <c r="AC36" s="495">
        <f t="shared" si="5"/>
        <v>1</v>
      </c>
    </row>
    <row r="37" ht="15" spans="1:29">
      <c r="A37" s="311"/>
      <c r="B37" s="307" t="s">
        <v>1575</v>
      </c>
      <c r="C37" s="308">
        <v>1</v>
      </c>
      <c r="D37" s="265">
        <v>100</v>
      </c>
      <c r="E37" s="308">
        <f>1-(2021-2016)/60</f>
        <v>0.916666666666667</v>
      </c>
      <c r="F37" s="295">
        <f>LOOKUP(E37,111:111,112:112)-LOOKUP(C37,111:111,112:112)+100</f>
        <v>100</v>
      </c>
      <c r="G37" s="308">
        <f>1-(2021-2010)/60</f>
        <v>0.816666666666667</v>
      </c>
      <c r="H37" s="295">
        <f>LOOKUP(G37,111:111,112:112)-LOOKUP(C37,111:111,112:112)+100</f>
        <v>99</v>
      </c>
      <c r="I37" s="308">
        <v>0.95</v>
      </c>
      <c r="J37" s="265">
        <f>LOOKUP(I37,111:111,112:112)-LOOKUP(C37,111:111,112:112)+100</f>
        <v>100</v>
      </c>
      <c r="K37" s="408">
        <v>1</v>
      </c>
      <c r="L37" s="415"/>
      <c r="M37" s="398"/>
      <c r="N37" s="398"/>
      <c r="O37" s="398"/>
      <c r="P37" s="424"/>
      <c r="Q37" s="407" t="str">
        <f t="shared" si="11"/>
        <v>成新度</v>
      </c>
      <c r="R37" s="489" t="s">
        <v>1299</v>
      </c>
      <c r="S37" s="490">
        <f t="shared" si="12"/>
        <v>100</v>
      </c>
      <c r="T37" s="489" t="s">
        <v>1299</v>
      </c>
      <c r="U37" s="490">
        <f t="shared" si="13"/>
        <v>99</v>
      </c>
      <c r="V37" s="489" t="s">
        <v>1299</v>
      </c>
      <c r="W37" s="490">
        <f t="shared" si="14"/>
        <v>100</v>
      </c>
      <c r="X37" s="476"/>
      <c r="Y37" s="424"/>
      <c r="Z37" s="475" t="str">
        <f t="shared" si="15"/>
        <v>成新度</v>
      </c>
      <c r="AA37" s="495">
        <f t="shared" si="3"/>
        <v>1</v>
      </c>
      <c r="AB37" s="495">
        <f t="shared" si="4"/>
        <v>1.01010101010101</v>
      </c>
      <c r="AC37" s="495">
        <f t="shared" si="5"/>
        <v>1</v>
      </c>
    </row>
    <row r="38" s="196" customFormat="1" ht="15" spans="1:29">
      <c r="A38" s="314"/>
      <c r="B38" s="307" t="s">
        <v>1576</v>
      </c>
      <c r="C38" s="312"/>
      <c r="D38" s="255">
        <v>100</v>
      </c>
      <c r="E38" s="312"/>
      <c r="F38" s="295">
        <f>SUMIF(113:113,E38,114:114)-SUMIF(113:113,C38,114:114)+100</f>
        <v>100</v>
      </c>
      <c r="G38" s="312"/>
      <c r="H38" s="265">
        <f>SUMIF(113:113,G38,114:114)-SUMIF(113:113,C38,114:114)+100</f>
        <v>100</v>
      </c>
      <c r="I38" s="312"/>
      <c r="J38" s="265">
        <f>SUMIF(113:113,I38,114:114)-SUMIF(113:113,C38,114:114)+100</f>
        <v>100</v>
      </c>
      <c r="K38" s="408"/>
      <c r="L38" s="403"/>
      <c r="M38" s="404"/>
      <c r="N38" s="404"/>
      <c r="O38" s="404"/>
      <c r="P38" s="424"/>
      <c r="Q38" s="488" t="str">
        <f t="shared" si="11"/>
        <v>写字楼等级</v>
      </c>
      <c r="R38" s="484" t="s">
        <v>1299</v>
      </c>
      <c r="S38" s="485">
        <f t="shared" si="12"/>
        <v>100</v>
      </c>
      <c r="T38" s="484" t="s">
        <v>1299</v>
      </c>
      <c r="U38" s="485">
        <f t="shared" si="13"/>
        <v>100</v>
      </c>
      <c r="V38" s="484" t="s">
        <v>1299</v>
      </c>
      <c r="W38" s="485">
        <f t="shared" si="14"/>
        <v>100</v>
      </c>
      <c r="X38" s="486"/>
      <c r="Y38" s="424"/>
      <c r="Z38" s="509" t="str">
        <f t="shared" si="15"/>
        <v>写字楼等级</v>
      </c>
      <c r="AA38" s="508">
        <f t="shared" si="3"/>
        <v>1</v>
      </c>
      <c r="AB38" s="508">
        <f t="shared" si="4"/>
        <v>1</v>
      </c>
      <c r="AC38" s="508">
        <f t="shared" si="5"/>
        <v>1</v>
      </c>
    </row>
    <row r="39" ht="15" spans="1:29">
      <c r="A39" s="311"/>
      <c r="B39" s="307" t="s">
        <v>1577</v>
      </c>
      <c r="C39" s="312"/>
      <c r="D39" s="265">
        <v>100</v>
      </c>
      <c r="E39" s="312"/>
      <c r="F39" s="295">
        <f>SUMIF(115:115,E39,116:116)-SUMIF(115:115,C39,116:116)+100</f>
        <v>100</v>
      </c>
      <c r="G39" s="312"/>
      <c r="H39" s="265">
        <f>SUMIF(115:115,G39,116:116)-SUMIF(115:115,C39,116:116)+100</f>
        <v>100</v>
      </c>
      <c r="I39" s="312"/>
      <c r="J39" s="265">
        <f>SUMIF(115:115,I39,116:116)-SUMIF(115:115,C39,116:116)+100</f>
        <v>100</v>
      </c>
      <c r="K39" s="408"/>
      <c r="L39" s="415"/>
      <c r="M39" s="398"/>
      <c r="N39" s="398"/>
      <c r="O39" s="398"/>
      <c r="P39" s="424" t="s">
        <v>1314</v>
      </c>
      <c r="Q39" s="407" t="str">
        <f t="shared" si="11"/>
        <v>物业管理</v>
      </c>
      <c r="R39" s="489" t="s">
        <v>1299</v>
      </c>
      <c r="S39" s="490">
        <f t="shared" si="12"/>
        <v>100</v>
      </c>
      <c r="T39" s="489" t="s">
        <v>1299</v>
      </c>
      <c r="U39" s="490">
        <f t="shared" si="13"/>
        <v>100</v>
      </c>
      <c r="V39" s="489" t="s">
        <v>1299</v>
      </c>
      <c r="W39" s="490">
        <f t="shared" si="14"/>
        <v>100</v>
      </c>
      <c r="X39" s="476"/>
      <c r="Y39" s="424" t="s">
        <v>1314</v>
      </c>
      <c r="Z39" s="475" t="str">
        <f t="shared" si="15"/>
        <v>物业管理</v>
      </c>
      <c r="AA39" s="495">
        <f t="shared" si="3"/>
        <v>1</v>
      </c>
      <c r="AB39" s="495">
        <f t="shared" si="4"/>
        <v>1</v>
      </c>
      <c r="AC39" s="495">
        <f t="shared" si="5"/>
        <v>1</v>
      </c>
    </row>
    <row r="40" ht="15" spans="1:29">
      <c r="A40" s="311"/>
      <c r="B40" s="591" t="s">
        <v>1578</v>
      </c>
      <c r="C40" s="312"/>
      <c r="D40" s="265">
        <v>100</v>
      </c>
      <c r="E40" s="312"/>
      <c r="F40" s="295">
        <f>SUMIF(117:117,E40,118:118)-SUMIF(117:117,C40,118:118)+100</f>
        <v>100</v>
      </c>
      <c r="G40" s="312"/>
      <c r="H40" s="265">
        <f>SUMIF(117:117,G40,118:118)-SUMIF(117:117,C40,118:118)+100</f>
        <v>100</v>
      </c>
      <c r="I40" s="312"/>
      <c r="J40" s="265">
        <f>SUMIF(117:117,I40,118:118)-SUMIF(117:117,C40,118:118)+100</f>
        <v>100</v>
      </c>
      <c r="K40" s="408"/>
      <c r="L40" s="415"/>
      <c r="M40" s="398"/>
      <c r="N40" s="398"/>
      <c r="O40" s="398"/>
      <c r="P40" s="424"/>
      <c r="Q40" s="407" t="str">
        <f t="shared" si="11"/>
        <v>市政基础设施</v>
      </c>
      <c r="R40" s="489" t="s">
        <v>1299</v>
      </c>
      <c r="S40" s="490">
        <f t="shared" si="12"/>
        <v>100</v>
      </c>
      <c r="T40" s="489" t="s">
        <v>1299</v>
      </c>
      <c r="U40" s="490">
        <f t="shared" si="13"/>
        <v>100</v>
      </c>
      <c r="V40" s="489" t="s">
        <v>1299</v>
      </c>
      <c r="W40" s="490">
        <f t="shared" si="14"/>
        <v>100</v>
      </c>
      <c r="X40" s="476"/>
      <c r="Y40" s="424"/>
      <c r="Z40" s="475" t="str">
        <f t="shared" si="15"/>
        <v>市政基础设施</v>
      </c>
      <c r="AA40" s="495">
        <f t="shared" si="3"/>
        <v>1</v>
      </c>
      <c r="AB40" s="495">
        <f t="shared" si="4"/>
        <v>1</v>
      </c>
      <c r="AC40" s="495">
        <f t="shared" si="5"/>
        <v>1</v>
      </c>
    </row>
    <row r="41" ht="15" spans="1:29">
      <c r="A41" s="311"/>
      <c r="B41" s="307" t="s">
        <v>1579</v>
      </c>
      <c r="C41" s="294"/>
      <c r="D41" s="265">
        <v>100</v>
      </c>
      <c r="E41" s="294"/>
      <c r="F41" s="295">
        <f>SUMIF(119:119,E41,120:120)-SUMIF(119:119,C41,120:120)+100</f>
        <v>100</v>
      </c>
      <c r="G41" s="294"/>
      <c r="H41" s="265">
        <f>SUMIF(119:119,G41,120:120)-SUMIF(119:119,C41,120:120)+100</f>
        <v>100</v>
      </c>
      <c r="I41" s="294"/>
      <c r="J41" s="265">
        <f>SUMIF(119:119,I41,120:120)-SUMIF(119:119,C41,120:120)+100</f>
        <v>100</v>
      </c>
      <c r="K41" s="408"/>
      <c r="L41" s="415"/>
      <c r="M41" s="398"/>
      <c r="N41" s="398"/>
      <c r="O41" s="398"/>
      <c r="P41" s="424"/>
      <c r="Q41" s="407" t="str">
        <f t="shared" si="11"/>
        <v>层高</v>
      </c>
      <c r="R41" s="489" t="s">
        <v>1299</v>
      </c>
      <c r="S41" s="490">
        <f t="shared" si="12"/>
        <v>100</v>
      </c>
      <c r="T41" s="489" t="s">
        <v>1299</v>
      </c>
      <c r="U41" s="490">
        <f t="shared" si="13"/>
        <v>100</v>
      </c>
      <c r="V41" s="489" t="s">
        <v>1299</v>
      </c>
      <c r="W41" s="490">
        <f t="shared" si="14"/>
        <v>100</v>
      </c>
      <c r="X41" s="476"/>
      <c r="Y41" s="424"/>
      <c r="Z41" s="475" t="str">
        <f t="shared" si="15"/>
        <v>层高</v>
      </c>
      <c r="AA41" s="495">
        <f t="shared" si="3"/>
        <v>1</v>
      </c>
      <c r="AB41" s="495">
        <f t="shared" si="4"/>
        <v>1</v>
      </c>
      <c r="AC41" s="495">
        <f t="shared" si="5"/>
        <v>1</v>
      </c>
    </row>
    <row r="42" s="198" customFormat="1" ht="15" spans="1:29">
      <c r="A42" s="306"/>
      <c r="B42" s="429" t="s">
        <v>1580</v>
      </c>
      <c r="C42" s="264"/>
      <c r="D42" s="265">
        <v>100</v>
      </c>
      <c r="E42" s="264"/>
      <c r="F42" s="295">
        <f>SUMIF(121:121,E42,122:122)-SUMIF(121:121,C42,122:122)+100</f>
        <v>100</v>
      </c>
      <c r="G42" s="264"/>
      <c r="H42" s="265">
        <f>SUMIF(121:121,G42,122:122)-SUMIF(121:121,C42,122:122)+100</f>
        <v>100</v>
      </c>
      <c r="I42" s="264"/>
      <c r="J42" s="265">
        <f>SUMIF(121:121,I42,122:122)-SUMIF(121:121,C42,122:122)+100</f>
        <v>100</v>
      </c>
      <c r="K42" s="412"/>
      <c r="L42" s="413"/>
      <c r="M42" s="422"/>
      <c r="N42" s="422"/>
      <c r="O42" s="422"/>
      <c r="P42" s="424"/>
      <c r="Q42" s="491" t="str">
        <f t="shared" si="11"/>
        <v>单套建筑面积</v>
      </c>
      <c r="R42" s="492" t="s">
        <v>1299</v>
      </c>
      <c r="S42" s="493">
        <f t="shared" si="12"/>
        <v>100</v>
      </c>
      <c r="T42" s="492" t="s">
        <v>1299</v>
      </c>
      <c r="U42" s="493">
        <f t="shared" si="13"/>
        <v>100</v>
      </c>
      <c r="V42" s="492" t="s">
        <v>1299</v>
      </c>
      <c r="W42" s="493">
        <f t="shared" si="14"/>
        <v>100</v>
      </c>
      <c r="X42" s="494"/>
      <c r="Y42" s="424"/>
      <c r="Z42" s="510" t="str">
        <f t="shared" si="15"/>
        <v>单套建筑面积</v>
      </c>
      <c r="AA42" s="495">
        <f t="shared" si="3"/>
        <v>1</v>
      </c>
      <c r="AB42" s="495">
        <f t="shared" si="4"/>
        <v>1</v>
      </c>
      <c r="AC42" s="495">
        <f t="shared" si="5"/>
        <v>1</v>
      </c>
    </row>
    <row r="43" ht="15" spans="1:29">
      <c r="A43" s="311"/>
      <c r="B43" s="307" t="s">
        <v>1581</v>
      </c>
      <c r="C43" s="312" t="s">
        <v>1574</v>
      </c>
      <c r="D43" s="265">
        <v>100</v>
      </c>
      <c r="E43" s="312" t="s">
        <v>1582</v>
      </c>
      <c r="F43" s="295">
        <f>SUMIF(123:123,E43,124:124)-SUMIF(123:123,C43,124:124)+100</f>
        <v>98</v>
      </c>
      <c r="G43" s="312" t="s">
        <v>1583</v>
      </c>
      <c r="H43" s="265">
        <f>SUMIF(123:123,G43,124:124)-SUMIF(123:123,C43,124:124)+100</f>
        <v>97</v>
      </c>
      <c r="I43" s="312" t="s">
        <v>1574</v>
      </c>
      <c r="J43" s="265">
        <f>SUMIF(123:123,I43,124:124)-SUMIF(123:123,C43,124:124)+100</f>
        <v>100</v>
      </c>
      <c r="K43" s="408">
        <v>1</v>
      </c>
      <c r="L43" s="415"/>
      <c r="M43" s="398"/>
      <c r="N43" s="398"/>
      <c r="O43" s="398"/>
      <c r="P43" s="424"/>
      <c r="Q43" s="407" t="str">
        <f t="shared" si="11"/>
        <v>内部装修</v>
      </c>
      <c r="R43" s="489" t="s">
        <v>1299</v>
      </c>
      <c r="S43" s="490">
        <f t="shared" si="12"/>
        <v>98</v>
      </c>
      <c r="T43" s="489" t="s">
        <v>1299</v>
      </c>
      <c r="U43" s="490">
        <f t="shared" si="13"/>
        <v>97</v>
      </c>
      <c r="V43" s="489" t="s">
        <v>1299</v>
      </c>
      <c r="W43" s="490">
        <f t="shared" si="14"/>
        <v>100</v>
      </c>
      <c r="X43" s="476"/>
      <c r="Y43" s="424"/>
      <c r="Z43" s="475" t="str">
        <f t="shared" si="15"/>
        <v>内部装修</v>
      </c>
      <c r="AA43" s="495">
        <f t="shared" si="3"/>
        <v>1.02040816326531</v>
      </c>
      <c r="AB43" s="495">
        <f t="shared" si="4"/>
        <v>1.03092783505155</v>
      </c>
      <c r="AC43" s="495">
        <f t="shared" si="5"/>
        <v>1</v>
      </c>
    </row>
    <row r="44" ht="15" spans="1:29">
      <c r="A44" s="311"/>
      <c r="B44" s="307" t="s">
        <v>235</v>
      </c>
      <c r="C44" s="312"/>
      <c r="D44" s="265">
        <v>100</v>
      </c>
      <c r="E44" s="622"/>
      <c r="F44" s="295">
        <f>SUMIF(125:125,E44,126:126)-SUMIF(125:125,C44,126:126)+100</f>
        <v>100</v>
      </c>
      <c r="G44" s="622"/>
      <c r="H44" s="265">
        <f>SUMIF(125:125,G44,126:126)-SUMIF(125:125,C44,126:126)+100</f>
        <v>100</v>
      </c>
      <c r="I44" s="622"/>
      <c r="J44" s="265">
        <f>SUMIF(125:125,I44,126:126)-SUMIF(125:125,C44,126:126)+100</f>
        <v>100</v>
      </c>
      <c r="K44" s="408"/>
      <c r="L44" s="415"/>
      <c r="M44" s="398"/>
      <c r="N44" s="398"/>
      <c r="O44" s="398"/>
      <c r="P44" s="424"/>
      <c r="Q44" s="407" t="str">
        <f t="shared" si="11"/>
        <v>内部装修维护情况</v>
      </c>
      <c r="R44" s="489" t="s">
        <v>1299</v>
      </c>
      <c r="S44" s="490">
        <f t="shared" si="12"/>
        <v>100</v>
      </c>
      <c r="T44" s="489" t="s">
        <v>1299</v>
      </c>
      <c r="U44" s="490">
        <f t="shared" si="13"/>
        <v>100</v>
      </c>
      <c r="V44" s="489" t="s">
        <v>1299</v>
      </c>
      <c r="W44" s="490">
        <f t="shared" si="14"/>
        <v>100</v>
      </c>
      <c r="X44" s="476"/>
      <c r="Y44" s="424"/>
      <c r="Z44" s="475" t="str">
        <f t="shared" si="15"/>
        <v>内部装修维护情况</v>
      </c>
      <c r="AA44" s="495">
        <f t="shared" si="3"/>
        <v>1</v>
      </c>
      <c r="AB44" s="495">
        <f t="shared" si="4"/>
        <v>1</v>
      </c>
      <c r="AC44" s="495">
        <f t="shared" si="5"/>
        <v>1</v>
      </c>
    </row>
    <row r="45" s="196" customFormat="1" ht="15" spans="1:29">
      <c r="A45" s="314"/>
      <c r="B45" s="586">
        <v>111</v>
      </c>
      <c r="C45" s="260"/>
      <c r="D45" s="255">
        <v>100</v>
      </c>
      <c r="E45" s="259"/>
      <c r="F45" s="590">
        <f>SUMIF(127:127,E45,128:128)-SUMIF(127:127,C45,128:128)+100</f>
        <v>100</v>
      </c>
      <c r="G45" s="259"/>
      <c r="H45" s="255">
        <f>SUMIF(127:127,G45,128:128)-SUMIF(127:127,C45,128:128)+100</f>
        <v>100</v>
      </c>
      <c r="I45" s="259"/>
      <c r="J45" s="255">
        <f>SUMIF(127:127,I45,128:128)-SUMIF(127:127,C45,128:128)+100</f>
        <v>100</v>
      </c>
      <c r="K45" s="412"/>
      <c r="L45" s="403"/>
      <c r="M45" s="404"/>
      <c r="N45" s="404"/>
      <c r="O45" s="404"/>
      <c r="P45" s="424"/>
      <c r="Q45" s="488">
        <f t="shared" si="11"/>
        <v>111</v>
      </c>
      <c r="R45" s="484" t="s">
        <v>1299</v>
      </c>
      <c r="S45" s="485">
        <f t="shared" si="12"/>
        <v>100</v>
      </c>
      <c r="T45" s="484" t="s">
        <v>1299</v>
      </c>
      <c r="U45" s="485">
        <f t="shared" si="13"/>
        <v>100</v>
      </c>
      <c r="V45" s="484" t="s">
        <v>1299</v>
      </c>
      <c r="W45" s="485">
        <f t="shared" si="14"/>
        <v>100</v>
      </c>
      <c r="X45" s="486"/>
      <c r="Y45" s="424"/>
      <c r="Z45" s="509">
        <f t="shared" si="15"/>
        <v>111</v>
      </c>
      <c r="AA45" s="508">
        <f t="shared" si="3"/>
        <v>1</v>
      </c>
      <c r="AB45" s="508">
        <f t="shared" si="4"/>
        <v>1</v>
      </c>
      <c r="AC45" s="508">
        <f t="shared" si="5"/>
        <v>1</v>
      </c>
    </row>
    <row r="46" ht="15" spans="1:29">
      <c r="A46" s="311"/>
      <c r="B46" s="586">
        <v>111</v>
      </c>
      <c r="C46" s="264"/>
      <c r="D46" s="265">
        <v>100</v>
      </c>
      <c r="E46" s="259"/>
      <c r="F46" s="295">
        <f>SUMIF(129:129,E46,130:130)-SUMIF(129:129,C46,130:130)+100</f>
        <v>100</v>
      </c>
      <c r="G46" s="259"/>
      <c r="H46" s="265">
        <f>SUMIF(129:129,G46,130:130)-SUMIF(129:129,C46,130:130)+100</f>
        <v>100</v>
      </c>
      <c r="I46" s="259"/>
      <c r="J46" s="265">
        <f>SUMIF(129:129,I46,130:130)-SUMIF(129:129,C46,130:130)+100</f>
        <v>100</v>
      </c>
      <c r="K46" s="412"/>
      <c r="L46" s="415"/>
      <c r="M46" s="398"/>
      <c r="N46" s="398"/>
      <c r="O46" s="398"/>
      <c r="P46" s="424"/>
      <c r="Q46" s="407">
        <f t="shared" si="11"/>
        <v>111</v>
      </c>
      <c r="R46" s="489" t="s">
        <v>1299</v>
      </c>
      <c r="S46" s="490">
        <f t="shared" si="12"/>
        <v>100</v>
      </c>
      <c r="T46" s="489" t="s">
        <v>1299</v>
      </c>
      <c r="U46" s="490">
        <f t="shared" si="13"/>
        <v>100</v>
      </c>
      <c r="V46" s="489" t="s">
        <v>1299</v>
      </c>
      <c r="W46" s="490">
        <f t="shared" si="14"/>
        <v>100</v>
      </c>
      <c r="X46" s="476"/>
      <c r="Y46" s="424"/>
      <c r="Z46" s="475">
        <f t="shared" si="15"/>
        <v>111</v>
      </c>
      <c r="AA46" s="495">
        <f t="shared" si="3"/>
        <v>1</v>
      </c>
      <c r="AB46" s="495">
        <f t="shared" si="4"/>
        <v>1</v>
      </c>
      <c r="AC46" s="495">
        <f t="shared" si="5"/>
        <v>1</v>
      </c>
    </row>
    <row r="47" ht="15.75" spans="1:29">
      <c r="A47" s="315"/>
      <c r="B47" s="316">
        <v>111</v>
      </c>
      <c r="C47" s="317"/>
      <c r="D47" s="318">
        <v>100</v>
      </c>
      <c r="E47" s="259"/>
      <c r="F47" s="320">
        <f>SUMIF(131:131,E47,132:132)-SUMIF(131:131,C47,132:132)+100</f>
        <v>100</v>
      </c>
      <c r="G47" s="259"/>
      <c r="H47" s="318">
        <f>SUMIF(131:131,G47,132:132)-SUMIF(131:131,C47,132:132)+100</f>
        <v>100</v>
      </c>
      <c r="I47" s="259"/>
      <c r="J47" s="318">
        <f>SUMIF(131:131,I47,132:132)-SUMIF(131:131,C47,132:132)+100</f>
        <v>100</v>
      </c>
      <c r="K47" s="412"/>
      <c r="L47" s="415"/>
      <c r="M47" s="398"/>
      <c r="N47" s="398"/>
      <c r="O47" s="398"/>
      <c r="P47" s="594"/>
      <c r="Q47" s="407">
        <f t="shared" si="11"/>
        <v>111</v>
      </c>
      <c r="R47" s="489" t="s">
        <v>1299</v>
      </c>
      <c r="S47" s="490">
        <f t="shared" si="12"/>
        <v>100</v>
      </c>
      <c r="T47" s="489" t="s">
        <v>1299</v>
      </c>
      <c r="U47" s="490">
        <f t="shared" si="13"/>
        <v>100</v>
      </c>
      <c r="V47" s="489" t="s">
        <v>1299</v>
      </c>
      <c r="W47" s="490">
        <f t="shared" si="14"/>
        <v>100</v>
      </c>
      <c r="X47" s="476"/>
      <c r="Y47" s="594"/>
      <c r="Z47" s="475">
        <f t="shared" si="15"/>
        <v>111</v>
      </c>
      <c r="AA47" s="495">
        <f t="shared" si="3"/>
        <v>1</v>
      </c>
      <c r="AB47" s="495">
        <f t="shared" si="4"/>
        <v>1</v>
      </c>
      <c r="AC47" s="495">
        <f t="shared" si="5"/>
        <v>1</v>
      </c>
    </row>
    <row r="48" ht="15" spans="1:29">
      <c r="A48" s="321" t="s">
        <v>1584</v>
      </c>
      <c r="B48" s="322"/>
      <c r="C48" s="323" t="s">
        <v>138</v>
      </c>
      <c r="D48" s="324"/>
      <c r="E48" s="325">
        <v>4</v>
      </c>
      <c r="F48" s="326"/>
      <c r="G48" s="327">
        <v>3.7</v>
      </c>
      <c r="H48" s="328"/>
      <c r="I48" s="325">
        <v>3.9</v>
      </c>
      <c r="J48" s="328"/>
      <c r="K48" s="425"/>
      <c r="L48" s="426"/>
      <c r="M48" s="398"/>
      <c r="N48" s="398"/>
      <c r="O48" s="398"/>
      <c r="P48" s="496" t="str">
        <f>A48</f>
        <v>成交单价（元/平方米）</v>
      </c>
      <c r="Q48" s="407"/>
      <c r="R48" s="495">
        <f>E48</f>
        <v>4</v>
      </c>
      <c r="S48" s="495"/>
      <c r="T48" s="495">
        <f>G48</f>
        <v>3.7</v>
      </c>
      <c r="U48" s="495"/>
      <c r="V48" s="495">
        <f>I48</f>
        <v>3.9</v>
      </c>
      <c r="W48" s="495"/>
      <c r="X48" s="351"/>
      <c r="Y48" s="511"/>
      <c r="Z48" s="351"/>
      <c r="AA48" s="351"/>
      <c r="AB48" s="351"/>
      <c r="AC48" s="351"/>
    </row>
    <row r="49" ht="15.75" spans="1:29">
      <c r="A49" s="329" t="s">
        <v>1323</v>
      </c>
      <c r="B49" s="330"/>
      <c r="C49" s="331">
        <f>R50</f>
        <v>3.8</v>
      </c>
      <c r="D49" s="332" t="s">
        <v>1324</v>
      </c>
      <c r="E49" s="333">
        <f>R49</f>
        <v>3.9</v>
      </c>
      <c r="F49" s="334"/>
      <c r="G49" s="331">
        <f>T49</f>
        <v>3.7</v>
      </c>
      <c r="H49" s="334"/>
      <c r="I49" s="333">
        <f>V49</f>
        <v>3.8</v>
      </c>
      <c r="J49" s="334"/>
      <c r="K49" s="427">
        <f>F49+H49+J49</f>
        <v>0</v>
      </c>
      <c r="L49" s="426"/>
      <c r="M49" s="398"/>
      <c r="N49" s="398"/>
      <c r="O49" s="398"/>
      <c r="P49" s="496" t="str">
        <f>A49</f>
        <v>比较价格（元/平方米）</v>
      </c>
      <c r="Q49" s="407"/>
      <c r="R49" s="495">
        <f>IF(F1="售价",ROUND(PRODUCT(R48,AA7:AA47),0),ROUND(PRODUCT(R48,AA7:AA47),1))</f>
        <v>3.9</v>
      </c>
      <c r="S49" s="495"/>
      <c r="T49" s="495">
        <f>IF(F1="售价",ROUND(PRODUCT(T48,AB7:AB47),0),ROUND(PRODUCT(T48,AB7:AB47),1))</f>
        <v>3.7</v>
      </c>
      <c r="U49" s="495"/>
      <c r="V49" s="495">
        <f>IF(F1="售价",ROUND(PRODUCT(V48,AC7:AC47),0),ROUND(PRODUCT(V48,AC7:AC47),1))</f>
        <v>3.8</v>
      </c>
      <c r="W49" s="495"/>
      <c r="X49" s="351"/>
      <c r="Y49" s="351"/>
      <c r="Z49" s="351"/>
      <c r="AA49" s="351"/>
      <c r="AB49" s="351"/>
      <c r="AC49" s="351"/>
    </row>
    <row r="50" ht="15.75" spans="1:29">
      <c r="A50" s="335" t="s">
        <v>1325</v>
      </c>
      <c r="B50" s="336"/>
      <c r="C50" s="337">
        <f>R50</f>
        <v>3.8</v>
      </c>
      <c r="D50" s="337"/>
      <c r="E50" s="337"/>
      <c r="F50" s="337"/>
      <c r="G50" s="337"/>
      <c r="H50" s="337"/>
      <c r="I50" s="337"/>
      <c r="J50" s="337"/>
      <c r="K50" s="428"/>
      <c r="L50" s="426"/>
      <c r="M50" s="398"/>
      <c r="N50" s="398"/>
      <c r="O50" s="398"/>
      <c r="P50" s="1771" t="str">
        <f>A50</f>
        <v>估价对象XX用房的比较价格（楼面单价，元/平方米）</v>
      </c>
      <c r="Q50" s="496"/>
      <c r="R50" s="497">
        <f>IF(F1="售价",ROUND(IF(D49="简单平均",AVERAGE(R49:V49),R49*F49+T49*H49+V49*J49),0),ROUND(IF(D49="简单平均",AVERAGE(R49:V49),R49*F49+T49*H49+V49*J49),1))</f>
        <v>3.8</v>
      </c>
      <c r="S50" s="497"/>
      <c r="T50" s="497"/>
      <c r="U50" s="497"/>
      <c r="V50" s="497"/>
      <c r="W50" s="497"/>
      <c r="X50" s="351"/>
      <c r="Y50" s="351"/>
      <c r="Z50" s="351"/>
      <c r="AA50" s="351"/>
      <c r="AB50" s="351"/>
      <c r="AC50" s="351"/>
    </row>
    <row r="51" spans="1:29">
      <c r="A51" s="338"/>
      <c r="B51" s="338"/>
      <c r="C51" s="338"/>
      <c r="D51" s="338"/>
      <c r="E51" s="338"/>
      <c r="F51" s="338"/>
      <c r="G51" s="339"/>
      <c r="H51" s="338"/>
      <c r="I51" s="338"/>
      <c r="J51" s="338"/>
      <c r="K51" s="430"/>
      <c r="L51" s="431"/>
      <c r="M51" s="349"/>
      <c r="N51" s="349"/>
      <c r="O51" s="349"/>
      <c r="P51" s="1772"/>
      <c r="Q51" s="349"/>
      <c r="R51" s="349"/>
      <c r="S51" s="349"/>
      <c r="T51" s="349"/>
      <c r="U51" s="349"/>
      <c r="V51" s="349"/>
      <c r="W51" s="349"/>
      <c r="X51" s="349"/>
      <c r="Y51" s="349"/>
      <c r="Z51" s="349"/>
      <c r="AA51" s="349"/>
      <c r="AB51" s="349"/>
      <c r="AC51" s="349"/>
    </row>
    <row r="52" spans="1:29">
      <c r="A52" s="338"/>
      <c r="B52" s="338"/>
      <c r="C52" s="338"/>
      <c r="D52" s="338"/>
      <c r="E52" s="338"/>
      <c r="F52" s="338"/>
      <c r="G52" s="338"/>
      <c r="H52" s="338"/>
      <c r="I52" s="338"/>
      <c r="J52" s="338"/>
      <c r="K52" s="430"/>
      <c r="L52" s="431"/>
      <c r="M52" s="349"/>
      <c r="N52" s="349"/>
      <c r="O52" s="349"/>
      <c r="P52" s="1772"/>
      <c r="Q52" s="349"/>
      <c r="R52" s="349"/>
      <c r="S52" s="349"/>
      <c r="T52" s="349"/>
      <c r="U52" s="349"/>
      <c r="V52" s="349"/>
      <c r="W52" s="349"/>
      <c r="X52" s="349"/>
      <c r="Y52" s="349"/>
      <c r="Z52" s="349"/>
      <c r="AA52" s="349"/>
      <c r="AB52" s="349"/>
      <c r="AC52" s="349"/>
    </row>
    <row r="53" ht="13.5" customHeight="1" spans="1:29">
      <c r="A53" s="338"/>
      <c r="B53" s="338"/>
      <c r="C53" s="340" t="s">
        <v>1326</v>
      </c>
      <c r="D53" s="341"/>
      <c r="E53" s="342">
        <f>IF(E48&lt;E49,E49/E48-1,E48/E49-1)</f>
        <v>0.0256410256410258</v>
      </c>
      <c r="F53" s="343" t="str">
        <f>IF(OR(E53&gt;=0.3,E53&lt;=-0.3),"超过30%","")</f>
        <v/>
      </c>
      <c r="G53" s="342">
        <f>IF(G48&lt;G49,G49/G48-1,G48/G49-1)</f>
        <v>0</v>
      </c>
      <c r="H53" s="343" t="str">
        <f>IF(OR(G53&gt;=0.3,G53&lt;=-0.3),"超过30%","")</f>
        <v/>
      </c>
      <c r="I53" s="342">
        <f>IF(I48&lt;I49,I49/I48-1,I48/I49-1)</f>
        <v>0.0263157894736843</v>
      </c>
      <c r="J53" s="343" t="str">
        <f>IF(OR(I53&gt;=0.3,I53&lt;=-0.3),"超过30%","")</f>
        <v/>
      </c>
      <c r="K53" s="430"/>
      <c r="L53" s="431"/>
      <c r="M53" s="349"/>
      <c r="N53" s="349"/>
      <c r="O53" s="349"/>
      <c r="P53" s="1772"/>
      <c r="Q53" s="349"/>
      <c r="R53" s="349"/>
      <c r="S53" s="349"/>
      <c r="T53" s="349"/>
      <c r="U53" s="349"/>
      <c r="V53" s="349"/>
      <c r="W53" s="349"/>
      <c r="X53" s="349"/>
      <c r="Y53" s="349"/>
      <c r="Z53" s="349"/>
      <c r="AA53" s="349"/>
      <c r="AB53" s="349"/>
      <c r="AC53" s="349"/>
    </row>
    <row r="54" ht="13.5" customHeight="1" spans="1:29">
      <c r="A54" s="338"/>
      <c r="B54" s="338"/>
      <c r="C54" s="340" t="s">
        <v>1327</v>
      </c>
      <c r="D54" s="344"/>
      <c r="E54" s="342">
        <f>IF(E49&lt;G49,G49/E49-1,E49/G49-1)</f>
        <v>0.0540540540540539</v>
      </c>
      <c r="F54" s="343" t="str">
        <f>IF(OR(E54&gt;=0.2,E54&lt;=-0.2),"超过20%","")</f>
        <v/>
      </c>
      <c r="G54" s="342">
        <f>IF(G49&lt;I49,I49/G49-1,G49/I49-1)</f>
        <v>0.027027027027027</v>
      </c>
      <c r="H54" s="343" t="str">
        <f>IF(OR(G54&gt;=0.2,G54&lt;=-0.2),"超过20%","")</f>
        <v/>
      </c>
      <c r="I54" s="342">
        <f>IF(I49&lt;E49,E49/I49-1,I49/E49-1)</f>
        <v>0.0263157894736843</v>
      </c>
      <c r="J54" s="343" t="str">
        <f>IF(OR(I54&gt;=0.2,I54&lt;=-0.2),"超过20%","")</f>
        <v/>
      </c>
      <c r="K54" s="430"/>
      <c r="L54" s="431"/>
      <c r="M54" s="349"/>
      <c r="N54" s="349"/>
      <c r="O54" s="349"/>
      <c r="P54" s="1772"/>
      <c r="Q54" s="349"/>
      <c r="R54" s="349"/>
      <c r="S54" s="349"/>
      <c r="T54" s="349"/>
      <c r="U54" s="349"/>
      <c r="V54" s="349"/>
      <c r="W54" s="349"/>
      <c r="X54" s="349"/>
      <c r="Y54" s="349"/>
      <c r="Z54" s="349"/>
      <c r="AA54" s="349"/>
      <c r="AB54" s="349"/>
      <c r="AC54" s="349"/>
    </row>
    <row r="55" s="199" customFormat="1" ht="13.5" customHeight="1" spans="1:29">
      <c r="A55" s="345"/>
      <c r="B55" s="345"/>
      <c r="C55" s="340" t="s">
        <v>1328</v>
      </c>
      <c r="D55" s="344"/>
      <c r="E55" s="342">
        <f>IF(E48&lt;G48,G48/E48-1,E48/G48-1)</f>
        <v>0.0810810810810809</v>
      </c>
      <c r="F55" s="343" t="str">
        <f>IF(OR(E55&gt;=0.3,E55&lt;=-0.3),"超过30%","")</f>
        <v/>
      </c>
      <c r="G55" s="342">
        <f>IF(G48&lt;I48,I48/G48-1,G48/I48-1)</f>
        <v>0.0540540540540539</v>
      </c>
      <c r="H55" s="343" t="str">
        <f>IF(OR(G55&gt;=0.3,G55&lt;=-0.3),"超过30%","")</f>
        <v/>
      </c>
      <c r="I55" s="342">
        <f>IF(I48&lt;E48,E48/I48-1,I48/E48-1)</f>
        <v>0.0256410256410258</v>
      </c>
      <c r="J55" s="343" t="str">
        <f>IF(OR(I55&gt;=0.3,I55&lt;=-0.3),"超过30%","")</f>
        <v/>
      </c>
      <c r="K55" s="432"/>
      <c r="L55" s="433"/>
      <c r="M55" s="346"/>
      <c r="N55" s="346"/>
      <c r="O55" s="346"/>
      <c r="P55" s="1773"/>
      <c r="Q55" s="346"/>
      <c r="R55" s="346"/>
      <c r="S55" s="346"/>
      <c r="T55" s="346"/>
      <c r="U55" s="346"/>
      <c r="V55" s="346"/>
      <c r="W55" s="346"/>
      <c r="X55" s="346"/>
      <c r="Y55" s="346"/>
      <c r="Z55" s="346"/>
      <c r="AA55" s="346"/>
      <c r="AB55" s="346"/>
      <c r="AC55" s="346"/>
    </row>
    <row r="56" s="199" customFormat="1" spans="1:29">
      <c r="A56" s="346"/>
      <c r="B56" s="347"/>
      <c r="C56" s="348"/>
      <c r="D56" s="346"/>
      <c r="E56" s="346"/>
      <c r="F56" s="346"/>
      <c r="G56" s="346"/>
      <c r="H56" s="346"/>
      <c r="I56" s="346"/>
      <c r="J56" s="346"/>
      <c r="K56" s="434"/>
      <c r="L56" s="433"/>
      <c r="M56" s="346"/>
      <c r="N56" s="346"/>
      <c r="O56" s="346"/>
      <c r="P56" s="1773"/>
      <c r="Q56" s="346"/>
      <c r="R56" s="346"/>
      <c r="S56" s="346"/>
      <c r="T56" s="346"/>
      <c r="U56" s="346"/>
      <c r="V56" s="346"/>
      <c r="W56" s="346"/>
      <c r="X56" s="346"/>
      <c r="Y56" s="346"/>
      <c r="Z56" s="346"/>
      <c r="AA56" s="346"/>
      <c r="AB56" s="346"/>
      <c r="AC56" s="346"/>
    </row>
    <row r="57" spans="1:29">
      <c r="A57" s="349"/>
      <c r="B57" s="347"/>
      <c r="C57" s="348"/>
      <c r="D57" s="349"/>
      <c r="E57" s="349"/>
      <c r="F57" s="349"/>
      <c r="G57" s="349"/>
      <c r="H57" s="349"/>
      <c r="I57" s="349"/>
      <c r="J57" s="349"/>
      <c r="K57" s="435"/>
      <c r="L57" s="431"/>
      <c r="M57" s="349"/>
      <c r="N57" s="349"/>
      <c r="O57" s="349"/>
      <c r="P57" s="1772"/>
      <c r="Q57" s="349"/>
      <c r="R57" s="349"/>
      <c r="S57" s="349"/>
      <c r="T57" s="349"/>
      <c r="U57" s="349"/>
      <c r="V57" s="349"/>
      <c r="W57" s="349"/>
      <c r="X57" s="349"/>
      <c r="Y57" s="349"/>
      <c r="Z57" s="349"/>
      <c r="AA57" s="349"/>
      <c r="AB57" s="349"/>
      <c r="AC57" s="349"/>
    </row>
    <row r="58" ht="21" spans="1:29">
      <c r="A58" s="350" t="s">
        <v>1350</v>
      </c>
      <c r="B58" s="351"/>
      <c r="C58" s="352"/>
      <c r="D58" s="352"/>
      <c r="E58" s="352"/>
      <c r="F58" s="353"/>
      <c r="G58" s="353"/>
      <c r="H58" s="352"/>
      <c r="I58" s="352"/>
      <c r="J58" s="352"/>
      <c r="K58" s="436"/>
      <c r="L58" s="437"/>
      <c r="M58" s="352"/>
      <c r="N58" s="438"/>
      <c r="O58" s="438"/>
      <c r="P58" s="1774"/>
      <c r="Q58" s="442"/>
      <c r="R58" s="349"/>
      <c r="S58" s="349"/>
      <c r="T58" s="349"/>
      <c r="U58" s="349"/>
      <c r="V58" s="349"/>
      <c r="W58" s="349"/>
      <c r="X58" s="349"/>
      <c r="Y58" s="349"/>
      <c r="Z58" s="349"/>
      <c r="AA58" s="349"/>
      <c r="AB58" s="349"/>
      <c r="AC58" s="349"/>
    </row>
    <row r="59" s="200" customFormat="1" ht="15" spans="1:29">
      <c r="A59" s="354" t="s">
        <v>1297</v>
      </c>
      <c r="B59" s="355"/>
      <c r="C59" s="356" t="str">
        <f>YEAR(C7)&amp;"-"&amp;MONTH(C7)</f>
        <v>2021-11</v>
      </c>
      <c r="D59" s="357">
        <f>EDATE(C59,-1)</f>
        <v>44470</v>
      </c>
      <c r="E59" s="357">
        <f t="shared" ref="E59:O59" si="16">EDATE(D59,-1)</f>
        <v>44440</v>
      </c>
      <c r="F59" s="357">
        <f t="shared" si="16"/>
        <v>44409</v>
      </c>
      <c r="G59" s="357">
        <f t="shared" si="16"/>
        <v>44378</v>
      </c>
      <c r="H59" s="357">
        <f t="shared" si="16"/>
        <v>44348</v>
      </c>
      <c r="I59" s="357">
        <f t="shared" si="16"/>
        <v>44317</v>
      </c>
      <c r="J59" s="357">
        <f t="shared" si="16"/>
        <v>44287</v>
      </c>
      <c r="K59" s="357">
        <f t="shared" si="16"/>
        <v>44256</v>
      </c>
      <c r="L59" s="357">
        <f t="shared" si="16"/>
        <v>44228</v>
      </c>
      <c r="M59" s="357">
        <f t="shared" si="16"/>
        <v>44197</v>
      </c>
      <c r="N59" s="357">
        <f t="shared" si="16"/>
        <v>44166</v>
      </c>
      <c r="O59" s="357">
        <f t="shared" si="16"/>
        <v>44136</v>
      </c>
      <c r="P59" s="1775"/>
      <c r="Q59" s="498"/>
      <c r="R59" s="498"/>
      <c r="S59" s="498"/>
      <c r="T59" s="498"/>
      <c r="U59" s="498"/>
      <c r="V59" s="498"/>
      <c r="W59" s="498"/>
      <c r="X59" s="498"/>
      <c r="Y59" s="498"/>
      <c r="Z59" s="498"/>
      <c r="AA59" s="498"/>
      <c r="AB59" s="498"/>
      <c r="AC59" s="498"/>
    </row>
    <row r="60" s="196" customFormat="1" ht="15" spans="1:29">
      <c r="A60" s="358"/>
      <c r="B60" s="359"/>
      <c r="C60" s="360">
        <v>100</v>
      </c>
      <c r="D60" s="361"/>
      <c r="E60" s="361"/>
      <c r="F60" s="361"/>
      <c r="G60" s="361"/>
      <c r="H60" s="361"/>
      <c r="I60" s="361"/>
      <c r="J60" s="361"/>
      <c r="K60" s="361"/>
      <c r="L60" s="361"/>
      <c r="M60" s="440"/>
      <c r="N60" s="361"/>
      <c r="O60" s="440"/>
      <c r="P60" s="1776"/>
      <c r="Q60" s="499"/>
      <c r="R60" s="499"/>
      <c r="S60" s="499"/>
      <c r="T60" s="499"/>
      <c r="U60" s="499"/>
      <c r="V60" s="499"/>
      <c r="W60" s="499"/>
      <c r="X60" s="499"/>
      <c r="Y60" s="499"/>
      <c r="Z60" s="499"/>
      <c r="AA60" s="499"/>
      <c r="AB60" s="499"/>
      <c r="AC60" s="499"/>
    </row>
    <row r="61" s="196" customFormat="1" ht="15.75" spans="1:29">
      <c r="A61" s="362" t="s">
        <v>1366</v>
      </c>
      <c r="B61" s="363"/>
      <c r="C61" s="364"/>
      <c r="D61" s="365"/>
      <c r="E61" s="365"/>
      <c r="F61" s="365"/>
      <c r="G61" s="365"/>
      <c r="H61" s="365"/>
      <c r="I61" s="365"/>
      <c r="J61" s="365"/>
      <c r="K61" s="365"/>
      <c r="L61" s="365"/>
      <c r="M61" s="443"/>
      <c r="N61" s="365"/>
      <c r="O61" s="443"/>
      <c r="P61" s="1776"/>
      <c r="Q61" s="442"/>
      <c r="R61" s="499"/>
      <c r="S61" s="499"/>
      <c r="T61" s="499"/>
      <c r="U61" s="499"/>
      <c r="V61" s="499"/>
      <c r="W61" s="499"/>
      <c r="X61" s="499"/>
      <c r="Y61" s="499"/>
      <c r="Z61" s="499"/>
      <c r="AA61" s="499"/>
      <c r="AB61" s="499"/>
      <c r="AC61" s="499"/>
    </row>
    <row r="62" s="196" customFormat="1" ht="15" spans="1:29">
      <c r="A62" s="366" t="s">
        <v>1300</v>
      </c>
      <c r="B62" s="359"/>
      <c r="C62" s="367" t="s">
        <v>1301</v>
      </c>
      <c r="D62" s="368"/>
      <c r="E62" s="368"/>
      <c r="F62" s="368"/>
      <c r="G62" s="368"/>
      <c r="H62" s="368"/>
      <c r="I62" s="368"/>
      <c r="J62" s="368"/>
      <c r="K62" s="368"/>
      <c r="L62" s="445"/>
      <c r="M62" s="446"/>
      <c r="N62" s="447"/>
      <c r="O62" s="447"/>
      <c r="P62" s="1777"/>
      <c r="Q62" s="442"/>
      <c r="R62" s="499"/>
      <c r="S62" s="499"/>
      <c r="T62" s="499"/>
      <c r="U62" s="499"/>
      <c r="V62" s="499"/>
      <c r="W62" s="499"/>
      <c r="X62" s="499"/>
      <c r="Y62" s="499"/>
      <c r="Z62" s="499"/>
      <c r="AA62" s="499"/>
      <c r="AB62" s="499"/>
      <c r="AC62" s="499"/>
    </row>
    <row r="63" s="196" customFormat="1" ht="15.75" spans="1:29">
      <c r="A63" s="366"/>
      <c r="B63" s="359"/>
      <c r="C63" s="625">
        <v>100</v>
      </c>
      <c r="D63" s="361"/>
      <c r="E63" s="361"/>
      <c r="F63" s="361"/>
      <c r="G63" s="361"/>
      <c r="H63" s="361"/>
      <c r="I63" s="361"/>
      <c r="J63" s="361"/>
      <c r="K63" s="361"/>
      <c r="L63" s="361"/>
      <c r="M63" s="441"/>
      <c r="N63" s="447"/>
      <c r="O63" s="447"/>
      <c r="P63" s="1776"/>
      <c r="Q63" s="442"/>
      <c r="R63" s="499"/>
      <c r="S63" s="499"/>
      <c r="T63" s="499"/>
      <c r="U63" s="499"/>
      <c r="V63" s="499"/>
      <c r="W63" s="499"/>
      <c r="X63" s="499"/>
      <c r="Y63" s="499"/>
      <c r="Z63" s="499"/>
      <c r="AA63" s="499"/>
      <c r="AB63" s="499"/>
      <c r="AC63" s="499"/>
    </row>
    <row r="64" spans="1:29">
      <c r="A64" s="369" t="s">
        <v>1353</v>
      </c>
      <c r="B64" s="370" t="s">
        <v>1354</v>
      </c>
      <c r="C64" s="371" t="str">
        <f>C9</f>
        <v>办公科研</v>
      </c>
      <c r="D64" s="372"/>
      <c r="E64" s="372"/>
      <c r="F64" s="372"/>
      <c r="G64" s="372"/>
      <c r="H64" s="372"/>
      <c r="I64" s="372"/>
      <c r="J64" s="372"/>
      <c r="K64" s="449"/>
      <c r="L64" s="450"/>
      <c r="M64" s="451"/>
      <c r="N64" s="452"/>
      <c r="O64" s="452"/>
      <c r="P64" s="1778"/>
      <c r="Q64" s="442"/>
      <c r="R64" s="349"/>
      <c r="S64" s="349"/>
      <c r="T64" s="349"/>
      <c r="U64" s="349"/>
      <c r="V64" s="349"/>
      <c r="W64" s="349"/>
      <c r="X64" s="349"/>
      <c r="Y64" s="349"/>
      <c r="Z64" s="349"/>
      <c r="AA64" s="349"/>
      <c r="AB64" s="349"/>
      <c r="AC64" s="349"/>
    </row>
    <row r="65" ht="15.75" spans="1:29">
      <c r="A65" s="373"/>
      <c r="B65" s="374"/>
      <c r="C65" s="375">
        <v>100</v>
      </c>
      <c r="D65" s="375"/>
      <c r="E65" s="375"/>
      <c r="F65" s="375"/>
      <c r="G65" s="375"/>
      <c r="H65" s="375"/>
      <c r="I65" s="375"/>
      <c r="J65" s="375"/>
      <c r="K65" s="375"/>
      <c r="L65" s="375"/>
      <c r="M65" s="454"/>
      <c r="N65" s="455"/>
      <c r="O65" s="455"/>
      <c r="P65" s="1778"/>
      <c r="Q65" s="442"/>
      <c r="R65" s="349"/>
      <c r="S65" s="349"/>
      <c r="T65" s="349"/>
      <c r="U65" s="349"/>
      <c r="V65" s="349"/>
      <c r="W65" s="349"/>
      <c r="X65" s="349"/>
      <c r="Y65" s="349"/>
      <c r="Z65" s="349"/>
      <c r="AA65" s="349"/>
      <c r="AB65" s="349"/>
      <c r="AC65" s="349"/>
    </row>
    <row r="66" ht="27.75" spans="1:29">
      <c r="A66" s="373"/>
      <c r="B66" s="376" t="s">
        <v>1355</v>
      </c>
      <c r="C66" s="377" t="s">
        <v>1585</v>
      </c>
      <c r="D66" s="377" t="s">
        <v>1586</v>
      </c>
      <c r="E66" s="377" t="s">
        <v>1587</v>
      </c>
      <c r="F66" s="377" t="s">
        <v>1588</v>
      </c>
      <c r="G66" s="377" t="s">
        <v>1589</v>
      </c>
      <c r="H66" s="377" t="s">
        <v>1590</v>
      </c>
      <c r="I66" s="377" t="s">
        <v>1591</v>
      </c>
      <c r="J66" s="377"/>
      <c r="K66" s="456"/>
      <c r="L66" s="457"/>
      <c r="M66" s="458"/>
      <c r="N66" s="452"/>
      <c r="O66" s="452"/>
      <c r="P66" s="1778"/>
      <c r="Q66" s="442"/>
      <c r="R66" s="349"/>
      <c r="S66" s="349"/>
      <c r="T66" s="349"/>
      <c r="U66" s="349"/>
      <c r="V66" s="349"/>
      <c r="W66" s="349"/>
      <c r="X66" s="349"/>
      <c r="Y66" s="349"/>
      <c r="Z66" s="349"/>
      <c r="AA66" s="349"/>
      <c r="AB66" s="349"/>
      <c r="AC66" s="349"/>
    </row>
    <row r="67" ht="15.75" spans="1:29">
      <c r="A67" s="373"/>
      <c r="B67" s="378"/>
      <c r="C67" s="379" t="s">
        <v>1349</v>
      </c>
      <c r="D67" s="379" t="s">
        <v>1349</v>
      </c>
      <c r="E67" s="379">
        <v>100</v>
      </c>
      <c r="F67" s="379">
        <f>E67-$K10</f>
        <v>100</v>
      </c>
      <c r="G67" s="379">
        <f>F67-$K10</f>
        <v>100</v>
      </c>
      <c r="H67" s="379">
        <f>G67-$K10</f>
        <v>100</v>
      </c>
      <c r="I67" s="379">
        <f>H67-$K10</f>
        <v>100</v>
      </c>
      <c r="J67" s="379"/>
      <c r="K67" s="379"/>
      <c r="L67" s="379"/>
      <c r="M67" s="459"/>
      <c r="N67" s="455"/>
      <c r="O67" s="455"/>
      <c r="P67" s="1778"/>
      <c r="Q67" s="442"/>
      <c r="R67" s="349"/>
      <c r="S67" s="349"/>
      <c r="T67" s="349"/>
      <c r="U67" s="349"/>
      <c r="V67" s="349"/>
      <c r="W67" s="349"/>
      <c r="X67" s="349"/>
      <c r="Y67" s="349"/>
      <c r="Z67" s="349"/>
      <c r="AA67" s="349"/>
      <c r="AB67" s="349"/>
      <c r="AC67" s="349"/>
    </row>
    <row r="68" ht="15.75" spans="1:29">
      <c r="A68" s="373"/>
      <c r="B68" s="514" t="s">
        <v>1356</v>
      </c>
      <c r="C68" s="592" t="str">
        <f>C69&amp;"（含）"&amp;"-"&amp;D69</f>
        <v>0（含）-1</v>
      </c>
      <c r="D68" s="592" t="str">
        <f t="shared" ref="D68:L68" si="17">D69&amp;"（含）"&amp;"-"&amp;E69</f>
        <v>1（含）-2</v>
      </c>
      <c r="E68" s="592" t="str">
        <f t="shared" si="17"/>
        <v>2（含）-3</v>
      </c>
      <c r="F68" s="592" t="str">
        <f t="shared" si="17"/>
        <v>3（含）-</v>
      </c>
      <c r="G68" s="592" t="str">
        <f t="shared" si="17"/>
        <v>（含）-</v>
      </c>
      <c r="H68" s="592" t="str">
        <f t="shared" si="17"/>
        <v>（含）-</v>
      </c>
      <c r="I68" s="592" t="str">
        <f t="shared" si="17"/>
        <v>（含）-</v>
      </c>
      <c r="J68" s="592" t="str">
        <f t="shared" si="17"/>
        <v>（含）-</v>
      </c>
      <c r="K68" s="592" t="str">
        <f t="shared" si="17"/>
        <v>（含）-</v>
      </c>
      <c r="L68" s="592" t="str">
        <f t="shared" si="17"/>
        <v>（含）-</v>
      </c>
      <c r="M68" s="276" t="str">
        <f>M69&amp;"（含）"&amp;"-"&amp;P69</f>
        <v>（含）-</v>
      </c>
      <c r="N68" s="455"/>
      <c r="O68" s="455"/>
      <c r="P68" s="1778"/>
      <c r="Q68" s="442"/>
      <c r="R68" s="349"/>
      <c r="S68" s="349"/>
      <c r="T68" s="349"/>
      <c r="U68" s="349"/>
      <c r="V68" s="349"/>
      <c r="W68" s="349"/>
      <c r="X68" s="349"/>
      <c r="Y68" s="349"/>
      <c r="Z68" s="349"/>
      <c r="AA68" s="349"/>
      <c r="AB68" s="349"/>
      <c r="AC68" s="349"/>
    </row>
    <row r="69" ht="15" spans="1:29">
      <c r="A69" s="373"/>
      <c r="B69" s="593"/>
      <c r="C69" s="381">
        <v>0</v>
      </c>
      <c r="D69" s="381">
        <v>1</v>
      </c>
      <c r="E69" s="381">
        <v>2</v>
      </c>
      <c r="F69" s="381">
        <v>3</v>
      </c>
      <c r="G69" s="381"/>
      <c r="H69" s="381"/>
      <c r="I69" s="381"/>
      <c r="J69" s="381"/>
      <c r="K69" s="460"/>
      <c r="L69" s="461"/>
      <c r="M69" s="462"/>
      <c r="N69" s="452"/>
      <c r="O69" s="452"/>
      <c r="P69" s="1778"/>
      <c r="Q69" s="442"/>
      <c r="R69" s="349"/>
      <c r="S69" s="349"/>
      <c r="T69" s="349"/>
      <c r="U69" s="349"/>
      <c r="V69" s="349"/>
      <c r="W69" s="349"/>
      <c r="X69" s="349"/>
      <c r="Y69" s="349"/>
      <c r="Z69" s="349"/>
      <c r="AA69" s="349"/>
      <c r="AB69" s="349"/>
      <c r="AC69" s="349"/>
    </row>
    <row r="70" ht="15.75" spans="1:29">
      <c r="A70" s="373"/>
      <c r="B70" s="374"/>
      <c r="C70" s="379">
        <v>100</v>
      </c>
      <c r="D70" s="379">
        <f t="shared" ref="D70:M70" si="18">C70-$K11</f>
        <v>100</v>
      </c>
      <c r="E70" s="379">
        <f t="shared" si="18"/>
        <v>100</v>
      </c>
      <c r="F70" s="379">
        <f t="shared" si="18"/>
        <v>100</v>
      </c>
      <c r="G70" s="379">
        <f t="shared" si="18"/>
        <v>100</v>
      </c>
      <c r="H70" s="379">
        <f t="shared" si="18"/>
        <v>100</v>
      </c>
      <c r="I70" s="379">
        <f t="shared" si="18"/>
        <v>100</v>
      </c>
      <c r="J70" s="379">
        <f t="shared" si="18"/>
        <v>100</v>
      </c>
      <c r="K70" s="379">
        <f t="shared" si="18"/>
        <v>100</v>
      </c>
      <c r="L70" s="379">
        <f t="shared" si="18"/>
        <v>100</v>
      </c>
      <c r="M70" s="459">
        <f t="shared" si="18"/>
        <v>100</v>
      </c>
      <c r="N70" s="455"/>
      <c r="O70" s="455"/>
      <c r="P70" s="1778"/>
      <c r="Q70" s="442"/>
      <c r="R70" s="349"/>
      <c r="S70" s="349"/>
      <c r="T70" s="349"/>
      <c r="U70" s="349"/>
      <c r="V70" s="349"/>
      <c r="W70" s="349"/>
      <c r="X70" s="349"/>
      <c r="Y70" s="349"/>
      <c r="Z70" s="349"/>
      <c r="AA70" s="349"/>
      <c r="AB70" s="349"/>
      <c r="AC70" s="349"/>
    </row>
    <row r="71" s="198" customFormat="1" ht="15.75" spans="1:29">
      <c r="A71" s="383"/>
      <c r="B71" s="376">
        <f>B12</f>
        <v>111</v>
      </c>
      <c r="C71" s="384"/>
      <c r="D71" s="384"/>
      <c r="E71" s="384"/>
      <c r="F71" s="384"/>
      <c r="G71" s="384"/>
      <c r="H71" s="385"/>
      <c r="I71" s="385"/>
      <c r="J71" s="385"/>
      <c r="K71" s="385"/>
      <c r="L71" s="463"/>
      <c r="M71" s="464"/>
      <c r="N71" s="465"/>
      <c r="O71" s="465"/>
      <c r="P71" s="1782"/>
      <c r="Q71" s="500"/>
      <c r="R71" s="501"/>
      <c r="S71" s="501"/>
      <c r="T71" s="501"/>
      <c r="U71" s="501"/>
      <c r="V71" s="501"/>
      <c r="W71" s="501"/>
      <c r="X71" s="501"/>
      <c r="Y71" s="501"/>
      <c r="Z71" s="501"/>
      <c r="AA71" s="501"/>
      <c r="AB71" s="501"/>
      <c r="AC71" s="501"/>
    </row>
    <row r="72" s="198" customFormat="1" ht="15.75" spans="1:29">
      <c r="A72" s="383"/>
      <c r="B72" s="378"/>
      <c r="C72" s="382"/>
      <c r="D72" s="375"/>
      <c r="E72" s="375"/>
      <c r="F72" s="375"/>
      <c r="G72" s="375"/>
      <c r="H72" s="375"/>
      <c r="I72" s="375"/>
      <c r="J72" s="375"/>
      <c r="K72" s="375"/>
      <c r="L72" s="375"/>
      <c r="M72" s="454"/>
      <c r="N72" s="455"/>
      <c r="O72" s="455"/>
      <c r="P72" s="1782"/>
      <c r="Q72" s="500"/>
      <c r="R72" s="501"/>
      <c r="S72" s="501"/>
      <c r="T72" s="501"/>
      <c r="U72" s="501"/>
      <c r="V72" s="501"/>
      <c r="W72" s="501"/>
      <c r="X72" s="501"/>
      <c r="Y72" s="501"/>
      <c r="Z72" s="501"/>
      <c r="AA72" s="501"/>
      <c r="AB72" s="501"/>
      <c r="AC72" s="501"/>
    </row>
    <row r="73" s="198" customFormat="1" ht="15.75" spans="1:29">
      <c r="A73" s="383"/>
      <c r="B73" s="376">
        <f>B13</f>
        <v>111</v>
      </c>
      <c r="C73" s="384"/>
      <c r="D73" s="384"/>
      <c r="E73" s="384"/>
      <c r="F73" s="384"/>
      <c r="G73" s="384"/>
      <c r="H73" s="385"/>
      <c r="I73" s="385"/>
      <c r="J73" s="385"/>
      <c r="K73" s="385"/>
      <c r="L73" s="463"/>
      <c r="M73" s="464"/>
      <c r="N73" s="465"/>
      <c r="O73" s="465"/>
      <c r="P73" s="1783"/>
      <c r="Q73" s="502"/>
      <c r="R73" s="501"/>
      <c r="S73" s="501"/>
      <c r="T73" s="501"/>
      <c r="U73" s="501"/>
      <c r="V73" s="501"/>
      <c r="W73" s="501"/>
      <c r="X73" s="501"/>
      <c r="Y73" s="501"/>
      <c r="Z73" s="501"/>
      <c r="AA73" s="501"/>
      <c r="AB73" s="501"/>
      <c r="AC73" s="501"/>
    </row>
    <row r="74" s="198" customFormat="1" ht="15.75" spans="1:29">
      <c r="A74" s="383"/>
      <c r="B74" s="378"/>
      <c r="C74" s="382"/>
      <c r="D74" s="382"/>
      <c r="E74" s="382"/>
      <c r="F74" s="382"/>
      <c r="G74" s="382"/>
      <c r="H74" s="386"/>
      <c r="I74" s="386"/>
      <c r="J74" s="386"/>
      <c r="K74" s="386"/>
      <c r="L74" s="386"/>
      <c r="M74" s="467"/>
      <c r="N74" s="465"/>
      <c r="O74" s="465"/>
      <c r="P74" s="1782"/>
      <c r="Q74" s="500"/>
      <c r="R74" s="501"/>
      <c r="S74" s="501"/>
      <c r="T74" s="501"/>
      <c r="U74" s="501"/>
      <c r="V74" s="501"/>
      <c r="W74" s="501"/>
      <c r="X74" s="501"/>
      <c r="Y74" s="501"/>
      <c r="Z74" s="501"/>
      <c r="AA74" s="501"/>
      <c r="AB74" s="501"/>
      <c r="AC74" s="501"/>
    </row>
    <row r="75" s="198" customFormat="1" ht="15.75" spans="1:29">
      <c r="A75" s="383"/>
      <c r="B75" s="514">
        <f>B14</f>
        <v>111</v>
      </c>
      <c r="C75" s="368"/>
      <c r="D75" s="368"/>
      <c r="E75" s="368"/>
      <c r="F75" s="368"/>
      <c r="G75" s="368"/>
      <c r="H75" s="595"/>
      <c r="I75" s="595"/>
      <c r="J75" s="595"/>
      <c r="K75" s="595"/>
      <c r="L75" s="604"/>
      <c r="M75" s="605"/>
      <c r="N75" s="465"/>
      <c r="O75" s="465"/>
      <c r="P75" s="1784"/>
      <c r="Q75" s="500"/>
      <c r="R75" s="501"/>
      <c r="S75" s="501"/>
      <c r="T75" s="501"/>
      <c r="U75" s="501"/>
      <c r="V75" s="501"/>
      <c r="W75" s="501"/>
      <c r="X75" s="501"/>
      <c r="Y75" s="501"/>
      <c r="Z75" s="501"/>
      <c r="AA75" s="501"/>
      <c r="AB75" s="501"/>
      <c r="AC75" s="501"/>
    </row>
    <row r="76" s="198" customFormat="1" ht="15.75" spans="1:29">
      <c r="A76" s="596"/>
      <c r="B76" s="597"/>
      <c r="C76" s="598"/>
      <c r="D76" s="598"/>
      <c r="E76" s="598"/>
      <c r="F76" s="598"/>
      <c r="G76" s="598"/>
      <c r="H76" s="599"/>
      <c r="I76" s="599"/>
      <c r="J76" s="599"/>
      <c r="K76" s="599"/>
      <c r="L76" s="599"/>
      <c r="M76" s="607"/>
      <c r="N76" s="465"/>
      <c r="O76" s="465"/>
      <c r="P76" s="1782"/>
      <c r="Q76" s="500"/>
      <c r="R76" s="501"/>
      <c r="S76" s="501"/>
      <c r="T76" s="501"/>
      <c r="U76" s="501"/>
      <c r="V76" s="501"/>
      <c r="W76" s="501"/>
      <c r="X76" s="501"/>
      <c r="Y76" s="501"/>
      <c r="Z76" s="501"/>
      <c r="AA76" s="501"/>
      <c r="AB76" s="501"/>
      <c r="AC76" s="501"/>
    </row>
    <row r="77" spans="1:29">
      <c r="A77" s="369" t="s">
        <v>1357</v>
      </c>
      <c r="B77" s="370" t="s">
        <v>227</v>
      </c>
      <c r="C77" s="387" t="s">
        <v>246</v>
      </c>
      <c r="D77" s="387" t="s">
        <v>258</v>
      </c>
      <c r="E77" s="387" t="s">
        <v>269</v>
      </c>
      <c r="F77" s="387" t="s">
        <v>279</v>
      </c>
      <c r="G77" s="387" t="s">
        <v>287</v>
      </c>
      <c r="H77" s="371"/>
      <c r="I77" s="371"/>
      <c r="J77" s="371"/>
      <c r="K77" s="468"/>
      <c r="L77" s="469"/>
      <c r="M77" s="470"/>
      <c r="N77" s="452"/>
      <c r="O77" s="452"/>
      <c r="P77" s="1785"/>
      <c r="Q77" s="442"/>
      <c r="R77" s="349"/>
      <c r="S77" s="349"/>
      <c r="T77" s="349"/>
      <c r="U77" s="349"/>
      <c r="V77" s="349"/>
      <c r="W77" s="349"/>
      <c r="X77" s="349"/>
      <c r="Y77" s="349"/>
      <c r="Z77" s="349"/>
      <c r="AA77" s="349"/>
      <c r="AB77" s="349"/>
      <c r="AC77" s="349"/>
    </row>
    <row r="78" ht="15.75" spans="1:29">
      <c r="A78" s="373"/>
      <c r="B78" s="378"/>
      <c r="C78" s="379">
        <v>100</v>
      </c>
      <c r="D78" s="379">
        <f>C78-$K15</f>
        <v>100</v>
      </c>
      <c r="E78" s="379">
        <f>D78-$K15</f>
        <v>100</v>
      </c>
      <c r="F78" s="379">
        <f>E78-$K15</f>
        <v>100</v>
      </c>
      <c r="G78" s="379">
        <f>F78-$K15</f>
        <v>100</v>
      </c>
      <c r="H78" s="379"/>
      <c r="I78" s="379"/>
      <c r="J78" s="379"/>
      <c r="K78" s="379"/>
      <c r="L78" s="379"/>
      <c r="M78" s="459"/>
      <c r="N78" s="455"/>
      <c r="O78" s="455"/>
      <c r="P78" s="1778"/>
      <c r="Q78" s="442"/>
      <c r="R78" s="349"/>
      <c r="S78" s="349"/>
      <c r="T78" s="349"/>
      <c r="U78" s="349"/>
      <c r="V78" s="349"/>
      <c r="W78" s="349"/>
      <c r="X78" s="349"/>
      <c r="Y78" s="349"/>
      <c r="Z78" s="349"/>
      <c r="AA78" s="349"/>
      <c r="AB78" s="349"/>
      <c r="AC78" s="349"/>
    </row>
    <row r="79" ht="15.75" spans="1:29">
      <c r="A79" s="373"/>
      <c r="B79" s="376" t="s">
        <v>229</v>
      </c>
      <c r="C79" s="389" t="s">
        <v>246</v>
      </c>
      <c r="D79" s="389" t="s">
        <v>258</v>
      </c>
      <c r="E79" s="389" t="s">
        <v>269</v>
      </c>
      <c r="F79" s="389" t="s">
        <v>279</v>
      </c>
      <c r="G79" s="389" t="s">
        <v>287</v>
      </c>
      <c r="H79" s="377"/>
      <c r="I79" s="377"/>
      <c r="J79" s="377"/>
      <c r="K79" s="456"/>
      <c r="L79" s="457"/>
      <c r="M79" s="458"/>
      <c r="N79" s="452"/>
      <c r="O79" s="452"/>
      <c r="P79" s="1778"/>
      <c r="Q79" s="442"/>
      <c r="R79" s="349"/>
      <c r="S79" s="349"/>
      <c r="T79" s="349"/>
      <c r="U79" s="349"/>
      <c r="V79" s="349"/>
      <c r="W79" s="349"/>
      <c r="X79" s="349"/>
      <c r="Y79" s="349"/>
      <c r="Z79" s="349"/>
      <c r="AA79" s="349"/>
      <c r="AB79" s="349"/>
      <c r="AC79" s="349"/>
    </row>
    <row r="80" ht="15.75" spans="1:29">
      <c r="A80" s="373"/>
      <c r="B80" s="378"/>
      <c r="C80" s="379">
        <v>100</v>
      </c>
      <c r="D80" s="379">
        <f>C80-$K17</f>
        <v>100</v>
      </c>
      <c r="E80" s="379">
        <f>D80-$K17</f>
        <v>100</v>
      </c>
      <c r="F80" s="379">
        <f>E80-$K17</f>
        <v>100</v>
      </c>
      <c r="G80" s="379">
        <f>F80-$K17</f>
        <v>100</v>
      </c>
      <c r="H80" s="379"/>
      <c r="I80" s="379"/>
      <c r="J80" s="379"/>
      <c r="K80" s="379"/>
      <c r="L80" s="379"/>
      <c r="M80" s="459"/>
      <c r="N80" s="455"/>
      <c r="O80" s="455"/>
      <c r="P80" s="1778"/>
      <c r="Q80" s="442"/>
      <c r="R80" s="349"/>
      <c r="S80" s="349"/>
      <c r="T80" s="349"/>
      <c r="U80" s="349"/>
      <c r="V80" s="349"/>
      <c r="W80" s="349"/>
      <c r="X80" s="349"/>
      <c r="Y80" s="349"/>
      <c r="Z80" s="349"/>
      <c r="AA80" s="349"/>
      <c r="AB80" s="349"/>
      <c r="AC80" s="349"/>
    </row>
    <row r="81" ht="15.75" spans="1:29">
      <c r="A81" s="373"/>
      <c r="B81" s="388" t="s">
        <v>231</v>
      </c>
      <c r="C81" s="389" t="s">
        <v>246</v>
      </c>
      <c r="D81" s="389" t="s">
        <v>258</v>
      </c>
      <c r="E81" s="389" t="s">
        <v>269</v>
      </c>
      <c r="F81" s="389" t="s">
        <v>279</v>
      </c>
      <c r="G81" s="389" t="s">
        <v>287</v>
      </c>
      <c r="H81" s="377"/>
      <c r="I81" s="377"/>
      <c r="J81" s="377"/>
      <c r="K81" s="456"/>
      <c r="L81" s="457"/>
      <c r="M81" s="458"/>
      <c r="N81" s="452"/>
      <c r="O81" s="452"/>
      <c r="P81" s="1778"/>
      <c r="Q81" s="442"/>
      <c r="R81" s="349"/>
      <c r="S81" s="349"/>
      <c r="T81" s="349"/>
      <c r="U81" s="349"/>
      <c r="V81" s="349"/>
      <c r="W81" s="349"/>
      <c r="X81" s="349"/>
      <c r="Y81" s="349"/>
      <c r="Z81" s="349"/>
      <c r="AA81" s="349"/>
      <c r="AB81" s="349"/>
      <c r="AC81" s="349"/>
    </row>
    <row r="82" ht="15.75" spans="1:29">
      <c r="A82" s="373"/>
      <c r="B82" s="378"/>
      <c r="C82" s="379">
        <v>100</v>
      </c>
      <c r="D82" s="379">
        <f>C82-$K19</f>
        <v>100</v>
      </c>
      <c r="E82" s="379">
        <f>D82-$K19</f>
        <v>100</v>
      </c>
      <c r="F82" s="379">
        <f>E82-$K19</f>
        <v>100</v>
      </c>
      <c r="G82" s="379">
        <f>F82-$K19</f>
        <v>100</v>
      </c>
      <c r="H82" s="379"/>
      <c r="I82" s="379"/>
      <c r="J82" s="379"/>
      <c r="K82" s="379"/>
      <c r="L82" s="379"/>
      <c r="M82" s="459"/>
      <c r="N82" s="455"/>
      <c r="O82" s="455"/>
      <c r="P82" s="1778"/>
      <c r="Q82" s="442"/>
      <c r="R82" s="349"/>
      <c r="S82" s="349"/>
      <c r="T82" s="349"/>
      <c r="U82" s="349"/>
      <c r="V82" s="349"/>
      <c r="W82" s="349"/>
      <c r="X82" s="349"/>
      <c r="Y82" s="349"/>
      <c r="Z82" s="349"/>
      <c r="AA82" s="349"/>
      <c r="AB82" s="349"/>
      <c r="AC82" s="349"/>
    </row>
    <row r="83" ht="15.75" spans="1:29">
      <c r="A83" s="373"/>
      <c r="B83" s="512" t="s">
        <v>232</v>
      </c>
      <c r="C83" s="513" t="s">
        <v>247</v>
      </c>
      <c r="D83" s="513" t="s">
        <v>259</v>
      </c>
      <c r="E83" s="513" t="s">
        <v>270</v>
      </c>
      <c r="F83" s="513" t="s">
        <v>280</v>
      </c>
      <c r="G83" s="513" t="s">
        <v>288</v>
      </c>
      <c r="H83" s="377"/>
      <c r="I83" s="377"/>
      <c r="J83" s="377"/>
      <c r="K83" s="377"/>
      <c r="L83" s="377"/>
      <c r="M83" s="524"/>
      <c r="N83" s="455"/>
      <c r="O83" s="455"/>
      <c r="P83" s="1778"/>
      <c r="Q83" s="442"/>
      <c r="R83" s="349"/>
      <c r="S83" s="349"/>
      <c r="T83" s="349"/>
      <c r="U83" s="349"/>
      <c r="V83" s="349"/>
      <c r="W83" s="349"/>
      <c r="X83" s="349"/>
      <c r="Y83" s="349"/>
      <c r="Z83" s="349"/>
      <c r="AA83" s="349"/>
      <c r="AB83" s="349"/>
      <c r="AC83" s="349"/>
    </row>
    <row r="84" ht="15.75" spans="1:29">
      <c r="A84" s="373"/>
      <c r="B84" s="514"/>
      <c r="C84" s="379">
        <v>100</v>
      </c>
      <c r="D84" s="379">
        <f>C84-$K21</f>
        <v>100</v>
      </c>
      <c r="E84" s="379">
        <f>D84-$K21</f>
        <v>100</v>
      </c>
      <c r="F84" s="379">
        <f>E84-$K21</f>
        <v>100</v>
      </c>
      <c r="G84" s="379">
        <f>F84-$K21</f>
        <v>100</v>
      </c>
      <c r="H84" s="380"/>
      <c r="I84" s="380"/>
      <c r="J84" s="380"/>
      <c r="K84" s="380"/>
      <c r="L84" s="380"/>
      <c r="M84" s="278"/>
      <c r="N84" s="455"/>
      <c r="O84" s="455"/>
      <c r="P84" s="1778"/>
      <c r="Q84" s="442"/>
      <c r="R84" s="349"/>
      <c r="S84" s="349"/>
      <c r="T84" s="349"/>
      <c r="U84" s="349"/>
      <c r="V84" s="349"/>
      <c r="W84" s="349"/>
      <c r="X84" s="349"/>
      <c r="Y84" s="349"/>
      <c r="Z84" s="349"/>
      <c r="AA84" s="349"/>
      <c r="AB84" s="349"/>
      <c r="AC84" s="349"/>
    </row>
    <row r="85" ht="15.75" spans="1:29">
      <c r="A85" s="373"/>
      <c r="B85" s="376" t="s">
        <v>233</v>
      </c>
      <c r="C85" s="389" t="s">
        <v>246</v>
      </c>
      <c r="D85" s="389" t="s">
        <v>258</v>
      </c>
      <c r="E85" s="389" t="s">
        <v>269</v>
      </c>
      <c r="F85" s="389" t="s">
        <v>279</v>
      </c>
      <c r="G85" s="389" t="s">
        <v>287</v>
      </c>
      <c r="H85" s="377"/>
      <c r="I85" s="377"/>
      <c r="J85" s="377"/>
      <c r="K85" s="456"/>
      <c r="L85" s="457"/>
      <c r="M85" s="458"/>
      <c r="N85" s="452"/>
      <c r="O85" s="452"/>
      <c r="P85" s="1778"/>
      <c r="Q85" s="442"/>
      <c r="R85" s="349"/>
      <c r="S85" s="349"/>
      <c r="T85" s="349"/>
      <c r="U85" s="349"/>
      <c r="V85" s="349"/>
      <c r="W85" s="349"/>
      <c r="X85" s="349"/>
      <c r="Y85" s="349"/>
      <c r="Z85" s="349"/>
      <c r="AA85" s="349"/>
      <c r="AB85" s="349"/>
      <c r="AC85" s="349"/>
    </row>
    <row r="86" ht="15.75" spans="1:29">
      <c r="A86" s="373"/>
      <c r="B86" s="378"/>
      <c r="C86" s="379">
        <v>100</v>
      </c>
      <c r="D86" s="379">
        <f>C86-$K23</f>
        <v>100</v>
      </c>
      <c r="E86" s="379">
        <f>D86-$K23</f>
        <v>100</v>
      </c>
      <c r="F86" s="379">
        <f>E86-$K23</f>
        <v>100</v>
      </c>
      <c r="G86" s="379">
        <f>F86-$K23</f>
        <v>100</v>
      </c>
      <c r="H86" s="379"/>
      <c r="I86" s="379"/>
      <c r="J86" s="379"/>
      <c r="K86" s="379"/>
      <c r="L86" s="379"/>
      <c r="M86" s="459"/>
      <c r="N86" s="455"/>
      <c r="O86" s="455"/>
      <c r="P86" s="1778"/>
      <c r="Q86" s="442"/>
      <c r="R86" s="349"/>
      <c r="S86" s="349"/>
      <c r="T86" s="349"/>
      <c r="U86" s="349"/>
      <c r="V86" s="349"/>
      <c r="W86" s="349"/>
      <c r="X86" s="349"/>
      <c r="Y86" s="349"/>
      <c r="Z86" s="349"/>
      <c r="AA86" s="349"/>
      <c r="AB86" s="349"/>
      <c r="AC86" s="349"/>
    </row>
    <row r="87" s="196" customFormat="1" ht="27.75" spans="1:29">
      <c r="A87" s="516"/>
      <c r="B87" s="376" t="s">
        <v>1312</v>
      </c>
      <c r="C87" s="384"/>
      <c r="D87" s="384"/>
      <c r="E87" s="384"/>
      <c r="F87" s="384"/>
      <c r="G87" s="384"/>
      <c r="H87" s="384"/>
      <c r="I87" s="384"/>
      <c r="J87" s="384"/>
      <c r="K87" s="384"/>
      <c r="L87" s="528"/>
      <c r="M87" s="529"/>
      <c r="N87" s="447"/>
      <c r="O87" s="447"/>
      <c r="P87" s="1778"/>
      <c r="Q87" s="442"/>
      <c r="R87" s="499"/>
      <c r="S87" s="499"/>
      <c r="T87" s="499"/>
      <c r="U87" s="499"/>
      <c r="V87" s="499"/>
      <c r="W87" s="499"/>
      <c r="X87" s="499"/>
      <c r="Y87" s="499"/>
      <c r="Z87" s="499"/>
      <c r="AA87" s="499"/>
      <c r="AB87" s="499"/>
      <c r="AC87" s="499"/>
    </row>
    <row r="88" s="196" customFormat="1" ht="15.75" spans="1:29">
      <c r="A88" s="516"/>
      <c r="B88" s="378"/>
      <c r="C88" s="518">
        <v>100</v>
      </c>
      <c r="D88" s="379">
        <f t="shared" ref="D88:M88" si="19">C88-$K25</f>
        <v>100</v>
      </c>
      <c r="E88" s="379">
        <f t="shared" si="19"/>
        <v>100</v>
      </c>
      <c r="F88" s="379">
        <f t="shared" si="19"/>
        <v>100</v>
      </c>
      <c r="G88" s="379">
        <f t="shared" si="19"/>
        <v>100</v>
      </c>
      <c r="H88" s="379">
        <f t="shared" si="19"/>
        <v>100</v>
      </c>
      <c r="I88" s="379">
        <f t="shared" si="19"/>
        <v>100</v>
      </c>
      <c r="J88" s="379">
        <f t="shared" si="19"/>
        <v>100</v>
      </c>
      <c r="K88" s="379">
        <f t="shared" si="19"/>
        <v>100</v>
      </c>
      <c r="L88" s="379">
        <f t="shared" si="19"/>
        <v>100</v>
      </c>
      <c r="M88" s="379">
        <f t="shared" si="19"/>
        <v>100</v>
      </c>
      <c r="N88" s="455"/>
      <c r="O88" s="455"/>
      <c r="P88" s="1778"/>
      <c r="Q88" s="442"/>
      <c r="R88" s="499"/>
      <c r="S88" s="499"/>
      <c r="T88" s="499"/>
      <c r="U88" s="499"/>
      <c r="V88" s="499"/>
      <c r="W88" s="499"/>
      <c r="X88" s="499"/>
      <c r="Y88" s="499"/>
      <c r="Z88" s="499"/>
      <c r="AA88" s="499"/>
      <c r="AB88" s="499"/>
      <c r="AC88" s="499"/>
    </row>
    <row r="89" s="196" customFormat="1" ht="15.75" spans="1:29">
      <c r="A89" s="516"/>
      <c r="B89" s="376" t="str">
        <f>B27</f>
        <v>楼层</v>
      </c>
      <c r="C89" s="1779" t="s">
        <v>1592</v>
      </c>
      <c r="D89" s="1779" t="s">
        <v>1567</v>
      </c>
      <c r="E89" s="1779" t="s">
        <v>1593</v>
      </c>
      <c r="F89" s="627"/>
      <c r="G89" s="384"/>
      <c r="H89" s="384"/>
      <c r="I89" s="384"/>
      <c r="J89" s="384"/>
      <c r="K89" s="384"/>
      <c r="L89" s="384"/>
      <c r="M89" s="529"/>
      <c r="N89" s="447"/>
      <c r="O89" s="447"/>
      <c r="P89" s="1778"/>
      <c r="Q89" s="442"/>
      <c r="R89" s="499"/>
      <c r="S89" s="499"/>
      <c r="T89" s="499"/>
      <c r="U89" s="499"/>
      <c r="V89" s="499"/>
      <c r="W89" s="499"/>
      <c r="X89" s="499"/>
      <c r="Y89" s="499"/>
      <c r="Z89" s="499"/>
      <c r="AA89" s="499"/>
      <c r="AB89" s="499"/>
      <c r="AC89" s="499"/>
    </row>
    <row r="90" s="196" customFormat="1" ht="15.75" spans="1:29">
      <c r="A90" s="516"/>
      <c r="B90" s="378"/>
      <c r="C90" s="518">
        <v>100</v>
      </c>
      <c r="D90" s="379">
        <f>C90-$K27</f>
        <v>100</v>
      </c>
      <c r="E90" s="379">
        <f t="shared" ref="E90:M90" si="20">D90-$K27</f>
        <v>100</v>
      </c>
      <c r="F90" s="379">
        <f t="shared" si="20"/>
        <v>100</v>
      </c>
      <c r="G90" s="379">
        <f t="shared" si="20"/>
        <v>100</v>
      </c>
      <c r="H90" s="379">
        <f t="shared" si="20"/>
        <v>100</v>
      </c>
      <c r="I90" s="379">
        <f t="shared" si="20"/>
        <v>100</v>
      </c>
      <c r="J90" s="379">
        <f t="shared" si="20"/>
        <v>100</v>
      </c>
      <c r="K90" s="379">
        <f t="shared" si="20"/>
        <v>100</v>
      </c>
      <c r="L90" s="379">
        <f t="shared" si="20"/>
        <v>100</v>
      </c>
      <c r="M90" s="379">
        <f t="shared" si="20"/>
        <v>100</v>
      </c>
      <c r="N90" s="455"/>
      <c r="O90" s="455"/>
      <c r="P90" s="1778"/>
      <c r="Q90" s="442"/>
      <c r="R90" s="499"/>
      <c r="S90" s="499"/>
      <c r="T90" s="499"/>
      <c r="U90" s="499"/>
      <c r="V90" s="499"/>
      <c r="W90" s="499"/>
      <c r="X90" s="499"/>
      <c r="Y90" s="499"/>
      <c r="Z90" s="499"/>
      <c r="AA90" s="499"/>
      <c r="AB90" s="499"/>
      <c r="AC90" s="499"/>
    </row>
    <row r="91" s="198" customFormat="1" ht="15.75" spans="1:29">
      <c r="A91" s="383"/>
      <c r="B91" s="376" t="str">
        <f>B28</f>
        <v>朝向</v>
      </c>
      <c r="C91" s="384"/>
      <c r="D91" s="384"/>
      <c r="E91" s="384"/>
      <c r="F91" s="384"/>
      <c r="G91" s="384"/>
      <c r="H91" s="385"/>
      <c r="I91" s="385"/>
      <c r="J91" s="385"/>
      <c r="K91" s="385"/>
      <c r="L91" s="463"/>
      <c r="M91" s="464"/>
      <c r="N91" s="465"/>
      <c r="O91" s="465"/>
      <c r="P91" s="1782"/>
      <c r="Q91" s="500"/>
      <c r="R91" s="501"/>
      <c r="S91" s="501"/>
      <c r="T91" s="501"/>
      <c r="U91" s="501"/>
      <c r="V91" s="501"/>
      <c r="W91" s="501"/>
      <c r="X91" s="501"/>
      <c r="Y91" s="501"/>
      <c r="Z91" s="501"/>
      <c r="AA91" s="501"/>
      <c r="AB91" s="501"/>
      <c r="AC91" s="501"/>
    </row>
    <row r="92" s="198" customFormat="1" ht="15.75" spans="1:29">
      <c r="A92" s="383"/>
      <c r="B92" s="378"/>
      <c r="C92" s="518">
        <v>100</v>
      </c>
      <c r="D92" s="379">
        <f t="shared" ref="D92:M92" si="21">C92-$K28</f>
        <v>100</v>
      </c>
      <c r="E92" s="379">
        <f t="shared" si="21"/>
        <v>100</v>
      </c>
      <c r="F92" s="379">
        <f t="shared" si="21"/>
        <v>100</v>
      </c>
      <c r="G92" s="379">
        <f t="shared" si="21"/>
        <v>100</v>
      </c>
      <c r="H92" s="379">
        <f t="shared" si="21"/>
        <v>100</v>
      </c>
      <c r="I92" s="379">
        <f t="shared" si="21"/>
        <v>100</v>
      </c>
      <c r="J92" s="379">
        <f t="shared" si="21"/>
        <v>100</v>
      </c>
      <c r="K92" s="379">
        <f t="shared" si="21"/>
        <v>100</v>
      </c>
      <c r="L92" s="379">
        <f t="shared" si="21"/>
        <v>100</v>
      </c>
      <c r="M92" s="379">
        <f t="shared" si="21"/>
        <v>100</v>
      </c>
      <c r="N92" s="465"/>
      <c r="O92" s="465"/>
      <c r="P92" s="1782"/>
      <c r="Q92" s="500"/>
      <c r="R92" s="501"/>
      <c r="S92" s="501"/>
      <c r="T92" s="501"/>
      <c r="U92" s="501"/>
      <c r="V92" s="501"/>
      <c r="W92" s="501"/>
      <c r="X92" s="501"/>
      <c r="Y92" s="501"/>
      <c r="Z92" s="501"/>
      <c r="AA92" s="501"/>
      <c r="AB92" s="501"/>
      <c r="AC92" s="501"/>
    </row>
    <row r="93" ht="15.75" spans="1:29">
      <c r="A93" s="373"/>
      <c r="B93" s="376">
        <f>B29</f>
        <v>111</v>
      </c>
      <c r="C93" s="384"/>
      <c r="D93" s="384"/>
      <c r="E93" s="384"/>
      <c r="F93" s="384"/>
      <c r="G93" s="384"/>
      <c r="H93" s="384"/>
      <c r="I93" s="384"/>
      <c r="J93" s="384"/>
      <c r="K93" s="384"/>
      <c r="L93" s="528"/>
      <c r="M93" s="529"/>
      <c r="N93" s="452"/>
      <c r="O93" s="452"/>
      <c r="P93" s="1778"/>
      <c r="Q93" s="442"/>
      <c r="R93" s="349"/>
      <c r="S93" s="349"/>
      <c r="T93" s="349"/>
      <c r="U93" s="349"/>
      <c r="V93" s="349"/>
      <c r="W93" s="349"/>
      <c r="X93" s="349"/>
      <c r="Y93" s="349"/>
      <c r="Z93" s="349"/>
      <c r="AA93" s="349"/>
      <c r="AB93" s="349"/>
      <c r="AC93" s="349"/>
    </row>
    <row r="94" ht="15.75" spans="1:29">
      <c r="A94" s="373"/>
      <c r="B94" s="378"/>
      <c r="C94" s="382"/>
      <c r="D94" s="375"/>
      <c r="E94" s="375"/>
      <c r="F94" s="375"/>
      <c r="G94" s="375"/>
      <c r="H94" s="375"/>
      <c r="I94" s="375"/>
      <c r="J94" s="375"/>
      <c r="K94" s="375"/>
      <c r="L94" s="375"/>
      <c r="M94" s="454"/>
      <c r="N94" s="455"/>
      <c r="O94" s="455"/>
      <c r="P94" s="1778"/>
      <c r="Q94" s="442"/>
      <c r="R94" s="349"/>
      <c r="S94" s="349"/>
      <c r="T94" s="349"/>
      <c r="U94" s="349"/>
      <c r="V94" s="349"/>
      <c r="W94" s="349"/>
      <c r="X94" s="349"/>
      <c r="Y94" s="349"/>
      <c r="Z94" s="349"/>
      <c r="AA94" s="349"/>
      <c r="AB94" s="349"/>
      <c r="AC94" s="349"/>
    </row>
    <row r="95" ht="15.75" spans="1:29">
      <c r="A95" s="373"/>
      <c r="B95" s="376">
        <f>B30</f>
        <v>111</v>
      </c>
      <c r="C95" s="384"/>
      <c r="D95" s="384"/>
      <c r="E95" s="384"/>
      <c r="F95" s="384"/>
      <c r="G95" s="515"/>
      <c r="H95" s="515"/>
      <c r="I95" s="515"/>
      <c r="J95" s="515"/>
      <c r="K95" s="525"/>
      <c r="L95" s="526"/>
      <c r="M95" s="527"/>
      <c r="N95" s="452"/>
      <c r="O95" s="452"/>
      <c r="P95" s="1778"/>
      <c r="Q95" s="442"/>
      <c r="R95" s="349"/>
      <c r="S95" s="349"/>
      <c r="T95" s="349"/>
      <c r="U95" s="349"/>
      <c r="V95" s="349"/>
      <c r="W95" s="349"/>
      <c r="X95" s="349"/>
      <c r="Y95" s="349"/>
      <c r="Z95" s="349"/>
      <c r="AA95" s="349"/>
      <c r="AB95" s="349"/>
      <c r="AC95" s="349"/>
    </row>
    <row r="96" ht="15.75" spans="1:29">
      <c r="A96" s="373"/>
      <c r="B96" s="378"/>
      <c r="C96" s="382"/>
      <c r="D96" s="382"/>
      <c r="E96" s="382"/>
      <c r="F96" s="382"/>
      <c r="G96" s="375"/>
      <c r="H96" s="375"/>
      <c r="I96" s="375"/>
      <c r="J96" s="375"/>
      <c r="K96" s="375"/>
      <c r="L96" s="375"/>
      <c r="M96" s="454"/>
      <c r="N96" s="455"/>
      <c r="O96" s="455"/>
      <c r="P96" s="1778"/>
      <c r="Q96" s="442"/>
      <c r="R96" s="349"/>
      <c r="S96" s="349"/>
      <c r="T96" s="349"/>
      <c r="U96" s="349"/>
      <c r="V96" s="349"/>
      <c r="W96" s="349"/>
      <c r="X96" s="349"/>
      <c r="Y96" s="349"/>
      <c r="Z96" s="349"/>
      <c r="AA96" s="349"/>
      <c r="AB96" s="349"/>
      <c r="AC96" s="349"/>
    </row>
    <row r="97" ht="15.75" spans="1:29">
      <c r="A97" s="373"/>
      <c r="B97" s="376">
        <f>B31</f>
        <v>111</v>
      </c>
      <c r="C97" s="384"/>
      <c r="D97" s="384"/>
      <c r="E97" s="384"/>
      <c r="F97" s="384"/>
      <c r="G97" s="515"/>
      <c r="H97" s="515"/>
      <c r="I97" s="515"/>
      <c r="J97" s="515"/>
      <c r="K97" s="525"/>
      <c r="L97" s="526"/>
      <c r="M97" s="527"/>
      <c r="N97" s="452"/>
      <c r="O97" s="452"/>
      <c r="P97" s="1778"/>
      <c r="Q97" s="442"/>
      <c r="R97" s="349"/>
      <c r="S97" s="349"/>
      <c r="T97" s="349"/>
      <c r="U97" s="349"/>
      <c r="V97" s="349"/>
      <c r="W97" s="349"/>
      <c r="X97" s="349"/>
      <c r="Y97" s="349"/>
      <c r="Z97" s="349"/>
      <c r="AA97" s="349"/>
      <c r="AB97" s="349"/>
      <c r="AC97" s="349"/>
    </row>
    <row r="98" ht="15.75" spans="1:29">
      <c r="A98" s="373"/>
      <c r="B98" s="378"/>
      <c r="C98" s="382"/>
      <c r="D98" s="375"/>
      <c r="E98" s="375"/>
      <c r="F98" s="375"/>
      <c r="G98" s="375"/>
      <c r="H98" s="375"/>
      <c r="I98" s="375"/>
      <c r="J98" s="375"/>
      <c r="K98" s="375"/>
      <c r="L98" s="375"/>
      <c r="M98" s="454"/>
      <c r="N98" s="455"/>
      <c r="O98" s="455"/>
      <c r="P98" s="1778"/>
      <c r="Q98" s="442"/>
      <c r="R98" s="349"/>
      <c r="S98" s="349"/>
      <c r="T98" s="349"/>
      <c r="U98" s="349"/>
      <c r="V98" s="349"/>
      <c r="W98" s="349"/>
      <c r="X98" s="349"/>
      <c r="Y98" s="349"/>
      <c r="Z98" s="349"/>
      <c r="AA98" s="349"/>
      <c r="AB98" s="349"/>
      <c r="AC98" s="349"/>
    </row>
    <row r="99" ht="15.75" spans="1:29">
      <c r="A99" s="373"/>
      <c r="B99" s="514">
        <f>B32</f>
        <v>111</v>
      </c>
      <c r="C99" s="368"/>
      <c r="D99" s="368"/>
      <c r="E99" s="368"/>
      <c r="F99" s="368"/>
      <c r="G99" s="600"/>
      <c r="H99" s="600"/>
      <c r="I99" s="600"/>
      <c r="J99" s="600"/>
      <c r="K99" s="608"/>
      <c r="L99" s="609"/>
      <c r="M99" s="610"/>
      <c r="N99" s="452"/>
      <c r="O99" s="452"/>
      <c r="P99" s="1778"/>
      <c r="Q99" s="442"/>
      <c r="R99" s="349"/>
      <c r="S99" s="349"/>
      <c r="T99" s="349"/>
      <c r="U99" s="349"/>
      <c r="V99" s="349"/>
      <c r="W99" s="349"/>
      <c r="X99" s="349"/>
      <c r="Y99" s="349"/>
      <c r="Z99" s="349"/>
      <c r="AA99" s="349"/>
      <c r="AB99" s="349"/>
      <c r="AC99" s="349"/>
    </row>
    <row r="100" ht="15.75" spans="1:29">
      <c r="A100" s="601"/>
      <c r="B100" s="597"/>
      <c r="C100" s="598"/>
      <c r="D100" s="598"/>
      <c r="E100" s="598"/>
      <c r="F100" s="598"/>
      <c r="G100" s="602"/>
      <c r="H100" s="602"/>
      <c r="I100" s="602"/>
      <c r="J100" s="602"/>
      <c r="K100" s="602"/>
      <c r="L100" s="602"/>
      <c r="M100" s="611"/>
      <c r="N100" s="455"/>
      <c r="O100" s="455"/>
      <c r="P100" s="1778"/>
      <c r="Q100" s="442"/>
      <c r="R100" s="349"/>
      <c r="S100" s="349"/>
      <c r="T100" s="349"/>
      <c r="U100" s="349"/>
      <c r="V100" s="349"/>
      <c r="W100" s="349"/>
      <c r="X100" s="349"/>
      <c r="Y100" s="349"/>
      <c r="Z100" s="349"/>
      <c r="AA100" s="349"/>
      <c r="AB100" s="349"/>
      <c r="AC100" s="349"/>
    </row>
    <row r="101" spans="1:29">
      <c r="A101" s="369" t="s">
        <v>1362</v>
      </c>
      <c r="B101" s="370" t="s">
        <v>1569</v>
      </c>
      <c r="C101" s="1780" t="s">
        <v>1570</v>
      </c>
      <c r="D101" s="372"/>
      <c r="E101" s="372"/>
      <c r="F101" s="372"/>
      <c r="G101" s="372"/>
      <c r="H101" s="372"/>
      <c r="I101" s="372"/>
      <c r="J101" s="372"/>
      <c r="K101" s="449"/>
      <c r="L101" s="450"/>
      <c r="M101" s="451"/>
      <c r="N101" s="452"/>
      <c r="O101" s="452"/>
      <c r="P101" s="1778"/>
      <c r="Q101" s="442"/>
      <c r="R101" s="349"/>
      <c r="S101" s="349"/>
      <c r="T101" s="349"/>
      <c r="U101" s="349"/>
      <c r="V101" s="349"/>
      <c r="W101" s="349"/>
      <c r="X101" s="349"/>
      <c r="Y101" s="349"/>
      <c r="Z101" s="349"/>
      <c r="AA101" s="349"/>
      <c r="AB101" s="349"/>
      <c r="AC101" s="349"/>
    </row>
    <row r="102" ht="15.75" spans="1:29">
      <c r="A102" s="373"/>
      <c r="B102" s="378"/>
      <c r="C102" s="379">
        <v>100</v>
      </c>
      <c r="D102" s="379">
        <f t="shared" ref="D102:M102" si="22">C102-$K33</f>
        <v>100</v>
      </c>
      <c r="E102" s="379">
        <f t="shared" si="22"/>
        <v>100</v>
      </c>
      <c r="F102" s="379">
        <f t="shared" si="22"/>
        <v>100</v>
      </c>
      <c r="G102" s="379">
        <f t="shared" si="22"/>
        <v>100</v>
      </c>
      <c r="H102" s="379">
        <f t="shared" si="22"/>
        <v>100</v>
      </c>
      <c r="I102" s="379">
        <f t="shared" si="22"/>
        <v>100</v>
      </c>
      <c r="J102" s="379">
        <f t="shared" si="22"/>
        <v>100</v>
      </c>
      <c r="K102" s="379">
        <f t="shared" si="22"/>
        <v>100</v>
      </c>
      <c r="L102" s="379">
        <f t="shared" si="22"/>
        <v>100</v>
      </c>
      <c r="M102" s="459">
        <f t="shared" si="22"/>
        <v>100</v>
      </c>
      <c r="N102" s="455"/>
      <c r="O102" s="455"/>
      <c r="P102" s="1778"/>
      <c r="Q102" s="442"/>
      <c r="R102" s="349"/>
      <c r="S102" s="349"/>
      <c r="T102" s="349"/>
      <c r="U102" s="349"/>
      <c r="V102" s="349"/>
      <c r="W102" s="349"/>
      <c r="X102" s="349"/>
      <c r="Y102" s="349"/>
      <c r="Z102" s="349"/>
      <c r="AA102" s="349"/>
      <c r="AB102" s="349"/>
      <c r="AC102" s="349"/>
    </row>
    <row r="103" ht="29.25" spans="1:29">
      <c r="A103" s="373"/>
      <c r="B103" s="376" t="s">
        <v>1571</v>
      </c>
      <c r="C103" s="389" t="str">
        <f>C104&amp;"(含)"&amp;"-"&amp;D104</f>
        <v>0(含)-500</v>
      </c>
      <c r="D103" s="389" t="str">
        <f t="shared" ref="D103:L103" si="23">D104&amp;"(含)"&amp;"-"&amp;E104</f>
        <v>500(含)-1000</v>
      </c>
      <c r="E103" s="389" t="str">
        <f t="shared" si="23"/>
        <v>1000(含)-1500</v>
      </c>
      <c r="F103" s="389" t="str">
        <f t="shared" si="23"/>
        <v>1500(含)-2000</v>
      </c>
      <c r="G103" s="389" t="str">
        <f t="shared" si="23"/>
        <v>2000(含)-</v>
      </c>
      <c r="H103" s="389" t="str">
        <f t="shared" si="23"/>
        <v>(含)-</v>
      </c>
      <c r="I103" s="389" t="str">
        <f t="shared" si="23"/>
        <v>(含)-</v>
      </c>
      <c r="J103" s="389" t="str">
        <f t="shared" si="23"/>
        <v>(含)-</v>
      </c>
      <c r="K103" s="389" t="str">
        <f t="shared" si="23"/>
        <v>(含)-</v>
      </c>
      <c r="L103" s="389" t="str">
        <f t="shared" si="23"/>
        <v>(含)-</v>
      </c>
      <c r="M103" s="533" t="str">
        <f>M104&amp;"(含)"&amp;"-"&amp;P104</f>
        <v>(含)-</v>
      </c>
      <c r="N103" s="447"/>
      <c r="O103" s="447"/>
      <c r="P103" s="1778"/>
      <c r="Q103" s="442"/>
      <c r="R103" s="349"/>
      <c r="S103" s="349"/>
      <c r="T103" s="349"/>
      <c r="U103" s="349"/>
      <c r="V103" s="349"/>
      <c r="W103" s="349"/>
      <c r="X103" s="349"/>
      <c r="Y103" s="349"/>
      <c r="Z103" s="349"/>
      <c r="AA103" s="349"/>
      <c r="AB103" s="349"/>
      <c r="AC103" s="349"/>
    </row>
    <row r="104" s="198" customFormat="1" ht="15" spans="1:29">
      <c r="A104" s="521"/>
      <c r="B104" s="603"/>
      <c r="C104" s="520">
        <v>0</v>
      </c>
      <c r="D104" s="520">
        <v>500</v>
      </c>
      <c r="E104" s="520">
        <v>1000</v>
      </c>
      <c r="F104" s="520">
        <v>1500</v>
      </c>
      <c r="G104" s="520">
        <v>2000</v>
      </c>
      <c r="H104" s="520"/>
      <c r="I104" s="520"/>
      <c r="J104" s="534"/>
      <c r="K104" s="534"/>
      <c r="L104" s="535"/>
      <c r="M104" s="536"/>
      <c r="N104" s="465"/>
      <c r="O104" s="465"/>
      <c r="P104" s="1782"/>
      <c r="Q104" s="500"/>
      <c r="R104" s="501"/>
      <c r="S104" s="501"/>
      <c r="T104" s="501"/>
      <c r="U104" s="501"/>
      <c r="V104" s="501"/>
      <c r="W104" s="501"/>
      <c r="X104" s="501"/>
      <c r="Y104" s="501"/>
      <c r="Z104" s="501"/>
      <c r="AA104" s="501"/>
      <c r="AB104" s="501"/>
      <c r="AC104" s="501"/>
    </row>
    <row r="105" s="198" customFormat="1" ht="15.75" spans="1:29">
      <c r="A105" s="383"/>
      <c r="B105" s="378"/>
      <c r="C105" s="382">
        <v>100</v>
      </c>
      <c r="D105" s="375">
        <v>99</v>
      </c>
      <c r="E105" s="375">
        <v>98</v>
      </c>
      <c r="F105" s="375">
        <v>97</v>
      </c>
      <c r="G105" s="375">
        <v>96</v>
      </c>
      <c r="H105" s="375"/>
      <c r="I105" s="375"/>
      <c r="J105" s="375"/>
      <c r="K105" s="375"/>
      <c r="L105" s="375"/>
      <c r="M105" s="454"/>
      <c r="N105" s="455"/>
      <c r="O105" s="455"/>
      <c r="P105" s="1782"/>
      <c r="Q105" s="500"/>
      <c r="R105" s="501"/>
      <c r="S105" s="501"/>
      <c r="T105" s="501"/>
      <c r="U105" s="501"/>
      <c r="V105" s="501"/>
      <c r="W105" s="501"/>
      <c r="X105" s="501"/>
      <c r="Y105" s="501"/>
      <c r="Z105" s="501"/>
      <c r="AA105" s="501"/>
      <c r="AB105" s="501"/>
      <c r="AC105" s="501"/>
    </row>
    <row r="106" ht="15.75" spans="1:29">
      <c r="A106" s="519"/>
      <c r="B106" s="376" t="s">
        <v>1572</v>
      </c>
      <c r="C106" s="1779" t="s">
        <v>1481</v>
      </c>
      <c r="D106" s="384"/>
      <c r="E106" s="515"/>
      <c r="F106" s="515"/>
      <c r="G106" s="515"/>
      <c r="H106" s="515"/>
      <c r="I106" s="515"/>
      <c r="J106" s="515"/>
      <c r="K106" s="525"/>
      <c r="L106" s="526"/>
      <c r="M106" s="527"/>
      <c r="N106" s="452"/>
      <c r="O106" s="452"/>
      <c r="P106" s="1778"/>
      <c r="Q106" s="442"/>
      <c r="R106" s="349"/>
      <c r="S106" s="349"/>
      <c r="T106" s="349"/>
      <c r="U106" s="349"/>
      <c r="V106" s="349"/>
      <c r="W106" s="349"/>
      <c r="X106" s="349"/>
      <c r="Y106" s="349"/>
      <c r="Z106" s="349"/>
      <c r="AA106" s="349"/>
      <c r="AB106" s="349"/>
      <c r="AC106" s="349"/>
    </row>
    <row r="107" ht="15.75" spans="1:29">
      <c r="A107" s="373"/>
      <c r="B107" s="378"/>
      <c r="C107" s="379">
        <v>100</v>
      </c>
      <c r="D107" s="379">
        <f t="shared" ref="D107:M107" si="24">C107-$K35</f>
        <v>100</v>
      </c>
      <c r="E107" s="379">
        <f t="shared" si="24"/>
        <v>100</v>
      </c>
      <c r="F107" s="379">
        <f t="shared" si="24"/>
        <v>100</v>
      </c>
      <c r="G107" s="379">
        <f t="shared" si="24"/>
        <v>100</v>
      </c>
      <c r="H107" s="379">
        <f t="shared" si="24"/>
        <v>100</v>
      </c>
      <c r="I107" s="379">
        <f t="shared" si="24"/>
        <v>100</v>
      </c>
      <c r="J107" s="379">
        <f t="shared" si="24"/>
        <v>100</v>
      </c>
      <c r="K107" s="379">
        <f t="shared" si="24"/>
        <v>100</v>
      </c>
      <c r="L107" s="379">
        <f t="shared" si="24"/>
        <v>100</v>
      </c>
      <c r="M107" s="459">
        <f t="shared" si="24"/>
        <v>100</v>
      </c>
      <c r="N107" s="455"/>
      <c r="O107" s="455"/>
      <c r="P107" s="1778"/>
      <c r="Q107" s="442"/>
      <c r="R107" s="349"/>
      <c r="S107" s="349"/>
      <c r="T107" s="349"/>
      <c r="U107" s="349"/>
      <c r="V107" s="349"/>
      <c r="W107" s="349"/>
      <c r="X107" s="349"/>
      <c r="Y107" s="349"/>
      <c r="Z107" s="349"/>
      <c r="AA107" s="349"/>
      <c r="AB107" s="349"/>
      <c r="AC107" s="349"/>
    </row>
    <row r="108" ht="15.75" spans="1:29">
      <c r="A108" s="519"/>
      <c r="B108" s="376" t="s">
        <v>1573</v>
      </c>
      <c r="C108" s="1779" t="s">
        <v>1574</v>
      </c>
      <c r="D108" s="384"/>
      <c r="E108" s="384"/>
      <c r="F108" s="515"/>
      <c r="G108" s="515"/>
      <c r="H108" s="515"/>
      <c r="I108" s="515"/>
      <c r="J108" s="515"/>
      <c r="K108" s="525"/>
      <c r="L108" s="526"/>
      <c r="M108" s="527"/>
      <c r="N108" s="452"/>
      <c r="O108" s="452"/>
      <c r="P108" s="1778"/>
      <c r="Q108" s="442"/>
      <c r="R108" s="349"/>
      <c r="S108" s="349"/>
      <c r="T108" s="349"/>
      <c r="U108" s="349"/>
      <c r="V108" s="349"/>
      <c r="W108" s="349"/>
      <c r="X108" s="349"/>
      <c r="Y108" s="349"/>
      <c r="Z108" s="349"/>
      <c r="AA108" s="349"/>
      <c r="AB108" s="349"/>
      <c r="AC108" s="349"/>
    </row>
    <row r="109" ht="15.75" spans="1:29">
      <c r="A109" s="373"/>
      <c r="B109" s="378"/>
      <c r="C109" s="379">
        <v>100</v>
      </c>
      <c r="D109" s="379">
        <f t="shared" ref="D109:M109" si="25">C109-$K36</f>
        <v>100</v>
      </c>
      <c r="E109" s="379">
        <f t="shared" si="25"/>
        <v>100</v>
      </c>
      <c r="F109" s="379">
        <f t="shared" si="25"/>
        <v>100</v>
      </c>
      <c r="G109" s="379">
        <f t="shared" si="25"/>
        <v>100</v>
      </c>
      <c r="H109" s="379">
        <f t="shared" si="25"/>
        <v>100</v>
      </c>
      <c r="I109" s="379">
        <f t="shared" si="25"/>
        <v>100</v>
      </c>
      <c r="J109" s="379">
        <f t="shared" si="25"/>
        <v>100</v>
      </c>
      <c r="K109" s="379">
        <f t="shared" si="25"/>
        <v>100</v>
      </c>
      <c r="L109" s="379">
        <f t="shared" si="25"/>
        <v>100</v>
      </c>
      <c r="M109" s="459">
        <f t="shared" si="25"/>
        <v>100</v>
      </c>
      <c r="N109" s="455"/>
      <c r="O109" s="455"/>
      <c r="P109" s="1778"/>
      <c r="Q109" s="442"/>
      <c r="R109" s="349"/>
      <c r="S109" s="349"/>
      <c r="T109" s="349"/>
      <c r="U109" s="349"/>
      <c r="V109" s="349"/>
      <c r="W109" s="349"/>
      <c r="X109" s="349"/>
      <c r="Y109" s="349"/>
      <c r="Z109" s="349"/>
      <c r="AA109" s="349"/>
      <c r="AB109" s="349"/>
      <c r="AC109" s="349"/>
    </row>
    <row r="110" ht="15.75" spans="1:29">
      <c r="A110" s="519"/>
      <c r="B110" s="376" t="s">
        <v>1575</v>
      </c>
      <c r="C110" s="389" t="str">
        <f>C111&amp;"(含)"&amp;"-"&amp;D111</f>
        <v>0.5(含)-0.6</v>
      </c>
      <c r="D110" s="389" t="str">
        <f>D111&amp;"(含)"&amp;"-"&amp;E111</f>
        <v>0.6(含)-0.7</v>
      </c>
      <c r="E110" s="389" t="str">
        <f>E111&amp;"(含)"&amp;"-"&amp;F111</f>
        <v>0.7(含)-0.8</v>
      </c>
      <c r="F110" s="389" t="str">
        <f>F111&amp;"(含)"&amp;"-"&amp;G111</f>
        <v>0.8(含)-0.9</v>
      </c>
      <c r="G110" s="389" t="str">
        <f>G111&amp;"(含)"&amp;"-"&amp;ROUND(H111,0)</f>
        <v>0.9(含)-1</v>
      </c>
      <c r="H110" s="389"/>
      <c r="I110" s="515"/>
      <c r="J110" s="515"/>
      <c r="K110" s="525"/>
      <c r="L110" s="526"/>
      <c r="M110" s="527"/>
      <c r="N110" s="452"/>
      <c r="O110" s="452"/>
      <c r="P110" s="1778"/>
      <c r="Q110" s="442"/>
      <c r="R110" s="349"/>
      <c r="S110" s="349"/>
      <c r="T110" s="349"/>
      <c r="U110" s="349"/>
      <c r="V110" s="349"/>
      <c r="W110" s="349"/>
      <c r="X110" s="349"/>
      <c r="Y110" s="349"/>
      <c r="Z110" s="349"/>
      <c r="AA110" s="349"/>
      <c r="AB110" s="349"/>
      <c r="AC110" s="349"/>
    </row>
    <row r="111" ht="15" spans="1:29">
      <c r="A111" s="519"/>
      <c r="B111" s="514"/>
      <c r="C111" s="517">
        <v>0.5</v>
      </c>
      <c r="D111" s="517">
        <v>0.6</v>
      </c>
      <c r="E111" s="517">
        <v>0.7</v>
      </c>
      <c r="F111" s="517">
        <v>0.8</v>
      </c>
      <c r="G111" s="517">
        <v>0.9</v>
      </c>
      <c r="H111" s="517">
        <v>1.0001</v>
      </c>
      <c r="I111" s="572"/>
      <c r="J111" s="572"/>
      <c r="K111" s="573"/>
      <c r="L111" s="574"/>
      <c r="M111" s="575"/>
      <c r="N111" s="452"/>
      <c r="O111" s="452"/>
      <c r="P111" s="1778"/>
      <c r="Q111" s="442"/>
      <c r="R111" s="349"/>
      <c r="S111" s="349"/>
      <c r="T111" s="349"/>
      <c r="U111" s="349"/>
      <c r="V111" s="349"/>
      <c r="W111" s="349"/>
      <c r="X111" s="349"/>
      <c r="Y111" s="349"/>
      <c r="Z111" s="349"/>
      <c r="AA111" s="349"/>
      <c r="AB111" s="349"/>
      <c r="AC111" s="349"/>
    </row>
    <row r="112" ht="15.75" spans="1:29">
      <c r="A112" s="373"/>
      <c r="B112" s="378"/>
      <c r="C112" s="518">
        <v>100</v>
      </c>
      <c r="D112" s="379">
        <f>C112+$K37</f>
        <v>101</v>
      </c>
      <c r="E112" s="379">
        <f t="shared" ref="E112:M112" si="26">D112+$K37</f>
        <v>102</v>
      </c>
      <c r="F112" s="379">
        <f t="shared" si="26"/>
        <v>103</v>
      </c>
      <c r="G112" s="379">
        <f t="shared" si="26"/>
        <v>104</v>
      </c>
      <c r="H112" s="379">
        <f t="shared" si="26"/>
        <v>105</v>
      </c>
      <c r="I112" s="379">
        <f t="shared" si="26"/>
        <v>106</v>
      </c>
      <c r="J112" s="379">
        <f t="shared" si="26"/>
        <v>107</v>
      </c>
      <c r="K112" s="379">
        <f t="shared" si="26"/>
        <v>108</v>
      </c>
      <c r="L112" s="379">
        <f t="shared" si="26"/>
        <v>109</v>
      </c>
      <c r="M112" s="379">
        <f t="shared" si="26"/>
        <v>110</v>
      </c>
      <c r="N112" s="455"/>
      <c r="O112" s="455"/>
      <c r="P112" s="1778"/>
      <c r="Q112" s="442"/>
      <c r="R112" s="349"/>
      <c r="S112" s="349"/>
      <c r="T112" s="349"/>
      <c r="U112" s="349"/>
      <c r="V112" s="349"/>
      <c r="W112" s="349"/>
      <c r="X112" s="349"/>
      <c r="Y112" s="349"/>
      <c r="Z112" s="349"/>
      <c r="AA112" s="349"/>
      <c r="AB112" s="349"/>
      <c r="AC112" s="349"/>
    </row>
    <row r="113" s="198" customFormat="1" ht="15.75" spans="1:29">
      <c r="A113" s="521"/>
      <c r="B113" s="376" t="s">
        <v>1576</v>
      </c>
      <c r="C113" s="384"/>
      <c r="D113" s="384"/>
      <c r="E113" s="384"/>
      <c r="F113" s="384"/>
      <c r="G113" s="384"/>
      <c r="H113" s="515"/>
      <c r="I113" s="515"/>
      <c r="J113" s="515"/>
      <c r="K113" s="525"/>
      <c r="L113" s="526"/>
      <c r="M113" s="527"/>
      <c r="N113" s="465"/>
      <c r="O113" s="465"/>
      <c r="P113" s="1782"/>
      <c r="Q113" s="500"/>
      <c r="R113" s="501"/>
      <c r="S113" s="501"/>
      <c r="T113" s="501"/>
      <c r="U113" s="501"/>
      <c r="V113" s="501"/>
      <c r="W113" s="501"/>
      <c r="X113" s="501"/>
      <c r="Y113" s="501"/>
      <c r="Z113" s="501"/>
      <c r="AA113" s="501"/>
      <c r="AB113" s="501"/>
      <c r="AC113" s="501"/>
    </row>
    <row r="114" s="198" customFormat="1" ht="15.75" spans="1:29">
      <c r="A114" s="383"/>
      <c r="B114" s="378"/>
      <c r="C114" s="379">
        <v>100</v>
      </c>
      <c r="D114" s="379">
        <f>C114-$K38</f>
        <v>100</v>
      </c>
      <c r="E114" s="379">
        <f t="shared" ref="E114:M114" si="27">D114-$K38</f>
        <v>100</v>
      </c>
      <c r="F114" s="379">
        <f t="shared" si="27"/>
        <v>100</v>
      </c>
      <c r="G114" s="379">
        <f t="shared" si="27"/>
        <v>100</v>
      </c>
      <c r="H114" s="379">
        <f t="shared" si="27"/>
        <v>100</v>
      </c>
      <c r="I114" s="379">
        <f t="shared" si="27"/>
        <v>100</v>
      </c>
      <c r="J114" s="379">
        <f t="shared" si="27"/>
        <v>100</v>
      </c>
      <c r="K114" s="379">
        <f t="shared" si="27"/>
        <v>100</v>
      </c>
      <c r="L114" s="379">
        <f t="shared" si="27"/>
        <v>100</v>
      </c>
      <c r="M114" s="379">
        <f t="shared" si="27"/>
        <v>100</v>
      </c>
      <c r="N114" s="465"/>
      <c r="O114" s="465"/>
      <c r="P114" s="1782"/>
      <c r="Q114" s="500"/>
      <c r="R114" s="501"/>
      <c r="S114" s="501"/>
      <c r="T114" s="501"/>
      <c r="U114" s="501"/>
      <c r="V114" s="501"/>
      <c r="W114" s="501"/>
      <c r="X114" s="501"/>
      <c r="Y114" s="501"/>
      <c r="Z114" s="501"/>
      <c r="AA114" s="501"/>
      <c r="AB114" s="501"/>
      <c r="AC114" s="501"/>
    </row>
    <row r="115" ht="15.75" spans="1:29">
      <c r="A115" s="519"/>
      <c r="B115" s="376" t="s">
        <v>1577</v>
      </c>
      <c r="C115" s="384"/>
      <c r="D115" s="384"/>
      <c r="E115" s="515"/>
      <c r="F115" s="515"/>
      <c r="G115" s="515"/>
      <c r="H115" s="515"/>
      <c r="I115" s="515"/>
      <c r="J115" s="515"/>
      <c r="K115" s="525"/>
      <c r="L115" s="526"/>
      <c r="M115" s="527"/>
      <c r="N115" s="452"/>
      <c r="O115" s="452"/>
      <c r="P115" s="1778"/>
      <c r="Q115" s="442"/>
      <c r="R115" s="349"/>
      <c r="S115" s="349"/>
      <c r="T115" s="349"/>
      <c r="U115" s="349"/>
      <c r="V115" s="349"/>
      <c r="W115" s="349"/>
      <c r="X115" s="349"/>
      <c r="Y115" s="349"/>
      <c r="Z115" s="349"/>
      <c r="AA115" s="349"/>
      <c r="AB115" s="349"/>
      <c r="AC115" s="349"/>
    </row>
    <row r="116" ht="15.75" spans="1:29">
      <c r="A116" s="373"/>
      <c r="B116" s="378"/>
      <c r="C116" s="379">
        <v>100</v>
      </c>
      <c r="D116" s="379">
        <f t="shared" ref="D116:M116" si="28">C116-$K39</f>
        <v>100</v>
      </c>
      <c r="E116" s="379">
        <f t="shared" si="28"/>
        <v>100</v>
      </c>
      <c r="F116" s="379">
        <f t="shared" si="28"/>
        <v>100</v>
      </c>
      <c r="G116" s="379">
        <f t="shared" si="28"/>
        <v>100</v>
      </c>
      <c r="H116" s="379">
        <f t="shared" si="28"/>
        <v>100</v>
      </c>
      <c r="I116" s="379">
        <f t="shared" si="28"/>
        <v>100</v>
      </c>
      <c r="J116" s="379">
        <f t="shared" si="28"/>
        <v>100</v>
      </c>
      <c r="K116" s="379">
        <f t="shared" si="28"/>
        <v>100</v>
      </c>
      <c r="L116" s="379">
        <f t="shared" si="28"/>
        <v>100</v>
      </c>
      <c r="M116" s="459">
        <f t="shared" si="28"/>
        <v>100</v>
      </c>
      <c r="N116" s="455"/>
      <c r="O116" s="455"/>
      <c r="P116" s="1778"/>
      <c r="Q116" s="442"/>
      <c r="R116" s="349"/>
      <c r="S116" s="349"/>
      <c r="T116" s="349"/>
      <c r="U116" s="349"/>
      <c r="V116" s="349"/>
      <c r="W116" s="349"/>
      <c r="X116" s="349"/>
      <c r="Y116" s="349"/>
      <c r="Z116" s="349"/>
      <c r="AA116" s="349"/>
      <c r="AB116" s="349"/>
      <c r="AC116" s="349"/>
    </row>
    <row r="117" ht="15.75" spans="1:29">
      <c r="A117" s="519"/>
      <c r="B117" s="388" t="s">
        <v>1578</v>
      </c>
      <c r="C117" s="384"/>
      <c r="D117" s="384"/>
      <c r="E117" s="384"/>
      <c r="F117" s="384"/>
      <c r="G117" s="384"/>
      <c r="H117" s="515"/>
      <c r="I117" s="515"/>
      <c r="J117" s="515"/>
      <c r="K117" s="525"/>
      <c r="L117" s="526"/>
      <c r="M117" s="527"/>
      <c r="N117" s="452"/>
      <c r="O117" s="452"/>
      <c r="P117" s="1778"/>
      <c r="Q117" s="442"/>
      <c r="R117" s="349"/>
      <c r="S117" s="349"/>
      <c r="T117" s="349"/>
      <c r="U117" s="349"/>
      <c r="V117" s="349"/>
      <c r="W117" s="349"/>
      <c r="X117" s="349"/>
      <c r="Y117" s="349"/>
      <c r="Z117" s="349"/>
      <c r="AA117" s="349"/>
      <c r="AB117" s="349"/>
      <c r="AC117" s="349"/>
    </row>
    <row r="118" ht="15.75" spans="1:29">
      <c r="A118" s="373"/>
      <c r="B118" s="378"/>
      <c r="C118" s="379">
        <v>100</v>
      </c>
      <c r="D118" s="379">
        <f>C118-$K40</f>
        <v>100</v>
      </c>
      <c r="E118" s="379">
        <f>D118-$K40</f>
        <v>100</v>
      </c>
      <c r="F118" s="379">
        <f>E118-$K40</f>
        <v>100</v>
      </c>
      <c r="G118" s="379">
        <f>F118-$K40</f>
        <v>100</v>
      </c>
      <c r="H118" s="379"/>
      <c r="I118" s="379"/>
      <c r="J118" s="379"/>
      <c r="K118" s="379"/>
      <c r="L118" s="379"/>
      <c r="M118" s="459"/>
      <c r="N118" s="455"/>
      <c r="O118" s="455"/>
      <c r="P118" s="1778"/>
      <c r="Q118" s="442"/>
      <c r="R118" s="349"/>
      <c r="S118" s="349"/>
      <c r="T118" s="349"/>
      <c r="U118" s="349"/>
      <c r="V118" s="349"/>
      <c r="W118" s="349"/>
      <c r="X118" s="349"/>
      <c r="Y118" s="349"/>
      <c r="Z118" s="349"/>
      <c r="AA118" s="349"/>
      <c r="AB118" s="349"/>
      <c r="AC118" s="349"/>
    </row>
    <row r="119" ht="15.75" spans="1:29">
      <c r="A119" s="519"/>
      <c r="B119" s="522" t="s">
        <v>1594</v>
      </c>
      <c r="C119" s="515"/>
      <c r="D119" s="515"/>
      <c r="E119" s="515"/>
      <c r="F119" s="515"/>
      <c r="G119" s="515"/>
      <c r="H119" s="515"/>
      <c r="I119" s="515"/>
      <c r="J119" s="515"/>
      <c r="K119" s="515"/>
      <c r="L119" s="1786"/>
      <c r="M119" s="1787"/>
      <c r="N119" s="455"/>
      <c r="O119" s="455"/>
      <c r="P119" s="1788"/>
      <c r="Q119" s="540"/>
      <c r="R119" s="349"/>
      <c r="S119" s="349"/>
      <c r="T119" s="349"/>
      <c r="U119" s="349"/>
      <c r="V119" s="349"/>
      <c r="W119" s="349"/>
      <c r="X119" s="349"/>
      <c r="Y119" s="349"/>
      <c r="Z119" s="349"/>
      <c r="AA119" s="349"/>
      <c r="AB119" s="349"/>
      <c r="AC119" s="349"/>
    </row>
    <row r="120" ht="15.75" spans="1:29">
      <c r="A120" s="373"/>
      <c r="B120" s="378"/>
      <c r="C120" s="518">
        <v>100</v>
      </c>
      <c r="D120" s="379">
        <f>C120-$K41</f>
        <v>100</v>
      </c>
      <c r="E120" s="379">
        <f t="shared" ref="E120:M120" si="29">D120-$K41</f>
        <v>100</v>
      </c>
      <c r="F120" s="379">
        <f t="shared" si="29"/>
        <v>100</v>
      </c>
      <c r="G120" s="379">
        <f t="shared" si="29"/>
        <v>100</v>
      </c>
      <c r="H120" s="379">
        <f t="shared" si="29"/>
        <v>100</v>
      </c>
      <c r="I120" s="379">
        <f t="shared" si="29"/>
        <v>100</v>
      </c>
      <c r="J120" s="379">
        <f t="shared" si="29"/>
        <v>100</v>
      </c>
      <c r="K120" s="379">
        <f t="shared" si="29"/>
        <v>100</v>
      </c>
      <c r="L120" s="379">
        <f t="shared" si="29"/>
        <v>100</v>
      </c>
      <c r="M120" s="379">
        <f t="shared" si="29"/>
        <v>100</v>
      </c>
      <c r="N120" s="455"/>
      <c r="O120" s="455"/>
      <c r="P120" s="1778"/>
      <c r="Q120" s="442"/>
      <c r="R120" s="349"/>
      <c r="S120" s="349"/>
      <c r="T120" s="349"/>
      <c r="U120" s="349"/>
      <c r="V120" s="349"/>
      <c r="W120" s="349"/>
      <c r="X120" s="349"/>
      <c r="Y120" s="349"/>
      <c r="Z120" s="349"/>
      <c r="AA120" s="349"/>
      <c r="AB120" s="349"/>
      <c r="AC120" s="349"/>
    </row>
    <row r="121" s="198" customFormat="1" ht="15.75" spans="1:29">
      <c r="A121" s="521"/>
      <c r="B121" s="376" t="s">
        <v>1595</v>
      </c>
      <c r="C121" s="384"/>
      <c r="D121" s="384"/>
      <c r="E121" s="384"/>
      <c r="F121" s="515"/>
      <c r="G121" s="385"/>
      <c r="H121" s="385"/>
      <c r="I121" s="385"/>
      <c r="J121" s="385"/>
      <c r="K121" s="385"/>
      <c r="L121" s="463"/>
      <c r="M121" s="464"/>
      <c r="N121" s="465"/>
      <c r="O121" s="465"/>
      <c r="P121" s="1782"/>
      <c r="Q121" s="500"/>
      <c r="R121" s="501"/>
      <c r="S121" s="501"/>
      <c r="T121" s="501"/>
      <c r="U121" s="501"/>
      <c r="V121" s="501"/>
      <c r="W121" s="501"/>
      <c r="X121" s="501"/>
      <c r="Y121" s="501"/>
      <c r="Z121" s="501"/>
      <c r="AA121" s="501"/>
      <c r="AB121" s="501"/>
      <c r="AC121" s="501"/>
    </row>
    <row r="122" s="198" customFormat="1" ht="15.75" spans="1:29">
      <c r="A122" s="383"/>
      <c r="B122" s="374"/>
      <c r="C122" s="382"/>
      <c r="D122" s="382"/>
      <c r="E122" s="382"/>
      <c r="F122" s="382"/>
      <c r="G122" s="382"/>
      <c r="H122" s="382"/>
      <c r="I122" s="382"/>
      <c r="J122" s="382"/>
      <c r="K122" s="382"/>
      <c r="L122" s="382"/>
      <c r="M122" s="382"/>
      <c r="N122" s="465"/>
      <c r="O122" s="465"/>
      <c r="P122" s="1782"/>
      <c r="Q122" s="500"/>
      <c r="R122" s="501"/>
      <c r="S122" s="501"/>
      <c r="T122" s="501"/>
      <c r="U122" s="501"/>
      <c r="V122" s="501"/>
      <c r="W122" s="501"/>
      <c r="X122" s="501"/>
      <c r="Y122" s="501"/>
      <c r="Z122" s="501"/>
      <c r="AA122" s="501"/>
      <c r="AB122" s="501"/>
      <c r="AC122" s="501"/>
    </row>
    <row r="123" ht="15.75" spans="1:29">
      <c r="A123" s="519"/>
      <c r="B123" s="376" t="s">
        <v>1581</v>
      </c>
      <c r="C123" s="1779" t="s">
        <v>1574</v>
      </c>
      <c r="D123" s="384"/>
      <c r="E123" s="1779" t="s">
        <v>1582</v>
      </c>
      <c r="F123" s="1781" t="s">
        <v>1583</v>
      </c>
      <c r="G123" s="515"/>
      <c r="H123" s="515"/>
      <c r="I123" s="515"/>
      <c r="J123" s="515"/>
      <c r="K123" s="525"/>
      <c r="L123" s="526"/>
      <c r="M123" s="527"/>
      <c r="N123" s="452"/>
      <c r="O123" s="452"/>
      <c r="P123" s="1778"/>
      <c r="Q123" s="442"/>
      <c r="R123" s="349"/>
      <c r="S123" s="349"/>
      <c r="T123" s="349"/>
      <c r="U123" s="349"/>
      <c r="V123" s="349"/>
      <c r="W123" s="349"/>
      <c r="X123" s="349"/>
      <c r="Y123" s="349"/>
      <c r="Z123" s="349"/>
      <c r="AA123" s="349"/>
      <c r="AB123" s="349"/>
      <c r="AC123" s="349"/>
    </row>
    <row r="124" ht="15.75" spans="1:29">
      <c r="A124" s="373"/>
      <c r="B124" s="378"/>
      <c r="C124" s="379">
        <v>100</v>
      </c>
      <c r="D124" s="379">
        <f t="shared" ref="D124:M124" si="30">C124-$K43</f>
        <v>99</v>
      </c>
      <c r="E124" s="379">
        <f t="shared" si="30"/>
        <v>98</v>
      </c>
      <c r="F124" s="379">
        <f t="shared" si="30"/>
        <v>97</v>
      </c>
      <c r="G124" s="379">
        <f t="shared" si="30"/>
        <v>96</v>
      </c>
      <c r="H124" s="379">
        <f t="shared" si="30"/>
        <v>95</v>
      </c>
      <c r="I124" s="379">
        <f t="shared" si="30"/>
        <v>94</v>
      </c>
      <c r="J124" s="379">
        <f t="shared" si="30"/>
        <v>93</v>
      </c>
      <c r="K124" s="379">
        <f t="shared" si="30"/>
        <v>92</v>
      </c>
      <c r="L124" s="379">
        <f t="shared" si="30"/>
        <v>91</v>
      </c>
      <c r="M124" s="459">
        <f t="shared" si="30"/>
        <v>90</v>
      </c>
      <c r="N124" s="455"/>
      <c r="O124" s="455"/>
      <c r="P124" s="1778"/>
      <c r="Q124" s="442"/>
      <c r="R124" s="349"/>
      <c r="S124" s="349"/>
      <c r="T124" s="349"/>
      <c r="U124" s="349"/>
      <c r="V124" s="349"/>
      <c r="W124" s="349"/>
      <c r="X124" s="349"/>
      <c r="Y124" s="349"/>
      <c r="Z124" s="349"/>
      <c r="AA124" s="349"/>
      <c r="AB124" s="349"/>
      <c r="AC124" s="349"/>
    </row>
    <row r="125" ht="15.75" spans="1:29">
      <c r="A125" s="519"/>
      <c r="B125" s="376" t="s">
        <v>235</v>
      </c>
      <c r="C125" s="389" t="s">
        <v>246</v>
      </c>
      <c r="D125" s="389" t="s">
        <v>258</v>
      </c>
      <c r="E125" s="389" t="s">
        <v>269</v>
      </c>
      <c r="F125" s="389" t="s">
        <v>279</v>
      </c>
      <c r="G125" s="389" t="s">
        <v>287</v>
      </c>
      <c r="H125" s="377"/>
      <c r="I125" s="377"/>
      <c r="J125" s="377"/>
      <c r="K125" s="456"/>
      <c r="L125" s="457"/>
      <c r="M125" s="458"/>
      <c r="N125" s="452"/>
      <c r="O125" s="452"/>
      <c r="P125" s="1782"/>
      <c r="Q125" s="442"/>
      <c r="R125" s="349"/>
      <c r="S125" s="349"/>
      <c r="T125" s="349"/>
      <c r="U125" s="349"/>
      <c r="V125" s="349"/>
      <c r="W125" s="349"/>
      <c r="X125" s="349"/>
      <c r="Y125" s="349"/>
      <c r="Z125" s="349"/>
      <c r="AA125" s="349"/>
      <c r="AB125" s="349"/>
      <c r="AC125" s="349"/>
    </row>
    <row r="126" ht="15.75" spans="1:29">
      <c r="A126" s="373"/>
      <c r="B126" s="378"/>
      <c r="C126" s="379">
        <v>100</v>
      </c>
      <c r="D126" s="379">
        <f>C126-$K44</f>
        <v>100</v>
      </c>
      <c r="E126" s="379">
        <f>D126-$K44</f>
        <v>100</v>
      </c>
      <c r="F126" s="379">
        <f>E126-$K44</f>
        <v>100</v>
      </c>
      <c r="G126" s="379">
        <f>F126-$K44</f>
        <v>100</v>
      </c>
      <c r="H126" s="379"/>
      <c r="I126" s="379"/>
      <c r="J126" s="379"/>
      <c r="K126" s="379"/>
      <c r="L126" s="379"/>
      <c r="M126" s="459"/>
      <c r="N126" s="455"/>
      <c r="O126" s="455"/>
      <c r="P126" s="1778"/>
      <c r="Q126" s="442"/>
      <c r="R126" s="349"/>
      <c r="S126" s="349"/>
      <c r="T126" s="349"/>
      <c r="U126" s="349"/>
      <c r="V126" s="349"/>
      <c r="W126" s="349"/>
      <c r="X126" s="349"/>
      <c r="Y126" s="349"/>
      <c r="Z126" s="349"/>
      <c r="AA126" s="349"/>
      <c r="AB126" s="349"/>
      <c r="AC126" s="349"/>
    </row>
    <row r="127" s="198" customFormat="1" ht="15.75" spans="1:29">
      <c r="A127" s="521"/>
      <c r="B127" s="376">
        <f>B45</f>
        <v>111</v>
      </c>
      <c r="C127" s="384"/>
      <c r="D127" s="384"/>
      <c r="E127" s="384"/>
      <c r="F127" s="384"/>
      <c r="G127" s="384"/>
      <c r="H127" s="385"/>
      <c r="I127" s="385"/>
      <c r="J127" s="385"/>
      <c r="K127" s="385"/>
      <c r="L127" s="463"/>
      <c r="M127" s="464"/>
      <c r="N127" s="465"/>
      <c r="O127" s="465"/>
      <c r="P127" s="1782"/>
      <c r="Q127" s="500"/>
      <c r="R127" s="501"/>
      <c r="S127" s="501"/>
      <c r="T127" s="501"/>
      <c r="U127" s="501"/>
      <c r="V127" s="501"/>
      <c r="W127" s="501"/>
      <c r="X127" s="501"/>
      <c r="Y127" s="501"/>
      <c r="Z127" s="501"/>
      <c r="AA127" s="501"/>
      <c r="AB127" s="501"/>
      <c r="AC127" s="501"/>
    </row>
    <row r="128" s="198" customFormat="1" ht="15.75" spans="1:29">
      <c r="A128" s="383"/>
      <c r="B128" s="378"/>
      <c r="C128" s="382"/>
      <c r="D128" s="375"/>
      <c r="E128" s="375"/>
      <c r="F128" s="375"/>
      <c r="G128" s="382"/>
      <c r="H128" s="386"/>
      <c r="I128" s="386"/>
      <c r="J128" s="386"/>
      <c r="K128" s="386"/>
      <c r="L128" s="386"/>
      <c r="M128" s="467"/>
      <c r="N128" s="465"/>
      <c r="O128" s="465"/>
      <c r="P128" s="1782"/>
      <c r="Q128" s="500"/>
      <c r="R128" s="501"/>
      <c r="S128" s="501"/>
      <c r="T128" s="501"/>
      <c r="U128" s="501"/>
      <c r="V128" s="501"/>
      <c r="W128" s="501"/>
      <c r="X128" s="501"/>
      <c r="Y128" s="501"/>
      <c r="Z128" s="501"/>
      <c r="AA128" s="501"/>
      <c r="AB128" s="501"/>
      <c r="AC128" s="501"/>
    </row>
    <row r="129" ht="15.75" spans="1:29">
      <c r="A129" s="519"/>
      <c r="B129" s="376">
        <f>B46</f>
        <v>111</v>
      </c>
      <c r="C129" s="384"/>
      <c r="D129" s="384"/>
      <c r="E129" s="384"/>
      <c r="F129" s="384"/>
      <c r="G129" s="515"/>
      <c r="H129" s="515"/>
      <c r="I129" s="515"/>
      <c r="J129" s="515"/>
      <c r="K129" s="525"/>
      <c r="L129" s="526"/>
      <c r="M129" s="527"/>
      <c r="N129" s="452"/>
      <c r="O129" s="452"/>
      <c r="P129" s="1778"/>
      <c r="Q129" s="442"/>
      <c r="R129" s="349"/>
      <c r="S129" s="349"/>
      <c r="T129" s="349"/>
      <c r="U129" s="349"/>
      <c r="V129" s="349"/>
      <c r="W129" s="349"/>
      <c r="X129" s="349"/>
      <c r="Y129" s="349"/>
      <c r="Z129" s="349"/>
      <c r="AA129" s="349"/>
      <c r="AB129" s="349"/>
      <c r="AC129" s="349"/>
    </row>
    <row r="130" ht="15.75" spans="1:29">
      <c r="A130" s="373"/>
      <c r="B130" s="378"/>
      <c r="C130" s="382"/>
      <c r="D130" s="382"/>
      <c r="E130" s="382"/>
      <c r="F130" s="382"/>
      <c r="G130" s="375"/>
      <c r="H130" s="375"/>
      <c r="I130" s="375"/>
      <c r="J130" s="375"/>
      <c r="K130" s="375"/>
      <c r="L130" s="375"/>
      <c r="M130" s="454"/>
      <c r="N130" s="455"/>
      <c r="O130" s="455"/>
      <c r="P130" s="1778"/>
      <c r="Q130" s="442"/>
      <c r="R130" s="349"/>
      <c r="S130" s="349"/>
      <c r="T130" s="349"/>
      <c r="U130" s="349"/>
      <c r="V130" s="349"/>
      <c r="W130" s="349"/>
      <c r="X130" s="349"/>
      <c r="Y130" s="349"/>
      <c r="Z130" s="349"/>
      <c r="AA130" s="349"/>
      <c r="AB130" s="349"/>
      <c r="AC130" s="349"/>
    </row>
    <row r="131" ht="15.75" spans="1:29">
      <c r="A131" s="519"/>
      <c r="B131" s="514">
        <f>B47</f>
        <v>111</v>
      </c>
      <c r="C131" s="368"/>
      <c r="D131" s="368"/>
      <c r="E131" s="368"/>
      <c r="F131" s="368"/>
      <c r="G131" s="600"/>
      <c r="H131" s="600"/>
      <c r="I131" s="600"/>
      <c r="J131" s="600"/>
      <c r="K131" s="368"/>
      <c r="L131" s="445"/>
      <c r="M131" s="610"/>
      <c r="N131" s="452"/>
      <c r="O131" s="452"/>
      <c r="P131" s="1778"/>
      <c r="Q131" s="442"/>
      <c r="R131" s="349"/>
      <c r="S131" s="349"/>
      <c r="T131" s="349"/>
      <c r="U131" s="349"/>
      <c r="V131" s="349"/>
      <c r="W131" s="349"/>
      <c r="X131" s="349"/>
      <c r="Y131" s="349"/>
      <c r="Z131" s="349"/>
      <c r="AA131" s="349"/>
      <c r="AB131" s="349"/>
      <c r="AC131" s="349"/>
    </row>
    <row r="132" ht="15.75" spans="1:29">
      <c r="A132" s="601"/>
      <c r="B132" s="597"/>
      <c r="C132" s="598"/>
      <c r="D132" s="598"/>
      <c r="E132" s="598"/>
      <c r="F132" s="598"/>
      <c r="G132" s="602"/>
      <c r="H132" s="602"/>
      <c r="I132" s="602"/>
      <c r="J132" s="602"/>
      <c r="K132" s="602"/>
      <c r="L132" s="602"/>
      <c r="M132" s="611"/>
      <c r="N132" s="455"/>
      <c r="O132" s="455"/>
      <c r="P132" s="1778"/>
      <c r="Q132" s="442"/>
      <c r="R132" s="349"/>
      <c r="S132" s="349"/>
      <c r="T132" s="349"/>
      <c r="U132" s="349"/>
      <c r="V132" s="349"/>
      <c r="W132" s="349"/>
      <c r="X132" s="349"/>
      <c r="Y132" s="349"/>
      <c r="Z132" s="349"/>
      <c r="AA132" s="349"/>
      <c r="AB132" s="349"/>
      <c r="AC132" s="349"/>
    </row>
    <row r="133" spans="1:29">
      <c r="A133" s="523"/>
      <c r="B133" s="523"/>
      <c r="C133" s="523"/>
      <c r="D133" s="523"/>
      <c r="E133" s="523"/>
      <c r="F133" s="523"/>
      <c r="G133" s="523"/>
      <c r="H133" s="523"/>
      <c r="I133" s="523"/>
      <c r="J133" s="523"/>
      <c r="K133" s="538"/>
      <c r="L133" s="539"/>
      <c r="M133" s="523"/>
      <c r="N133" s="523"/>
      <c r="O133" s="523"/>
      <c r="P133" s="1789"/>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1789"/>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1789"/>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1789"/>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1789"/>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1789"/>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1789"/>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1789"/>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1789"/>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1789"/>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1789"/>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1789"/>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1789"/>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1789"/>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1789"/>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1789"/>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1789"/>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1789"/>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1789"/>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1789"/>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1789"/>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1789"/>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1789"/>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1789"/>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1789"/>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1789"/>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1789"/>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1789"/>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1789"/>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1789"/>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1789"/>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1789"/>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1789"/>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1789"/>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1789"/>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1789"/>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1789"/>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1789"/>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1789"/>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1789"/>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1789"/>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1789"/>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1789"/>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1789"/>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1789"/>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1789"/>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1789"/>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1789"/>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1789"/>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1789"/>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1789"/>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1789"/>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1789"/>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1789"/>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1789"/>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1789"/>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1789"/>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1789"/>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1789"/>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1789"/>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1789"/>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1789"/>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1789"/>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1789"/>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1789"/>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1789"/>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1789"/>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1789"/>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1789"/>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1789"/>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1789"/>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1789"/>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1789"/>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1789"/>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1789"/>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1789"/>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1789"/>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1789"/>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1789"/>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1789"/>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1789"/>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1789"/>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1789"/>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1789"/>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1789"/>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1789"/>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1789"/>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1789"/>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1789"/>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1789"/>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1789"/>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1789"/>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1789"/>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1789"/>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1789"/>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1789"/>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1789"/>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1789"/>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1789"/>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1789"/>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1789"/>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1789"/>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1789"/>
      <c r="Q235" s="523"/>
      <c r="R235" s="523"/>
      <c r="S235" s="523"/>
      <c r="T235" s="523"/>
      <c r="U235" s="523"/>
      <c r="V235" s="523"/>
      <c r="W235" s="523"/>
      <c r="X235" s="523"/>
      <c r="Y235" s="523"/>
      <c r="Z235" s="523"/>
      <c r="AA235" s="523"/>
      <c r="AB235" s="523"/>
      <c r="AC235" s="523"/>
    </row>
    <row r="236" spans="1:29">
      <c r="A236" s="523"/>
      <c r="B236" s="523"/>
      <c r="C236" s="523"/>
      <c r="D236" s="523"/>
      <c r="E236" s="523"/>
      <c r="F236" s="523"/>
      <c r="G236" s="523"/>
      <c r="H236" s="523"/>
      <c r="I236" s="523"/>
      <c r="J236" s="523"/>
      <c r="K236" s="538"/>
      <c r="L236" s="539"/>
      <c r="M236" s="523"/>
      <c r="N236" s="523"/>
      <c r="O236" s="523"/>
      <c r="P236" s="1789"/>
      <c r="Q236" s="523"/>
      <c r="R236" s="523"/>
      <c r="S236" s="523"/>
      <c r="T236" s="523"/>
      <c r="U236" s="523"/>
      <c r="V236" s="523"/>
      <c r="W236" s="523"/>
      <c r="X236" s="523"/>
      <c r="Y236" s="523"/>
      <c r="Z236" s="523"/>
      <c r="AA236" s="523"/>
      <c r="AB236" s="523"/>
      <c r="AC236" s="523"/>
    </row>
    <row r="237" spans="1:29">
      <c r="A237" s="523"/>
      <c r="B237" s="523"/>
      <c r="C237" s="523"/>
      <c r="D237" s="523"/>
      <c r="E237" s="523"/>
      <c r="F237" s="523"/>
      <c r="G237" s="523"/>
      <c r="H237" s="523"/>
      <c r="I237" s="523"/>
      <c r="J237" s="523"/>
      <c r="K237" s="538"/>
      <c r="L237" s="539"/>
      <c r="M237" s="523"/>
      <c r="N237" s="523"/>
      <c r="O237" s="523"/>
      <c r="P237" s="1789"/>
      <c r="Q237" s="523"/>
      <c r="R237" s="523"/>
      <c r="S237" s="523"/>
      <c r="T237" s="523"/>
      <c r="U237" s="523"/>
      <c r="V237" s="523"/>
      <c r="W237" s="523"/>
      <c r="X237" s="523"/>
      <c r="Y237" s="523"/>
      <c r="Z237" s="523"/>
      <c r="AA237" s="523"/>
      <c r="AB237" s="523"/>
      <c r="AC237" s="523"/>
    </row>
    <row r="238" spans="1:29">
      <c r="A238" s="523"/>
      <c r="B238" s="523"/>
      <c r="C238" s="523"/>
      <c r="D238" s="523"/>
      <c r="E238" s="523"/>
      <c r="F238" s="523"/>
      <c r="G238" s="523"/>
      <c r="H238" s="523"/>
      <c r="I238" s="523"/>
      <c r="J238" s="523"/>
      <c r="K238" s="538"/>
      <c r="L238" s="539"/>
      <c r="M238" s="523"/>
      <c r="N238" s="523"/>
      <c r="O238" s="523"/>
      <c r="P238" s="1789"/>
      <c r="Q238" s="523"/>
      <c r="R238" s="523"/>
      <c r="S238" s="523"/>
      <c r="T238" s="523"/>
      <c r="U238" s="523"/>
      <c r="V238" s="523"/>
      <c r="W238" s="523"/>
      <c r="X238" s="523"/>
      <c r="Y238" s="523"/>
      <c r="Z238" s="523"/>
      <c r="AA238" s="523"/>
      <c r="AB238" s="523"/>
      <c r="AC238" s="523"/>
    </row>
    <row r="239" spans="1:29">
      <c r="A239" s="523"/>
      <c r="B239" s="523"/>
      <c r="C239" s="523"/>
      <c r="D239" s="523"/>
      <c r="E239" s="523"/>
      <c r="F239" s="523"/>
      <c r="G239" s="523"/>
      <c r="H239" s="523"/>
      <c r="I239" s="523"/>
      <c r="J239" s="523"/>
      <c r="K239" s="538"/>
      <c r="L239" s="539"/>
      <c r="M239" s="523"/>
      <c r="N239" s="523"/>
      <c r="O239" s="523"/>
      <c r="P239" s="1789"/>
      <c r="Q239" s="523"/>
      <c r="R239" s="523"/>
      <c r="S239" s="523"/>
      <c r="T239" s="523"/>
      <c r="U239" s="523"/>
      <c r="V239" s="523"/>
      <c r="W239" s="523"/>
      <c r="X239" s="523"/>
      <c r="Y239" s="523"/>
      <c r="Z239" s="523"/>
      <c r="AA239" s="523"/>
      <c r="AB239" s="523"/>
      <c r="AC239" s="523"/>
    </row>
    <row r="240" spans="1:29">
      <c r="A240" s="523"/>
      <c r="B240" s="523"/>
      <c r="C240" s="523"/>
      <c r="D240" s="523"/>
      <c r="E240" s="523"/>
      <c r="F240" s="523"/>
      <c r="G240" s="523"/>
      <c r="H240" s="523"/>
      <c r="I240" s="523"/>
      <c r="J240" s="523"/>
      <c r="K240" s="538"/>
      <c r="L240" s="539"/>
      <c r="M240" s="523"/>
      <c r="N240" s="523"/>
      <c r="O240" s="523"/>
      <c r="P240" s="1789"/>
      <c r="Q240" s="523"/>
      <c r="R240" s="523"/>
      <c r="S240" s="523"/>
      <c r="T240" s="523"/>
      <c r="U240" s="523"/>
      <c r="V240" s="523"/>
      <c r="W240" s="523"/>
      <c r="X240" s="523"/>
      <c r="Y240" s="523"/>
      <c r="Z240" s="523"/>
      <c r="AA240" s="523"/>
      <c r="AB240" s="523"/>
      <c r="AC240" s="523"/>
    </row>
    <row r="241" spans="1:29">
      <c r="A241" s="523"/>
      <c r="B241" s="523"/>
      <c r="C241" s="523"/>
      <c r="D241" s="523"/>
      <c r="E241" s="523"/>
      <c r="F241" s="523"/>
      <c r="G241" s="523"/>
      <c r="H241" s="523"/>
      <c r="I241" s="523"/>
      <c r="J241" s="523"/>
      <c r="K241" s="538"/>
      <c r="L241" s="539"/>
      <c r="M241" s="523"/>
      <c r="N241" s="523"/>
      <c r="O241" s="523"/>
      <c r="P241" s="1789"/>
      <c r="Q241" s="523"/>
      <c r="R241" s="523"/>
      <c r="S241" s="523"/>
      <c r="T241" s="523"/>
      <c r="U241" s="523"/>
      <c r="V241" s="523"/>
      <c r="W241" s="523"/>
      <c r="X241" s="523"/>
      <c r="Y241" s="523"/>
      <c r="Z241" s="523"/>
      <c r="AA241" s="523"/>
      <c r="AB241" s="523"/>
      <c r="AC241" s="523"/>
    </row>
    <row r="242" spans="1:29">
      <c r="A242" s="523"/>
      <c r="B242" s="523"/>
      <c r="C242" s="523"/>
      <c r="D242" s="523"/>
      <c r="E242" s="523"/>
      <c r="F242" s="523"/>
      <c r="G242" s="523"/>
      <c r="H242" s="523"/>
      <c r="I242" s="523"/>
      <c r="J242" s="523"/>
      <c r="K242" s="538"/>
      <c r="L242" s="539"/>
      <c r="M242" s="523"/>
      <c r="N242" s="523"/>
      <c r="O242" s="523"/>
      <c r="P242" s="1789"/>
      <c r="Q242" s="523"/>
      <c r="R242" s="523"/>
      <c r="S242" s="523"/>
      <c r="T242" s="523"/>
      <c r="U242" s="523"/>
      <c r="V242" s="523"/>
      <c r="W242" s="523"/>
      <c r="X242" s="523"/>
      <c r="Y242" s="523"/>
      <c r="Z242" s="523"/>
      <c r="AA242" s="523"/>
      <c r="AB242" s="523"/>
      <c r="AC242" s="523"/>
    </row>
    <row r="243" spans="1:29">
      <c r="A243" s="523"/>
      <c r="B243" s="523"/>
      <c r="C243" s="523"/>
      <c r="D243" s="523"/>
      <c r="E243" s="523"/>
      <c r="F243" s="523"/>
      <c r="G243" s="523"/>
      <c r="H243" s="523"/>
      <c r="I243" s="523"/>
      <c r="J243" s="523"/>
      <c r="K243" s="538"/>
      <c r="L243" s="539"/>
      <c r="M243" s="523"/>
      <c r="N243" s="523"/>
      <c r="O243" s="523"/>
      <c r="P243" s="1789"/>
      <c r="Q243" s="523"/>
      <c r="R243" s="523"/>
      <c r="S243" s="523"/>
      <c r="T243" s="523"/>
      <c r="U243" s="523"/>
      <c r="V243" s="523"/>
      <c r="W243" s="523"/>
      <c r="X243" s="523"/>
      <c r="Y243" s="523"/>
      <c r="Z243" s="523"/>
      <c r="AA243" s="523"/>
      <c r="AB243" s="523"/>
      <c r="AC243" s="523"/>
    </row>
    <row r="244" spans="1:29">
      <c r="A244" s="523"/>
      <c r="B244" s="523"/>
      <c r="C244" s="523"/>
      <c r="D244" s="523"/>
      <c r="E244" s="523"/>
      <c r="F244" s="523"/>
      <c r="G244" s="523"/>
      <c r="H244" s="523"/>
      <c r="I244" s="523"/>
      <c r="J244" s="523"/>
      <c r="K244" s="538"/>
      <c r="L244" s="539"/>
      <c r="M244" s="523"/>
      <c r="N244" s="523"/>
      <c r="O244" s="523"/>
      <c r="P244" s="1789"/>
      <c r="Q244" s="523"/>
      <c r="R244" s="523"/>
      <c r="S244" s="523"/>
      <c r="T244" s="523"/>
      <c r="U244" s="523"/>
      <c r="V244" s="523"/>
      <c r="W244" s="523"/>
      <c r="X244" s="523"/>
      <c r="Y244" s="523"/>
      <c r="Z244" s="523"/>
      <c r="AA244" s="523"/>
      <c r="AB244" s="523"/>
      <c r="AC244" s="523"/>
    </row>
    <row r="245" spans="1:29">
      <c r="A245" s="523"/>
      <c r="B245" s="523"/>
      <c r="C245" s="523"/>
      <c r="D245" s="523"/>
      <c r="E245" s="523"/>
      <c r="F245" s="523"/>
      <c r="G245" s="523"/>
      <c r="H245" s="523"/>
      <c r="I245" s="523"/>
      <c r="J245" s="523"/>
      <c r="K245" s="538"/>
      <c r="L245" s="539"/>
      <c r="M245" s="523"/>
      <c r="N245" s="523"/>
      <c r="O245" s="523"/>
      <c r="P245" s="1789"/>
      <c r="Q245" s="523"/>
      <c r="R245" s="523"/>
      <c r="S245" s="523"/>
      <c r="T245" s="523"/>
      <c r="U245" s="523"/>
      <c r="V245" s="523"/>
      <c r="W245" s="523"/>
      <c r="X245" s="523"/>
      <c r="Y245" s="523"/>
      <c r="Z245" s="523"/>
      <c r="AA245" s="523"/>
      <c r="AB245" s="523"/>
      <c r="AC245" s="523"/>
    </row>
    <row r="246" spans="1:29">
      <c r="A246" s="523"/>
      <c r="B246" s="523"/>
      <c r="C246" s="523"/>
      <c r="D246" s="523"/>
      <c r="E246" s="523"/>
      <c r="F246" s="523"/>
      <c r="G246" s="523"/>
      <c r="H246" s="523"/>
      <c r="I246" s="523"/>
      <c r="J246" s="523"/>
      <c r="K246" s="538"/>
      <c r="L246" s="539"/>
      <c r="M246" s="523"/>
      <c r="N246" s="523"/>
      <c r="O246" s="523"/>
      <c r="P246" s="1789"/>
      <c r="Q246" s="523"/>
      <c r="R246" s="523"/>
      <c r="S246" s="523"/>
      <c r="T246" s="523"/>
      <c r="U246" s="523"/>
      <c r="V246" s="523"/>
      <c r="W246" s="523"/>
      <c r="X246" s="523"/>
      <c r="Y246" s="523"/>
      <c r="Z246" s="523"/>
      <c r="AA246" s="523"/>
      <c r="AB246" s="523"/>
      <c r="AC246" s="523"/>
    </row>
    <row r="247" spans="1:29">
      <c r="A247" s="523"/>
      <c r="B247" s="523"/>
      <c r="C247" s="523"/>
      <c r="D247" s="523"/>
      <c r="E247" s="523"/>
      <c r="F247" s="523"/>
      <c r="G247" s="523"/>
      <c r="H247" s="523"/>
      <c r="I247" s="523"/>
      <c r="J247" s="523"/>
      <c r="K247" s="538"/>
      <c r="L247" s="539"/>
      <c r="M247" s="523"/>
      <c r="N247" s="523"/>
      <c r="O247" s="523"/>
      <c r="P247" s="1789"/>
      <c r="Q247" s="523"/>
      <c r="R247" s="523"/>
      <c r="S247" s="523"/>
      <c r="T247" s="523"/>
      <c r="U247" s="523"/>
      <c r="V247" s="523"/>
      <c r="W247" s="523"/>
      <c r="X247" s="523"/>
      <c r="Y247" s="523"/>
      <c r="Z247" s="523"/>
      <c r="AA247" s="523"/>
      <c r="AB247" s="523"/>
      <c r="AC247" s="523"/>
    </row>
    <row r="248" spans="1:29">
      <c r="A248" s="523"/>
      <c r="B248" s="523"/>
      <c r="C248" s="523"/>
      <c r="D248" s="523"/>
      <c r="E248" s="523"/>
      <c r="F248" s="523"/>
      <c r="G248" s="523"/>
      <c r="H248" s="523"/>
      <c r="I248" s="523"/>
      <c r="J248" s="523"/>
      <c r="K248" s="538"/>
      <c r="L248" s="539"/>
      <c r="M248" s="523"/>
      <c r="N248" s="523"/>
      <c r="O248" s="523"/>
      <c r="P248" s="1789"/>
      <c r="Q248" s="523"/>
      <c r="R248" s="523"/>
      <c r="S248" s="523"/>
      <c r="T248" s="523"/>
      <c r="U248" s="523"/>
      <c r="V248" s="523"/>
      <c r="W248" s="523"/>
      <c r="X248" s="523"/>
      <c r="Y248" s="523"/>
      <c r="Z248" s="523"/>
      <c r="AA248" s="523"/>
      <c r="AB248" s="523"/>
      <c r="AC248" s="523"/>
    </row>
    <row r="249" spans="1:29">
      <c r="A249" s="523"/>
      <c r="B249" s="523"/>
      <c r="C249" s="523"/>
      <c r="D249" s="523"/>
      <c r="E249" s="523"/>
      <c r="F249" s="523"/>
      <c r="G249" s="523"/>
      <c r="H249" s="523"/>
      <c r="I249" s="523"/>
      <c r="J249" s="523"/>
      <c r="K249" s="538"/>
      <c r="L249" s="539"/>
      <c r="M249" s="523"/>
      <c r="N249" s="523"/>
      <c r="O249" s="523"/>
      <c r="P249" s="1789"/>
      <c r="Q249" s="523"/>
      <c r="R249" s="523"/>
      <c r="S249" s="523"/>
      <c r="T249" s="523"/>
      <c r="U249" s="523"/>
      <c r="V249" s="523"/>
      <c r="W249" s="523"/>
      <c r="X249" s="523"/>
      <c r="Y249" s="523"/>
      <c r="Z249" s="523"/>
      <c r="AA249" s="523"/>
      <c r="AB249" s="523"/>
      <c r="AC249" s="523"/>
    </row>
    <row r="250" spans="1:29">
      <c r="A250" s="523"/>
      <c r="B250" s="523"/>
      <c r="C250" s="523"/>
      <c r="D250" s="523"/>
      <c r="E250" s="523"/>
      <c r="F250" s="523"/>
      <c r="G250" s="523"/>
      <c r="H250" s="523"/>
      <c r="I250" s="523"/>
      <c r="J250" s="523"/>
      <c r="K250" s="538"/>
      <c r="L250" s="539"/>
      <c r="M250" s="523"/>
      <c r="N250" s="523"/>
      <c r="O250" s="523"/>
      <c r="P250" s="1789"/>
      <c r="Q250" s="523"/>
      <c r="R250" s="523"/>
      <c r="S250" s="523"/>
      <c r="T250" s="523"/>
      <c r="U250" s="523"/>
      <c r="V250" s="523"/>
      <c r="W250" s="523"/>
      <c r="X250" s="523"/>
      <c r="Y250" s="523"/>
      <c r="Z250" s="523"/>
      <c r="AA250" s="523"/>
      <c r="AB250" s="523"/>
      <c r="AC250" s="523"/>
    </row>
    <row r="251" spans="1:29">
      <c r="A251" s="523"/>
      <c r="B251" s="523"/>
      <c r="C251" s="523"/>
      <c r="D251" s="523"/>
      <c r="E251" s="523"/>
      <c r="F251" s="523"/>
      <c r="G251" s="523"/>
      <c r="H251" s="523"/>
      <c r="I251" s="523"/>
      <c r="J251" s="523"/>
      <c r="K251" s="538"/>
      <c r="L251" s="539"/>
      <c r="M251" s="523"/>
      <c r="N251" s="523"/>
      <c r="O251" s="523"/>
      <c r="P251" s="1789"/>
      <c r="Q251" s="523"/>
      <c r="R251" s="523"/>
      <c r="S251" s="523"/>
      <c r="T251" s="523"/>
      <c r="U251" s="523"/>
      <c r="V251" s="523"/>
      <c r="W251" s="523"/>
      <c r="X251" s="523"/>
      <c r="Y251" s="523"/>
      <c r="Z251" s="523"/>
      <c r="AA251" s="523"/>
      <c r="AB251" s="523"/>
      <c r="AC251" s="523"/>
    </row>
    <row r="252" spans="1:29">
      <c r="A252" s="523"/>
      <c r="B252" s="523"/>
      <c r="C252" s="523"/>
      <c r="D252" s="523"/>
      <c r="E252" s="523"/>
      <c r="F252" s="523"/>
      <c r="G252" s="523"/>
      <c r="H252" s="523"/>
      <c r="I252" s="523"/>
      <c r="J252" s="523"/>
      <c r="K252" s="538"/>
      <c r="L252" s="539"/>
      <c r="M252" s="523"/>
      <c r="N252" s="523"/>
      <c r="O252" s="523"/>
      <c r="P252" s="1789"/>
      <c r="Q252" s="523"/>
      <c r="R252" s="523"/>
      <c r="S252" s="523"/>
      <c r="T252" s="523"/>
      <c r="U252" s="523"/>
      <c r="V252" s="523"/>
      <c r="W252" s="523"/>
      <c r="X252" s="523"/>
      <c r="Y252" s="523"/>
      <c r="Z252" s="523"/>
      <c r="AA252" s="523"/>
      <c r="AB252" s="523"/>
      <c r="AC252" s="523"/>
    </row>
    <row r="253" spans="1:29">
      <c r="A253" s="523"/>
      <c r="B253" s="523"/>
      <c r="C253" s="523"/>
      <c r="D253" s="523"/>
      <c r="E253" s="523"/>
      <c r="F253" s="523"/>
      <c r="G253" s="523"/>
      <c r="H253" s="523"/>
      <c r="I253" s="523"/>
      <c r="J253" s="523"/>
      <c r="K253" s="538"/>
      <c r="L253" s="539"/>
      <c r="M253" s="523"/>
      <c r="N253" s="523"/>
      <c r="O253" s="523"/>
      <c r="P253" s="1789"/>
      <c r="Q253" s="523"/>
      <c r="R253" s="523"/>
      <c r="S253" s="523"/>
      <c r="T253" s="523"/>
      <c r="U253" s="523"/>
      <c r="V253" s="523"/>
      <c r="W253" s="523"/>
      <c r="X253" s="523"/>
      <c r="Y253" s="523"/>
      <c r="Z253" s="523"/>
      <c r="AA253" s="523"/>
      <c r="AB253" s="523"/>
      <c r="AC253" s="523"/>
    </row>
    <row r="254" spans="1:29">
      <c r="A254" s="523"/>
      <c r="B254" s="523"/>
      <c r="C254" s="523"/>
      <c r="D254" s="523"/>
      <c r="E254" s="523"/>
      <c r="F254" s="523"/>
      <c r="G254" s="523"/>
      <c r="H254" s="523"/>
      <c r="I254" s="523"/>
      <c r="J254" s="523"/>
      <c r="K254" s="538"/>
      <c r="L254" s="539"/>
      <c r="M254" s="523"/>
      <c r="N254" s="523"/>
      <c r="O254" s="523"/>
      <c r="P254" s="1789"/>
      <c r="Q254" s="523"/>
      <c r="R254" s="523"/>
      <c r="S254" s="523"/>
      <c r="T254" s="523"/>
      <c r="U254" s="523"/>
      <c r="V254" s="523"/>
      <c r="W254" s="523"/>
      <c r="X254" s="523"/>
      <c r="Y254" s="523"/>
      <c r="Z254" s="523"/>
      <c r="AA254" s="523"/>
      <c r="AB254" s="523"/>
      <c r="AC254" s="523"/>
    </row>
    <row r="255" spans="1:29">
      <c r="A255" s="523"/>
      <c r="B255" s="523"/>
      <c r="C255" s="523"/>
      <c r="D255" s="523"/>
      <c r="E255" s="523"/>
      <c r="F255" s="523"/>
      <c r="G255" s="523"/>
      <c r="H255" s="523"/>
      <c r="I255" s="523"/>
      <c r="J255" s="523"/>
      <c r="K255" s="538"/>
      <c r="L255" s="539"/>
      <c r="M255" s="523"/>
      <c r="N255" s="523"/>
      <c r="O255" s="523"/>
      <c r="P255" s="1789"/>
      <c r="Q255" s="523"/>
      <c r="R255" s="523"/>
      <c r="S255" s="523"/>
      <c r="T255" s="523"/>
      <c r="U255" s="523"/>
      <c r="V255" s="523"/>
      <c r="W255" s="523"/>
      <c r="X255" s="523"/>
      <c r="Y255" s="523"/>
      <c r="Z255" s="523"/>
      <c r="AA255" s="523"/>
      <c r="AB255" s="523"/>
      <c r="AC255" s="523"/>
    </row>
    <row r="256" spans="1:29">
      <c r="A256" s="523"/>
      <c r="B256" s="523"/>
      <c r="C256" s="523"/>
      <c r="D256" s="523"/>
      <c r="E256" s="523"/>
      <c r="F256" s="523"/>
      <c r="G256" s="523"/>
      <c r="H256" s="523"/>
      <c r="I256" s="523"/>
      <c r="J256" s="523"/>
      <c r="K256" s="538"/>
      <c r="L256" s="539"/>
      <c r="M256" s="523"/>
      <c r="N256" s="523"/>
      <c r="O256" s="523"/>
      <c r="P256" s="1789"/>
      <c r="Q256" s="523"/>
      <c r="R256" s="523"/>
      <c r="S256" s="523"/>
      <c r="T256" s="523"/>
      <c r="U256" s="523"/>
      <c r="V256" s="523"/>
      <c r="W256" s="523"/>
      <c r="X256" s="523"/>
      <c r="Y256" s="523"/>
      <c r="Z256" s="523"/>
      <c r="AA256" s="523"/>
      <c r="AB256" s="523"/>
      <c r="AC256" s="523"/>
    </row>
    <row r="257" spans="1:29">
      <c r="A257" s="523"/>
      <c r="B257" s="523"/>
      <c r="C257" s="523"/>
      <c r="D257" s="523"/>
      <c r="E257" s="523"/>
      <c r="F257" s="523"/>
      <c r="G257" s="523"/>
      <c r="H257" s="523"/>
      <c r="I257" s="523"/>
      <c r="J257" s="523"/>
      <c r="K257" s="538"/>
      <c r="L257" s="539"/>
      <c r="M257" s="523"/>
      <c r="N257" s="523"/>
      <c r="O257" s="523"/>
      <c r="P257" s="1789"/>
      <c r="Q257" s="523"/>
      <c r="R257" s="523"/>
      <c r="S257" s="523"/>
      <c r="T257" s="523"/>
      <c r="U257" s="523"/>
      <c r="V257" s="523"/>
      <c r="W257" s="523"/>
      <c r="X257" s="523"/>
      <c r="Y257" s="523"/>
      <c r="Z257" s="523"/>
      <c r="AA257" s="523"/>
      <c r="AB257" s="523"/>
      <c r="AC257" s="523"/>
    </row>
    <row r="258" spans="1:29">
      <c r="A258" s="523"/>
      <c r="B258" s="523"/>
      <c r="C258" s="523"/>
      <c r="D258" s="523"/>
      <c r="E258" s="523"/>
      <c r="F258" s="523"/>
      <c r="G258" s="523"/>
      <c r="H258" s="523"/>
      <c r="I258" s="523"/>
      <c r="J258" s="523"/>
      <c r="K258" s="538"/>
      <c r="L258" s="539"/>
      <c r="M258" s="523"/>
      <c r="N258" s="523"/>
      <c r="O258" s="523"/>
      <c r="P258" s="1789"/>
      <c r="Q258" s="523"/>
      <c r="R258" s="523"/>
      <c r="S258" s="523"/>
      <c r="T258" s="523"/>
      <c r="U258" s="523"/>
      <c r="V258" s="523"/>
      <c r="W258" s="523"/>
      <c r="X258" s="523"/>
      <c r="Y258" s="523"/>
      <c r="Z258" s="523"/>
      <c r="AA258" s="523"/>
      <c r="AB258" s="523"/>
      <c r="AC258" s="523"/>
    </row>
    <row r="259" spans="1:29">
      <c r="A259" s="523"/>
      <c r="B259" s="523"/>
      <c r="C259" s="523"/>
      <c r="D259" s="523"/>
      <c r="E259" s="523"/>
      <c r="F259" s="523"/>
      <c r="G259" s="523"/>
      <c r="H259" s="523"/>
      <c r="I259" s="523"/>
      <c r="J259" s="523"/>
      <c r="K259" s="538"/>
      <c r="L259" s="539"/>
      <c r="M259" s="523"/>
      <c r="N259" s="523"/>
      <c r="O259" s="523"/>
      <c r="P259" s="1789"/>
      <c r="Q259" s="523"/>
      <c r="R259" s="523"/>
      <c r="S259" s="523"/>
      <c r="T259" s="523"/>
      <c r="U259" s="523"/>
      <c r="V259" s="523"/>
      <c r="W259" s="523"/>
      <c r="X259" s="523"/>
      <c r="Y259" s="523"/>
      <c r="Z259" s="523"/>
      <c r="AA259" s="523"/>
      <c r="AB259" s="523"/>
      <c r="AC259" s="523"/>
    </row>
    <row r="260" spans="1:29">
      <c r="A260" s="523"/>
      <c r="B260" s="523"/>
      <c r="C260" s="523"/>
      <c r="D260" s="523"/>
      <c r="E260" s="523"/>
      <c r="F260" s="523"/>
      <c r="G260" s="523"/>
      <c r="H260" s="523"/>
      <c r="I260" s="523"/>
      <c r="J260" s="523"/>
      <c r="K260" s="538"/>
      <c r="L260" s="539"/>
      <c r="M260" s="523"/>
      <c r="N260" s="523"/>
      <c r="O260" s="523"/>
      <c r="P260" s="1789"/>
      <c r="Q260" s="523"/>
      <c r="R260" s="523"/>
      <c r="S260" s="523"/>
      <c r="T260" s="523"/>
      <c r="U260" s="523"/>
      <c r="V260" s="523"/>
      <c r="W260" s="523"/>
      <c r="X260" s="523"/>
      <c r="Y260" s="523"/>
      <c r="Z260" s="523"/>
      <c r="AA260" s="523"/>
      <c r="AB260" s="523"/>
      <c r="AC260" s="523"/>
    </row>
    <row r="261" spans="1:29">
      <c r="A261" s="523"/>
      <c r="B261" s="523"/>
      <c r="C261" s="523"/>
      <c r="D261" s="523"/>
      <c r="E261" s="523"/>
      <c r="F261" s="523"/>
      <c r="G261" s="523"/>
      <c r="H261" s="523"/>
      <c r="I261" s="523"/>
      <c r="J261" s="523"/>
      <c r="K261" s="538"/>
      <c r="L261" s="539"/>
      <c r="M261" s="523"/>
      <c r="N261" s="523"/>
      <c r="O261" s="523"/>
      <c r="P261" s="1789"/>
      <c r="Q261" s="523"/>
      <c r="R261" s="523"/>
      <c r="S261" s="523"/>
      <c r="T261" s="523"/>
      <c r="U261" s="523"/>
      <c r="V261" s="523"/>
      <c r="W261" s="523"/>
      <c r="X261" s="523"/>
      <c r="Y261" s="523"/>
      <c r="Z261" s="523"/>
      <c r="AA261" s="523"/>
      <c r="AB261" s="523"/>
      <c r="AC261" s="523"/>
    </row>
    <row r="262" spans="1:29">
      <c r="A262" s="523"/>
      <c r="B262" s="523"/>
      <c r="C262" s="523"/>
      <c r="D262" s="523"/>
      <c r="E262" s="523"/>
      <c r="F262" s="523"/>
      <c r="G262" s="523"/>
      <c r="H262" s="523"/>
      <c r="I262" s="523"/>
      <c r="J262" s="523"/>
      <c r="K262" s="538"/>
      <c r="L262" s="539"/>
      <c r="M262" s="523"/>
      <c r="N262" s="523"/>
      <c r="O262" s="523"/>
      <c r="P262" s="1789"/>
      <c r="Q262" s="523"/>
      <c r="R262" s="523"/>
      <c r="S262" s="523"/>
      <c r="T262" s="523"/>
      <c r="U262" s="523"/>
      <c r="V262" s="523"/>
      <c r="W262" s="523"/>
      <c r="X262" s="523"/>
      <c r="Y262" s="523"/>
      <c r="Z262" s="523"/>
      <c r="AA262" s="523"/>
      <c r="AB262" s="523"/>
      <c r="AC262" s="523"/>
    </row>
    <row r="263" spans="1:29">
      <c r="A263" s="523"/>
      <c r="B263" s="523"/>
      <c r="C263" s="523"/>
      <c r="D263" s="523"/>
      <c r="E263" s="523"/>
      <c r="F263" s="523"/>
      <c r="G263" s="523"/>
      <c r="H263" s="523"/>
      <c r="I263" s="523"/>
      <c r="J263" s="523"/>
      <c r="K263" s="538"/>
      <c r="L263" s="539"/>
      <c r="M263" s="523"/>
      <c r="N263" s="523"/>
      <c r="O263" s="523"/>
      <c r="P263" s="1789"/>
      <c r="Q263" s="523"/>
      <c r="R263" s="523"/>
      <c r="S263" s="523"/>
      <c r="T263" s="523"/>
      <c r="U263" s="523"/>
      <c r="V263" s="523"/>
      <c r="W263" s="523"/>
      <c r="X263" s="523"/>
      <c r="Y263" s="523"/>
      <c r="Z263" s="523"/>
      <c r="AA263" s="523"/>
      <c r="AB263" s="523"/>
      <c r="AC263" s="523"/>
    </row>
    <row r="264" spans="1:29">
      <c r="A264" s="523"/>
      <c r="B264" s="523"/>
      <c r="C264" s="523"/>
      <c r="D264" s="523"/>
      <c r="E264" s="523"/>
      <c r="F264" s="523"/>
      <c r="G264" s="523"/>
      <c r="H264" s="523"/>
      <c r="I264" s="523"/>
      <c r="J264" s="523"/>
      <c r="K264" s="538"/>
      <c r="L264" s="539"/>
      <c r="M264" s="523"/>
      <c r="N264" s="523"/>
      <c r="O264" s="523"/>
      <c r="P264" s="1789"/>
      <c r="Q264" s="523"/>
      <c r="R264" s="523"/>
      <c r="S264" s="523"/>
      <c r="T264" s="523"/>
      <c r="U264" s="523"/>
      <c r="V264" s="523"/>
      <c r="W264" s="523"/>
      <c r="X264" s="523"/>
      <c r="Y264" s="523"/>
      <c r="Z264" s="523"/>
      <c r="AA264" s="523"/>
      <c r="AB264" s="523"/>
      <c r="AC264" s="523"/>
    </row>
    <row r="265" spans="1:29">
      <c r="A265" s="523"/>
      <c r="B265" s="523"/>
      <c r="C265" s="523"/>
      <c r="D265" s="523"/>
      <c r="E265" s="523"/>
      <c r="F265" s="523"/>
      <c r="G265" s="523"/>
      <c r="H265" s="523"/>
      <c r="I265" s="523"/>
      <c r="J265" s="523"/>
      <c r="K265" s="538"/>
      <c r="L265" s="539"/>
      <c r="M265" s="523"/>
      <c r="N265" s="523"/>
      <c r="O265" s="523"/>
      <c r="P265" s="1789"/>
      <c r="Q265" s="523"/>
      <c r="R265" s="523"/>
      <c r="S265" s="523"/>
      <c r="T265" s="523"/>
      <c r="U265" s="523"/>
      <c r="V265" s="523"/>
      <c r="W265" s="523"/>
      <c r="X265" s="523"/>
      <c r="Y265" s="523"/>
      <c r="Z265" s="523"/>
      <c r="AA265" s="523"/>
      <c r="AB265" s="523"/>
      <c r="AC265" s="523"/>
    </row>
    <row r="266" spans="1:29">
      <c r="A266" s="523"/>
      <c r="B266" s="523"/>
      <c r="C266" s="523"/>
      <c r="D266" s="523"/>
      <c r="E266" s="523"/>
      <c r="F266" s="523"/>
      <c r="G266" s="523"/>
      <c r="H266" s="523"/>
      <c r="I266" s="523"/>
      <c r="J266" s="523"/>
      <c r="K266" s="538"/>
      <c r="L266" s="539"/>
      <c r="M266" s="523"/>
      <c r="N266" s="523"/>
      <c r="O266" s="523"/>
      <c r="P266" s="1789"/>
      <c r="Q266" s="523"/>
      <c r="R266" s="523"/>
      <c r="S266" s="523"/>
      <c r="T266" s="523"/>
      <c r="U266" s="523"/>
      <c r="V266" s="523"/>
      <c r="W266" s="523"/>
      <c r="X266" s="523"/>
      <c r="Y266" s="523"/>
      <c r="Z266" s="523"/>
      <c r="AA266" s="523"/>
      <c r="AB266" s="523"/>
      <c r="AC266" s="523"/>
    </row>
    <row r="267" spans="1:29">
      <c r="A267" s="523"/>
      <c r="B267" s="523"/>
      <c r="C267" s="523"/>
      <c r="D267" s="523"/>
      <c r="E267" s="523"/>
      <c r="F267" s="523"/>
      <c r="G267" s="523"/>
      <c r="H267" s="523"/>
      <c r="I267" s="523"/>
      <c r="J267" s="523"/>
      <c r="K267" s="538"/>
      <c r="L267" s="539"/>
      <c r="M267" s="523"/>
      <c r="N267" s="523"/>
      <c r="O267" s="523"/>
      <c r="P267" s="1789"/>
      <c r="Q267" s="523"/>
      <c r="R267" s="523"/>
      <c r="S267" s="523"/>
      <c r="T267" s="523"/>
      <c r="U267" s="523"/>
      <c r="V267" s="523"/>
      <c r="W267" s="523"/>
      <c r="X267" s="523"/>
      <c r="Y267" s="523"/>
      <c r="Z267" s="523"/>
      <c r="AA267" s="523"/>
      <c r="AB267" s="523"/>
      <c r="AC267" s="523"/>
    </row>
    <row r="268" spans="1:29">
      <c r="A268" s="523"/>
      <c r="B268" s="523"/>
      <c r="C268" s="523"/>
      <c r="D268" s="523"/>
      <c r="E268" s="523"/>
      <c r="F268" s="523"/>
      <c r="G268" s="523"/>
      <c r="H268" s="523"/>
      <c r="I268" s="523"/>
      <c r="J268" s="523"/>
      <c r="K268" s="538"/>
      <c r="L268" s="539"/>
      <c r="M268" s="523"/>
      <c r="N268" s="523"/>
      <c r="O268" s="523"/>
      <c r="P268" s="1789"/>
      <c r="Q268" s="523"/>
      <c r="R268" s="523"/>
      <c r="S268" s="523"/>
      <c r="T268" s="523"/>
      <c r="U268" s="523"/>
      <c r="V268" s="523"/>
      <c r="W268" s="523"/>
      <c r="X268" s="523"/>
      <c r="Y268" s="523"/>
      <c r="Z268" s="523"/>
      <c r="AA268" s="523"/>
      <c r="AB268" s="523"/>
      <c r="AC268" s="523"/>
    </row>
    <row r="269" spans="1:29">
      <c r="A269" s="523"/>
      <c r="B269" s="523"/>
      <c r="C269" s="523"/>
      <c r="D269" s="523"/>
      <c r="E269" s="523"/>
      <c r="F269" s="523"/>
      <c r="G269" s="523"/>
      <c r="H269" s="523"/>
      <c r="I269" s="523"/>
      <c r="J269" s="523"/>
      <c r="K269" s="538"/>
      <c r="L269" s="539"/>
      <c r="M269" s="523"/>
      <c r="N269" s="523"/>
      <c r="O269" s="523"/>
      <c r="P269" s="1789"/>
      <c r="Q269" s="523"/>
      <c r="R269" s="523"/>
      <c r="S269" s="523"/>
      <c r="T269" s="523"/>
      <c r="U269" s="523"/>
      <c r="V269" s="523"/>
      <c r="W269" s="523"/>
      <c r="X269" s="523"/>
      <c r="Y269" s="523"/>
      <c r="Z269" s="523"/>
      <c r="AA269" s="523"/>
      <c r="AB269" s="523"/>
      <c r="AC269" s="523"/>
    </row>
    <row r="270" spans="1:29">
      <c r="A270" s="523"/>
      <c r="B270" s="523"/>
      <c r="C270" s="523"/>
      <c r="D270" s="523"/>
      <c r="E270" s="523"/>
      <c r="F270" s="523"/>
      <c r="G270" s="523"/>
      <c r="H270" s="523"/>
      <c r="I270" s="523"/>
      <c r="J270" s="523"/>
      <c r="K270" s="538"/>
      <c r="L270" s="539"/>
      <c r="M270" s="523"/>
      <c r="N270" s="523"/>
      <c r="O270" s="523"/>
      <c r="P270" s="1789"/>
      <c r="Q270" s="523"/>
      <c r="R270" s="523"/>
      <c r="S270" s="523"/>
      <c r="T270" s="523"/>
      <c r="U270" s="523"/>
      <c r="V270" s="523"/>
      <c r="W270" s="523"/>
      <c r="X270" s="523"/>
      <c r="Y270" s="523"/>
      <c r="Z270" s="523"/>
      <c r="AA270" s="523"/>
      <c r="AB270" s="523"/>
      <c r="AC270" s="523"/>
    </row>
    <row r="271" spans="1:29">
      <c r="A271" s="523"/>
      <c r="B271" s="523"/>
      <c r="C271" s="523"/>
      <c r="D271" s="523"/>
      <c r="E271" s="523"/>
      <c r="F271" s="523"/>
      <c r="G271" s="523"/>
      <c r="H271" s="523"/>
      <c r="I271" s="523"/>
      <c r="J271" s="523"/>
      <c r="K271" s="538"/>
      <c r="L271" s="539"/>
      <c r="M271" s="523"/>
      <c r="N271" s="523"/>
      <c r="O271" s="523"/>
      <c r="P271" s="1789"/>
      <c r="Q271" s="523"/>
      <c r="R271" s="523"/>
      <c r="S271" s="523"/>
      <c r="T271" s="523"/>
      <c r="U271" s="523"/>
      <c r="V271" s="523"/>
      <c r="W271" s="523"/>
      <c r="X271" s="523"/>
      <c r="Y271" s="523"/>
      <c r="Z271" s="523"/>
      <c r="AA271" s="523"/>
      <c r="AB271" s="523"/>
      <c r="AC271" s="523"/>
    </row>
    <row r="272" spans="1:29">
      <c r="A272" s="523"/>
      <c r="B272" s="523"/>
      <c r="C272" s="523"/>
      <c r="D272" s="523"/>
      <c r="E272" s="523"/>
      <c r="F272" s="523"/>
      <c r="G272" s="523"/>
      <c r="H272" s="523"/>
      <c r="I272" s="523"/>
      <c r="J272" s="523"/>
      <c r="K272" s="538"/>
      <c r="L272" s="539"/>
      <c r="M272" s="523"/>
      <c r="N272" s="523"/>
      <c r="O272" s="523"/>
      <c r="P272" s="1789"/>
      <c r="Q272" s="523"/>
      <c r="R272" s="523"/>
      <c r="S272" s="523"/>
      <c r="T272" s="523"/>
      <c r="U272" s="523"/>
      <c r="V272" s="523"/>
      <c r="W272" s="523"/>
      <c r="X272" s="523"/>
      <c r="Y272" s="523"/>
      <c r="Z272" s="523"/>
      <c r="AA272" s="523"/>
      <c r="AB272" s="523"/>
      <c r="AC272" s="523"/>
    </row>
    <row r="273" spans="1:29">
      <c r="A273" s="523"/>
      <c r="B273" s="523"/>
      <c r="C273" s="523"/>
      <c r="D273" s="523"/>
      <c r="E273" s="523"/>
      <c r="F273" s="523"/>
      <c r="G273" s="523"/>
      <c r="H273" s="523"/>
      <c r="I273" s="523"/>
      <c r="J273" s="523"/>
      <c r="K273" s="538"/>
      <c r="L273" s="539"/>
      <c r="M273" s="523"/>
      <c r="N273" s="523"/>
      <c r="O273" s="523"/>
      <c r="P273" s="1789"/>
      <c r="Q273" s="523"/>
      <c r="R273" s="523"/>
      <c r="S273" s="523"/>
      <c r="T273" s="523"/>
      <c r="U273" s="523"/>
      <c r="V273" s="523"/>
      <c r="W273" s="523"/>
      <c r="X273" s="523"/>
      <c r="Y273" s="523"/>
      <c r="Z273" s="523"/>
      <c r="AA273" s="523"/>
      <c r="AB273" s="523"/>
      <c r="AC273" s="523"/>
    </row>
    <row r="274" spans="1:29">
      <c r="A274" s="523"/>
      <c r="B274" s="523"/>
      <c r="C274" s="523"/>
      <c r="D274" s="523"/>
      <c r="E274" s="523"/>
      <c r="F274" s="523"/>
      <c r="G274" s="523"/>
      <c r="H274" s="523"/>
      <c r="I274" s="523"/>
      <c r="J274" s="523"/>
      <c r="K274" s="538"/>
      <c r="L274" s="539"/>
      <c r="M274" s="523"/>
      <c r="N274" s="523"/>
      <c r="O274" s="523"/>
      <c r="P274" s="1789"/>
      <c r="Q274" s="523"/>
      <c r="R274" s="523"/>
      <c r="S274" s="523"/>
      <c r="T274" s="523"/>
      <c r="U274" s="523"/>
      <c r="V274" s="523"/>
      <c r="W274" s="523"/>
      <c r="X274" s="523"/>
      <c r="Y274" s="523"/>
      <c r="Z274" s="523"/>
      <c r="AA274" s="523"/>
      <c r="AB274" s="523"/>
      <c r="AC274" s="523"/>
    </row>
    <row r="275" spans="1:29">
      <c r="A275" s="523"/>
      <c r="B275" s="523"/>
      <c r="C275" s="523"/>
      <c r="D275" s="523"/>
      <c r="E275" s="523"/>
      <c r="F275" s="523"/>
      <c r="G275" s="523"/>
      <c r="H275" s="523"/>
      <c r="I275" s="523"/>
      <c r="J275" s="523"/>
      <c r="K275" s="538"/>
      <c r="L275" s="539"/>
      <c r="M275" s="523"/>
      <c r="N275" s="523"/>
      <c r="O275" s="523"/>
      <c r="P275" s="1789"/>
      <c r="Q275" s="523"/>
      <c r="R275" s="523"/>
      <c r="S275" s="523"/>
      <c r="T275" s="523"/>
      <c r="U275" s="523"/>
      <c r="V275" s="523"/>
      <c r="W275" s="523"/>
      <c r="X275" s="523"/>
      <c r="Y275" s="523"/>
      <c r="Z275" s="523"/>
      <c r="AA275" s="523"/>
      <c r="AB275" s="523"/>
      <c r="AC275" s="523"/>
    </row>
    <row r="276" spans="1:29">
      <c r="A276" s="523"/>
      <c r="B276" s="523"/>
      <c r="C276" s="523"/>
      <c r="D276" s="523"/>
      <c r="E276" s="523"/>
      <c r="F276" s="523"/>
      <c r="G276" s="523"/>
      <c r="H276" s="523"/>
      <c r="I276" s="523"/>
      <c r="J276" s="523"/>
      <c r="K276" s="538"/>
      <c r="L276" s="539"/>
      <c r="M276" s="523"/>
      <c r="N276" s="523"/>
      <c r="O276" s="523"/>
      <c r="P276" s="1789"/>
      <c r="Q276" s="523"/>
      <c r="R276" s="523"/>
      <c r="S276" s="523"/>
      <c r="T276" s="523"/>
      <c r="U276" s="523"/>
      <c r="V276" s="523"/>
      <c r="W276" s="523"/>
      <c r="X276" s="523"/>
      <c r="Y276" s="523"/>
      <c r="Z276" s="523"/>
      <c r="AA276" s="523"/>
      <c r="AB276" s="523"/>
      <c r="AC276" s="523"/>
    </row>
    <row r="277" spans="1:29">
      <c r="A277" s="523"/>
      <c r="B277" s="523"/>
      <c r="C277" s="523"/>
      <c r="D277" s="523"/>
      <c r="E277" s="523"/>
      <c r="F277" s="523"/>
      <c r="G277" s="523"/>
      <c r="H277" s="523"/>
      <c r="I277" s="523"/>
      <c r="J277" s="523"/>
      <c r="K277" s="538"/>
      <c r="L277" s="539"/>
      <c r="M277" s="523"/>
      <c r="N277" s="523"/>
      <c r="O277" s="523"/>
      <c r="P277" s="1789"/>
      <c r="Q277" s="523"/>
      <c r="R277" s="523"/>
      <c r="S277" s="523"/>
      <c r="T277" s="523"/>
      <c r="U277" s="523"/>
      <c r="V277" s="523"/>
      <c r="W277" s="523"/>
      <c r="X277" s="523"/>
      <c r="Y277" s="523"/>
      <c r="Z277" s="523"/>
      <c r="AA277" s="523"/>
      <c r="AB277" s="523"/>
      <c r="AC277" s="523"/>
    </row>
    <row r="278" spans="1:29">
      <c r="A278" s="523"/>
      <c r="B278" s="523"/>
      <c r="C278" s="523"/>
      <c r="D278" s="523"/>
      <c r="E278" s="523"/>
      <c r="F278" s="523"/>
      <c r="G278" s="523"/>
      <c r="H278" s="523"/>
      <c r="I278" s="523"/>
      <c r="J278" s="523"/>
      <c r="K278" s="538"/>
      <c r="L278" s="539"/>
      <c r="M278" s="523"/>
      <c r="N278" s="523"/>
      <c r="O278" s="523"/>
      <c r="P278" s="1789"/>
      <c r="Q278" s="523"/>
      <c r="R278" s="523"/>
      <c r="S278" s="523"/>
      <c r="T278" s="523"/>
      <c r="U278" s="523"/>
      <c r="V278" s="523"/>
      <c r="W278" s="523"/>
      <c r="X278" s="523"/>
      <c r="Y278" s="523"/>
      <c r="Z278" s="523"/>
      <c r="AA278" s="523"/>
      <c r="AB278" s="523"/>
      <c r="AC278" s="523"/>
    </row>
    <row r="279" spans="1:29">
      <c r="A279" s="523"/>
      <c r="B279" s="523"/>
      <c r="C279" s="523"/>
      <c r="D279" s="523"/>
      <c r="E279" s="523"/>
      <c r="F279" s="523"/>
      <c r="G279" s="523"/>
      <c r="H279" s="523"/>
      <c r="I279" s="523"/>
      <c r="J279" s="523"/>
      <c r="K279" s="538"/>
      <c r="L279" s="539"/>
      <c r="M279" s="523"/>
      <c r="N279" s="523"/>
      <c r="O279" s="523"/>
      <c r="P279" s="1789"/>
      <c r="Q279" s="523"/>
      <c r="R279" s="523"/>
      <c r="S279" s="523"/>
      <c r="T279" s="523"/>
      <c r="U279" s="523"/>
      <c r="V279" s="523"/>
      <c r="W279" s="523"/>
      <c r="X279" s="523"/>
      <c r="Y279" s="523"/>
      <c r="Z279" s="523"/>
      <c r="AA279" s="523"/>
      <c r="AB279" s="523"/>
      <c r="AC279" s="523"/>
    </row>
    <row r="280" spans="1:29">
      <c r="A280" s="523"/>
      <c r="B280" s="523"/>
      <c r="C280" s="523"/>
      <c r="D280" s="523"/>
      <c r="E280" s="523"/>
      <c r="F280" s="523"/>
      <c r="G280" s="523"/>
      <c r="H280" s="523"/>
      <c r="I280" s="523"/>
      <c r="J280" s="523"/>
      <c r="K280" s="538"/>
      <c r="L280" s="539"/>
      <c r="M280" s="523"/>
      <c r="N280" s="523"/>
      <c r="O280" s="523"/>
      <c r="P280" s="1789"/>
      <c r="Q280" s="523"/>
      <c r="R280" s="523"/>
      <c r="S280" s="523"/>
      <c r="T280" s="523"/>
      <c r="U280" s="523"/>
      <c r="V280" s="523"/>
      <c r="W280" s="523"/>
      <c r="X280" s="523"/>
      <c r="Y280" s="523"/>
      <c r="Z280" s="523"/>
      <c r="AA280" s="523"/>
      <c r="AB280" s="523"/>
      <c r="AC280" s="523"/>
    </row>
    <row r="281" spans="1:29">
      <c r="A281" s="523"/>
      <c r="B281" s="523"/>
      <c r="C281" s="523"/>
      <c r="D281" s="523"/>
      <c r="E281" s="523"/>
      <c r="F281" s="523"/>
      <c r="G281" s="523"/>
      <c r="H281" s="523"/>
      <c r="I281" s="523"/>
      <c r="J281" s="523"/>
      <c r="K281" s="538"/>
      <c r="L281" s="539"/>
      <c r="M281" s="523"/>
      <c r="N281" s="523"/>
      <c r="O281" s="523"/>
      <c r="P281" s="1789"/>
      <c r="Q281" s="523"/>
      <c r="R281" s="523"/>
      <c r="S281" s="523"/>
      <c r="T281" s="523"/>
      <c r="U281" s="523"/>
      <c r="V281" s="523"/>
      <c r="W281" s="523"/>
      <c r="X281" s="523"/>
      <c r="Y281" s="523"/>
      <c r="Z281" s="523"/>
      <c r="AA281" s="523"/>
      <c r="AB281" s="523"/>
      <c r="AC281" s="523"/>
    </row>
    <row r="282" spans="1:29">
      <c r="A282" s="523"/>
      <c r="B282" s="523"/>
      <c r="C282" s="523"/>
      <c r="D282" s="523"/>
      <c r="E282" s="523"/>
      <c r="F282" s="523"/>
      <c r="G282" s="523"/>
      <c r="H282" s="523"/>
      <c r="I282" s="523"/>
      <c r="J282" s="523"/>
      <c r="K282" s="538"/>
      <c r="L282" s="539"/>
      <c r="M282" s="523"/>
      <c r="N282" s="523"/>
      <c r="O282" s="523"/>
      <c r="P282" s="1789"/>
      <c r="Q282" s="523"/>
      <c r="R282" s="523"/>
      <c r="S282" s="523"/>
      <c r="T282" s="523"/>
      <c r="U282" s="523"/>
      <c r="V282" s="523"/>
      <c r="W282" s="523"/>
      <c r="X282" s="523"/>
      <c r="Y282" s="523"/>
      <c r="Z282" s="523"/>
      <c r="AA282" s="523"/>
      <c r="AB282" s="523"/>
      <c r="AC282" s="523"/>
    </row>
    <row r="283" spans="1:29">
      <c r="A283" s="523"/>
      <c r="B283" s="523"/>
      <c r="C283" s="523"/>
      <c r="D283" s="523"/>
      <c r="E283" s="523"/>
      <c r="F283" s="523"/>
      <c r="G283" s="523"/>
      <c r="H283" s="523"/>
      <c r="I283" s="523"/>
      <c r="J283" s="523"/>
      <c r="K283" s="538"/>
      <c r="L283" s="539"/>
      <c r="M283" s="523"/>
      <c r="N283" s="523"/>
      <c r="O283" s="523"/>
      <c r="P283" s="1789"/>
      <c r="Q283" s="523"/>
      <c r="R283" s="523"/>
      <c r="S283" s="523"/>
      <c r="T283" s="523"/>
      <c r="U283" s="523"/>
      <c r="V283" s="523"/>
      <c r="W283" s="523"/>
      <c r="X283" s="523"/>
      <c r="Y283" s="523"/>
      <c r="Z283" s="523"/>
      <c r="AA283" s="523"/>
      <c r="AB283" s="523"/>
      <c r="AC283" s="523"/>
    </row>
    <row r="284" spans="1:29">
      <c r="A284" s="523"/>
      <c r="B284" s="523"/>
      <c r="C284" s="523"/>
      <c r="D284" s="523"/>
      <c r="E284" s="523"/>
      <c r="F284" s="523"/>
      <c r="G284" s="523"/>
      <c r="H284" s="523"/>
      <c r="I284" s="523"/>
      <c r="J284" s="523"/>
      <c r="K284" s="538"/>
      <c r="L284" s="539"/>
      <c r="M284" s="523"/>
      <c r="N284" s="523"/>
      <c r="O284" s="523"/>
      <c r="P284" s="1789"/>
      <c r="Q284" s="523"/>
      <c r="R284" s="523"/>
      <c r="S284" s="523"/>
      <c r="T284" s="523"/>
      <c r="U284" s="523"/>
      <c r="V284" s="523"/>
      <c r="W284" s="523"/>
      <c r="X284" s="523"/>
      <c r="Y284" s="523"/>
      <c r="Z284" s="523"/>
      <c r="AA284" s="523"/>
      <c r="AB284" s="523"/>
      <c r="AC284" s="523"/>
    </row>
    <row r="285" spans="1:29">
      <c r="A285" s="523"/>
      <c r="B285" s="523"/>
      <c r="C285" s="523"/>
      <c r="D285" s="523"/>
      <c r="E285" s="523"/>
      <c r="F285" s="523"/>
      <c r="G285" s="523"/>
      <c r="H285" s="523"/>
      <c r="I285" s="523"/>
      <c r="J285" s="523"/>
      <c r="K285" s="538"/>
      <c r="L285" s="539"/>
      <c r="M285" s="523"/>
      <c r="N285" s="523"/>
      <c r="O285" s="523"/>
      <c r="P285" s="1789"/>
      <c r="Q285" s="523"/>
      <c r="R285" s="523"/>
      <c r="S285" s="523"/>
      <c r="T285" s="523"/>
      <c r="U285" s="523"/>
      <c r="V285" s="523"/>
      <c r="W285" s="523"/>
      <c r="X285" s="523"/>
      <c r="Y285" s="523"/>
      <c r="Z285" s="523"/>
      <c r="AA285" s="523"/>
      <c r="AB285" s="523"/>
      <c r="AC285" s="523"/>
    </row>
    <row r="286" spans="1:29">
      <c r="A286" s="523"/>
      <c r="B286" s="523"/>
      <c r="C286" s="523"/>
      <c r="D286" s="523"/>
      <c r="E286" s="523"/>
      <c r="F286" s="523"/>
      <c r="G286" s="523"/>
      <c r="H286" s="523"/>
      <c r="I286" s="523"/>
      <c r="J286" s="523"/>
      <c r="K286" s="538"/>
      <c r="L286" s="539"/>
      <c r="M286" s="523"/>
      <c r="N286" s="523"/>
      <c r="O286" s="523"/>
      <c r="P286" s="1789"/>
      <c r="Q286" s="523"/>
      <c r="R286" s="523"/>
      <c r="S286" s="523"/>
      <c r="T286" s="523"/>
      <c r="U286" s="523"/>
      <c r="V286" s="523"/>
      <c r="W286" s="523"/>
      <c r="X286" s="523"/>
      <c r="Y286" s="523"/>
      <c r="Z286" s="523"/>
      <c r="AA286" s="523"/>
      <c r="AB286" s="523"/>
      <c r="AC286" s="523"/>
    </row>
    <row r="287" spans="1:29">
      <c r="A287" s="523"/>
      <c r="B287" s="523"/>
      <c r="C287" s="523"/>
      <c r="D287" s="523"/>
      <c r="E287" s="523"/>
      <c r="F287" s="523"/>
      <c r="G287" s="523"/>
      <c r="H287" s="523"/>
      <c r="I287" s="523"/>
      <c r="J287" s="523"/>
      <c r="K287" s="538"/>
      <c r="L287" s="539"/>
      <c r="M287" s="523"/>
      <c r="N287" s="523"/>
      <c r="O287" s="523"/>
      <c r="P287" s="1789"/>
      <c r="Q287" s="523"/>
      <c r="R287" s="523"/>
      <c r="S287" s="523"/>
      <c r="T287" s="523"/>
      <c r="U287" s="523"/>
      <c r="V287" s="523"/>
      <c r="W287" s="523"/>
      <c r="X287" s="523"/>
      <c r="Y287" s="523"/>
      <c r="Z287" s="523"/>
      <c r="AA287" s="523"/>
      <c r="AB287" s="523"/>
      <c r="AC287" s="523"/>
    </row>
    <row r="288" spans="1:29">
      <c r="A288" s="523"/>
      <c r="B288" s="523"/>
      <c r="C288" s="523"/>
      <c r="D288" s="523"/>
      <c r="E288" s="523"/>
      <c r="F288" s="523"/>
      <c r="G288" s="523"/>
      <c r="H288" s="523"/>
      <c r="I288" s="523"/>
      <c r="J288" s="523"/>
      <c r="K288" s="538"/>
      <c r="L288" s="539"/>
      <c r="M288" s="523"/>
      <c r="N288" s="523"/>
      <c r="O288" s="523"/>
      <c r="P288" s="1789"/>
      <c r="Q288" s="523"/>
      <c r="R288" s="523"/>
      <c r="S288" s="523"/>
      <c r="T288" s="523"/>
      <c r="U288" s="523"/>
      <c r="V288" s="523"/>
      <c r="W288" s="523"/>
      <c r="X288" s="523"/>
      <c r="Y288" s="523"/>
      <c r="Z288" s="523"/>
      <c r="AA288" s="523"/>
      <c r="AB288" s="523"/>
      <c r="AC288" s="523"/>
    </row>
    <row r="289" spans="1:29">
      <c r="A289" s="523"/>
      <c r="B289" s="523"/>
      <c r="C289" s="523"/>
      <c r="D289" s="523"/>
      <c r="E289" s="523"/>
      <c r="F289" s="523"/>
      <c r="G289" s="523"/>
      <c r="H289" s="523"/>
      <c r="I289" s="523"/>
      <c r="J289" s="523"/>
      <c r="K289" s="538"/>
      <c r="L289" s="539"/>
      <c r="M289" s="523"/>
      <c r="N289" s="523"/>
      <c r="O289" s="523"/>
      <c r="P289" s="1789"/>
      <c r="Q289" s="523"/>
      <c r="R289" s="523"/>
      <c r="S289" s="523"/>
      <c r="T289" s="523"/>
      <c r="U289" s="523"/>
      <c r="V289" s="523"/>
      <c r="W289" s="523"/>
      <c r="X289" s="523"/>
      <c r="Y289" s="523"/>
      <c r="Z289" s="523"/>
      <c r="AA289" s="523"/>
      <c r="AB289" s="523"/>
      <c r="AC289" s="523"/>
    </row>
    <row r="290" spans="1:29">
      <c r="A290" s="523"/>
      <c r="B290" s="523"/>
      <c r="C290" s="523"/>
      <c r="D290" s="523"/>
      <c r="E290" s="523"/>
      <c r="F290" s="523"/>
      <c r="G290" s="523"/>
      <c r="H290" s="523"/>
      <c r="I290" s="523"/>
      <c r="J290" s="523"/>
      <c r="K290" s="538"/>
      <c r="L290" s="539"/>
      <c r="M290" s="523"/>
      <c r="N290" s="523"/>
      <c r="O290" s="523"/>
      <c r="P290" s="1789"/>
      <c r="Q290" s="523"/>
      <c r="R290" s="523"/>
      <c r="S290" s="523"/>
      <c r="T290" s="523"/>
      <c r="U290" s="523"/>
      <c r="V290" s="523"/>
      <c r="W290" s="523"/>
      <c r="X290" s="523"/>
      <c r="Y290" s="523"/>
      <c r="Z290" s="523"/>
      <c r="AA290" s="523"/>
      <c r="AB290" s="523"/>
      <c r="AC290" s="523"/>
    </row>
    <row r="291" spans="1:29">
      <c r="A291" s="523"/>
      <c r="B291" s="523"/>
      <c r="C291" s="523"/>
      <c r="D291" s="523"/>
      <c r="E291" s="523"/>
      <c r="F291" s="523"/>
      <c r="G291" s="523"/>
      <c r="H291" s="523"/>
      <c r="I291" s="523"/>
      <c r="J291" s="523"/>
      <c r="K291" s="538"/>
      <c r="L291" s="539"/>
      <c r="M291" s="523"/>
      <c r="N291" s="523"/>
      <c r="O291" s="523"/>
      <c r="P291" s="1789"/>
      <c r="Q291" s="523"/>
      <c r="R291" s="523"/>
      <c r="S291" s="523"/>
      <c r="T291" s="523"/>
      <c r="U291" s="523"/>
      <c r="V291" s="523"/>
      <c r="W291" s="523"/>
      <c r="X291" s="523"/>
      <c r="Y291" s="523"/>
      <c r="Z291" s="523"/>
      <c r="AA291" s="523"/>
      <c r="AB291" s="523"/>
      <c r="AC291" s="523"/>
    </row>
    <row r="292" spans="1:29">
      <c r="A292" s="523"/>
      <c r="B292" s="523"/>
      <c r="C292" s="523"/>
      <c r="D292" s="523"/>
      <c r="E292" s="523"/>
      <c r="F292" s="523"/>
      <c r="G292" s="523"/>
      <c r="H292" s="523"/>
      <c r="I292" s="523"/>
      <c r="J292" s="523"/>
      <c r="K292" s="538"/>
      <c r="L292" s="539"/>
      <c r="M292" s="523"/>
      <c r="N292" s="523"/>
      <c r="O292" s="523"/>
      <c r="P292" s="1789"/>
      <c r="Q292" s="523"/>
      <c r="R292" s="523"/>
      <c r="S292" s="523"/>
      <c r="T292" s="523"/>
      <c r="U292" s="523"/>
      <c r="V292" s="523"/>
      <c r="W292" s="523"/>
      <c r="X292" s="523"/>
      <c r="Y292" s="523"/>
      <c r="Z292" s="523"/>
      <c r="AA292" s="523"/>
      <c r="AB292" s="523"/>
      <c r="AC292" s="523"/>
    </row>
    <row r="293" spans="1:29">
      <c r="A293" s="523"/>
      <c r="B293" s="523"/>
      <c r="C293" s="523"/>
      <c r="D293" s="523"/>
      <c r="E293" s="523"/>
      <c r="F293" s="523"/>
      <c r="G293" s="523"/>
      <c r="H293" s="523"/>
      <c r="I293" s="523"/>
      <c r="J293" s="523"/>
      <c r="K293" s="538"/>
      <c r="L293" s="539"/>
      <c r="M293" s="523"/>
      <c r="N293" s="523"/>
      <c r="O293" s="523"/>
      <c r="P293" s="1789"/>
      <c r="Q293" s="523"/>
      <c r="R293" s="523"/>
      <c r="S293" s="523"/>
      <c r="T293" s="523"/>
      <c r="U293" s="523"/>
      <c r="V293" s="523"/>
      <c r="W293" s="523"/>
      <c r="X293" s="523"/>
      <c r="Y293" s="523"/>
      <c r="Z293" s="523"/>
      <c r="AA293" s="523"/>
      <c r="AB293" s="523"/>
      <c r="AC293" s="523"/>
    </row>
    <row r="294" spans="1:29">
      <c r="A294" s="523"/>
      <c r="B294" s="523"/>
      <c r="C294" s="523"/>
      <c r="D294" s="523"/>
      <c r="E294" s="523"/>
      <c r="F294" s="523"/>
      <c r="G294" s="523"/>
      <c r="H294" s="523"/>
      <c r="I294" s="523"/>
      <c r="J294" s="523"/>
      <c r="K294" s="538"/>
      <c r="L294" s="539"/>
      <c r="M294" s="523"/>
      <c r="N294" s="523"/>
      <c r="O294" s="523"/>
      <c r="P294" s="1789"/>
      <c r="Q294" s="523"/>
      <c r="R294" s="523"/>
      <c r="S294" s="523"/>
      <c r="T294" s="523"/>
      <c r="U294" s="523"/>
      <c r="V294" s="523"/>
      <c r="W294" s="523"/>
      <c r="X294" s="523"/>
      <c r="Y294" s="523"/>
      <c r="Z294" s="523"/>
      <c r="AA294" s="523"/>
      <c r="AB294" s="523"/>
      <c r="AC294" s="523"/>
    </row>
    <row r="295" spans="1:29">
      <c r="A295" s="523"/>
      <c r="B295" s="523"/>
      <c r="C295" s="523"/>
      <c r="D295" s="523"/>
      <c r="E295" s="523"/>
      <c r="F295" s="523"/>
      <c r="G295" s="523"/>
      <c r="H295" s="523"/>
      <c r="I295" s="523"/>
      <c r="J295" s="523"/>
      <c r="K295" s="538"/>
      <c r="L295" s="539"/>
      <c r="M295" s="523"/>
      <c r="N295" s="523"/>
      <c r="O295" s="523"/>
      <c r="P295" s="1789"/>
      <c r="Q295" s="523"/>
      <c r="R295" s="523"/>
      <c r="S295" s="523"/>
      <c r="T295" s="523"/>
      <c r="U295" s="523"/>
      <c r="V295" s="523"/>
      <c r="W295" s="523"/>
      <c r="X295" s="523"/>
      <c r="Y295" s="523"/>
      <c r="Z295" s="523"/>
      <c r="AA295" s="523"/>
      <c r="AB295" s="523"/>
      <c r="AC295" s="523"/>
    </row>
    <row r="296" spans="1:29">
      <c r="A296" s="523"/>
      <c r="B296" s="523"/>
      <c r="C296" s="523"/>
      <c r="D296" s="523"/>
      <c r="E296" s="523"/>
      <c r="F296" s="523"/>
      <c r="G296" s="523"/>
      <c r="H296" s="523"/>
      <c r="I296" s="523"/>
      <c r="J296" s="523"/>
      <c r="K296" s="538"/>
      <c r="L296" s="539"/>
      <c r="M296" s="523"/>
      <c r="N296" s="523"/>
      <c r="O296" s="523"/>
      <c r="P296" s="1789"/>
      <c r="Q296" s="523"/>
      <c r="R296" s="523"/>
      <c r="S296" s="523"/>
      <c r="T296" s="523"/>
      <c r="U296" s="523"/>
      <c r="V296" s="523"/>
      <c r="W296" s="523"/>
      <c r="X296" s="523"/>
      <c r="Y296" s="523"/>
      <c r="Z296" s="523"/>
      <c r="AA296" s="523"/>
      <c r="AB296" s="523"/>
      <c r="AC296" s="523"/>
    </row>
    <row r="297" spans="1:29">
      <c r="A297" s="523"/>
      <c r="B297" s="523"/>
      <c r="C297" s="523"/>
      <c r="D297" s="523"/>
      <c r="E297" s="523"/>
      <c r="F297" s="523"/>
      <c r="G297" s="523"/>
      <c r="H297" s="523"/>
      <c r="I297" s="523"/>
      <c r="J297" s="523"/>
      <c r="K297" s="538"/>
      <c r="L297" s="539"/>
      <c r="M297" s="523"/>
      <c r="N297" s="523"/>
      <c r="O297" s="523"/>
      <c r="P297" s="1789"/>
      <c r="Q297" s="523"/>
      <c r="R297" s="523"/>
      <c r="S297" s="523"/>
      <c r="T297" s="523"/>
      <c r="U297" s="523"/>
      <c r="V297" s="523"/>
      <c r="W297" s="523"/>
      <c r="X297" s="523"/>
      <c r="Y297" s="523"/>
      <c r="Z297" s="523"/>
      <c r="AA297" s="523"/>
      <c r="AB297" s="523"/>
      <c r="AC297" s="523"/>
    </row>
    <row r="298" spans="1:29">
      <c r="A298" s="523"/>
      <c r="B298" s="523"/>
      <c r="C298" s="523"/>
      <c r="D298" s="523"/>
      <c r="E298" s="523"/>
      <c r="F298" s="523"/>
      <c r="G298" s="523"/>
      <c r="H298" s="523"/>
      <c r="I298" s="523"/>
      <c r="J298" s="523"/>
      <c r="K298" s="538"/>
      <c r="L298" s="539"/>
      <c r="M298" s="523"/>
      <c r="N298" s="523"/>
      <c r="O298" s="523"/>
      <c r="P298" s="1789"/>
      <c r="Q298" s="523"/>
      <c r="R298" s="523"/>
      <c r="S298" s="523"/>
      <c r="T298" s="523"/>
      <c r="U298" s="523"/>
      <c r="V298" s="523"/>
      <c r="W298" s="523"/>
      <c r="X298" s="523"/>
      <c r="Y298" s="523"/>
      <c r="Z298" s="523"/>
      <c r="AA298" s="523"/>
      <c r="AB298" s="523"/>
      <c r="AC298" s="523"/>
    </row>
    <row r="299" spans="1:29">
      <c r="A299" s="523"/>
      <c r="B299" s="523"/>
      <c r="C299" s="523"/>
      <c r="D299" s="523"/>
      <c r="E299" s="523"/>
      <c r="F299" s="523"/>
      <c r="G299" s="523"/>
      <c r="H299" s="523"/>
      <c r="I299" s="523"/>
      <c r="J299" s="523"/>
      <c r="K299" s="538"/>
      <c r="L299" s="539"/>
      <c r="M299" s="523"/>
      <c r="N299" s="523"/>
      <c r="O299" s="523"/>
      <c r="P299" s="1789"/>
      <c r="Q299" s="523"/>
      <c r="R299" s="523"/>
      <c r="S299" s="523"/>
      <c r="T299" s="523"/>
      <c r="U299" s="523"/>
      <c r="V299" s="523"/>
      <c r="W299" s="523"/>
      <c r="X299" s="523"/>
      <c r="Y299" s="523"/>
      <c r="Z299" s="523"/>
      <c r="AA299" s="523"/>
      <c r="AB299" s="523"/>
      <c r="AC299" s="523"/>
    </row>
    <row r="300" spans="1:29">
      <c r="A300" s="523"/>
      <c r="B300" s="523"/>
      <c r="C300" s="523"/>
      <c r="D300" s="523"/>
      <c r="E300" s="523"/>
      <c r="F300" s="523"/>
      <c r="G300" s="523"/>
      <c r="H300" s="523"/>
      <c r="I300" s="523"/>
      <c r="J300" s="523"/>
      <c r="K300" s="538"/>
      <c r="L300" s="539"/>
      <c r="M300" s="523"/>
      <c r="N300" s="523"/>
      <c r="O300" s="523"/>
      <c r="P300" s="1789"/>
      <c r="Q300" s="523"/>
      <c r="R300" s="523"/>
      <c r="S300" s="523"/>
      <c r="T300" s="523"/>
      <c r="U300" s="523"/>
      <c r="V300" s="523"/>
      <c r="W300" s="523"/>
      <c r="X300" s="523"/>
      <c r="Y300" s="523"/>
      <c r="Z300" s="523"/>
      <c r="AA300" s="523"/>
      <c r="AB300" s="523"/>
      <c r="AC300" s="523"/>
    </row>
    <row r="301" spans="1:29">
      <c r="A301" s="523"/>
      <c r="B301" s="523"/>
      <c r="C301" s="523"/>
      <c r="D301" s="523"/>
      <c r="E301" s="523"/>
      <c r="F301" s="523"/>
      <c r="G301" s="523"/>
      <c r="H301" s="523"/>
      <c r="I301" s="523"/>
      <c r="J301" s="523"/>
      <c r="K301" s="538"/>
      <c r="L301" s="539"/>
      <c r="M301" s="523"/>
      <c r="N301" s="523"/>
      <c r="O301" s="523"/>
      <c r="P301" s="1789"/>
      <c r="Q301" s="523"/>
      <c r="R301" s="523"/>
      <c r="S301" s="523"/>
      <c r="T301" s="523"/>
      <c r="U301" s="523"/>
      <c r="V301" s="523"/>
      <c r="W301" s="523"/>
      <c r="X301" s="523"/>
      <c r="Y301" s="523"/>
      <c r="Z301" s="523"/>
      <c r="AA301" s="523"/>
      <c r="AB301" s="523"/>
      <c r="AC301" s="523"/>
    </row>
    <row r="302" spans="1:29">
      <c r="A302" s="523"/>
      <c r="B302" s="523"/>
      <c r="C302" s="523"/>
      <c r="D302" s="523"/>
      <c r="E302" s="523"/>
      <c r="F302" s="523"/>
      <c r="G302" s="523"/>
      <c r="H302" s="523"/>
      <c r="I302" s="523"/>
      <c r="J302" s="523"/>
      <c r="K302" s="538"/>
      <c r="L302" s="539"/>
      <c r="M302" s="523"/>
      <c r="N302" s="523"/>
      <c r="O302" s="523"/>
      <c r="P302" s="1789"/>
      <c r="Q302" s="523"/>
      <c r="R302" s="523"/>
      <c r="S302" s="523"/>
      <c r="T302" s="523"/>
      <c r="U302" s="523"/>
      <c r="V302" s="523"/>
      <c r="W302" s="523"/>
      <c r="X302" s="523"/>
      <c r="Y302" s="523"/>
      <c r="Z302" s="523"/>
      <c r="AA302" s="523"/>
      <c r="AB302" s="523"/>
      <c r="AC302" s="523"/>
    </row>
    <row r="303" spans="1:29">
      <c r="A303" s="523"/>
      <c r="B303" s="523"/>
      <c r="C303" s="523"/>
      <c r="D303" s="523"/>
      <c r="E303" s="523"/>
      <c r="F303" s="523"/>
      <c r="G303" s="523"/>
      <c r="H303" s="523"/>
      <c r="I303" s="523"/>
      <c r="J303" s="523"/>
      <c r="K303" s="538"/>
      <c r="L303" s="539"/>
      <c r="M303" s="523"/>
      <c r="N303" s="523"/>
      <c r="O303" s="523"/>
      <c r="P303" s="1789"/>
      <c r="Q303" s="523"/>
      <c r="R303" s="523"/>
      <c r="S303" s="523"/>
      <c r="T303" s="523"/>
      <c r="U303" s="523"/>
      <c r="V303" s="523"/>
      <c r="W303" s="523"/>
      <c r="X303" s="523"/>
      <c r="Y303" s="523"/>
      <c r="Z303" s="523"/>
      <c r="AA303" s="523"/>
      <c r="AB303" s="523"/>
      <c r="AC303" s="523"/>
    </row>
    <row r="304" spans="1:29">
      <c r="A304" s="523"/>
      <c r="B304" s="523"/>
      <c r="C304" s="523"/>
      <c r="D304" s="523"/>
      <c r="E304" s="523"/>
      <c r="F304" s="523"/>
      <c r="G304" s="523"/>
      <c r="H304" s="523"/>
      <c r="I304" s="523"/>
      <c r="J304" s="523"/>
      <c r="K304" s="538"/>
      <c r="L304" s="539"/>
      <c r="M304" s="523"/>
      <c r="N304" s="523"/>
      <c r="O304" s="523"/>
      <c r="P304" s="1789"/>
      <c r="Q304" s="523"/>
      <c r="R304" s="523"/>
      <c r="S304" s="523"/>
      <c r="T304" s="523"/>
      <c r="U304" s="523"/>
      <c r="V304" s="523"/>
      <c r="W304" s="523"/>
      <c r="X304" s="523"/>
      <c r="Y304" s="523"/>
      <c r="Z304" s="523"/>
      <c r="AA304" s="523"/>
      <c r="AB304" s="523"/>
      <c r="AC304" s="523"/>
    </row>
    <row r="305" spans="1:29">
      <c r="A305" s="523"/>
      <c r="B305" s="523"/>
      <c r="C305" s="523"/>
      <c r="D305" s="523"/>
      <c r="E305" s="523"/>
      <c r="F305" s="523"/>
      <c r="G305" s="523"/>
      <c r="H305" s="523"/>
      <c r="I305" s="523"/>
      <c r="J305" s="523"/>
      <c r="K305" s="538"/>
      <c r="L305" s="539"/>
      <c r="M305" s="523"/>
      <c r="N305" s="523"/>
      <c r="O305" s="523"/>
      <c r="P305" s="1789"/>
      <c r="Q305" s="523"/>
      <c r="R305" s="523"/>
      <c r="S305" s="523"/>
      <c r="T305" s="523"/>
      <c r="U305" s="523"/>
      <c r="V305" s="523"/>
      <c r="W305" s="523"/>
      <c r="X305" s="523"/>
      <c r="Y305" s="523"/>
      <c r="Z305" s="523"/>
      <c r="AA305" s="523"/>
      <c r="AB305" s="523"/>
      <c r="AC305" s="523"/>
    </row>
    <row r="306" spans="1:29">
      <c r="A306" s="523"/>
      <c r="B306" s="523"/>
      <c r="C306" s="523"/>
      <c r="D306" s="523"/>
      <c r="E306" s="523"/>
      <c r="F306" s="523"/>
      <c r="G306" s="523"/>
      <c r="H306" s="523"/>
      <c r="I306" s="523"/>
      <c r="J306" s="523"/>
      <c r="K306" s="538"/>
      <c r="L306" s="539"/>
      <c r="M306" s="523"/>
      <c r="N306" s="523"/>
      <c r="O306" s="523"/>
      <c r="P306" s="1789"/>
      <c r="Q306" s="523"/>
      <c r="R306" s="523"/>
      <c r="S306" s="523"/>
      <c r="T306" s="523"/>
      <c r="U306" s="523"/>
      <c r="V306" s="523"/>
      <c r="W306" s="523"/>
      <c r="X306" s="523"/>
      <c r="Y306" s="523"/>
      <c r="Z306" s="523"/>
      <c r="AA306" s="523"/>
      <c r="AB306" s="523"/>
      <c r="AC306" s="523"/>
    </row>
    <row r="307" spans="1:29">
      <c r="A307" s="523"/>
      <c r="B307" s="523"/>
      <c r="C307" s="523"/>
      <c r="D307" s="523"/>
      <c r="E307" s="523"/>
      <c r="F307" s="523"/>
      <c r="G307" s="523"/>
      <c r="H307" s="523"/>
      <c r="I307" s="523"/>
      <c r="J307" s="523"/>
      <c r="K307" s="538"/>
      <c r="L307" s="539"/>
      <c r="M307" s="523"/>
      <c r="N307" s="523"/>
      <c r="O307" s="523"/>
      <c r="P307" s="1789"/>
      <c r="Q307" s="523"/>
      <c r="R307" s="523"/>
      <c r="S307" s="523"/>
      <c r="T307" s="523"/>
      <c r="U307" s="523"/>
      <c r="V307" s="523"/>
      <c r="W307" s="523"/>
      <c r="X307" s="523"/>
      <c r="Y307" s="523"/>
      <c r="Z307" s="523"/>
      <c r="AA307" s="523"/>
      <c r="AB307" s="523"/>
      <c r="AC307" s="523"/>
    </row>
    <row r="308" spans="1:29">
      <c r="A308" s="523"/>
      <c r="B308" s="523"/>
      <c r="C308" s="523"/>
      <c r="D308" s="523"/>
      <c r="E308" s="523"/>
      <c r="F308" s="523"/>
      <c r="G308" s="523"/>
      <c r="H308" s="523"/>
      <c r="I308" s="523"/>
      <c r="J308" s="523"/>
      <c r="K308" s="538"/>
      <c r="L308" s="539"/>
      <c r="M308" s="523"/>
      <c r="N308" s="523"/>
      <c r="O308" s="523"/>
      <c r="P308" s="1789"/>
      <c r="Q308" s="523"/>
      <c r="R308" s="523"/>
      <c r="S308" s="523"/>
      <c r="T308" s="523"/>
      <c r="U308" s="523"/>
      <c r="V308" s="523"/>
      <c r="W308" s="523"/>
      <c r="X308" s="523"/>
      <c r="Y308" s="523"/>
      <c r="Z308" s="523"/>
      <c r="AA308" s="523"/>
      <c r="AB308" s="523"/>
      <c r="AC308" s="523"/>
    </row>
    <row r="309" spans="1:29">
      <c r="A309" s="523"/>
      <c r="B309" s="523"/>
      <c r="C309" s="523"/>
      <c r="D309" s="523"/>
      <c r="E309" s="523"/>
      <c r="F309" s="523"/>
      <c r="G309" s="523"/>
      <c r="H309" s="523"/>
      <c r="I309" s="523"/>
      <c r="J309" s="523"/>
      <c r="K309" s="538"/>
      <c r="L309" s="539"/>
      <c r="M309" s="523"/>
      <c r="N309" s="523"/>
      <c r="O309" s="523"/>
      <c r="P309" s="1789"/>
      <c r="Q309" s="523"/>
      <c r="R309" s="523"/>
      <c r="S309" s="523"/>
      <c r="T309" s="523"/>
      <c r="U309" s="523"/>
      <c r="V309" s="523"/>
      <c r="W309" s="523"/>
      <c r="X309" s="523"/>
      <c r="Y309" s="523"/>
      <c r="Z309" s="523"/>
      <c r="AA309" s="523"/>
      <c r="AB309" s="523"/>
      <c r="AC309" s="523"/>
    </row>
    <row r="310" spans="1:29">
      <c r="A310" s="523"/>
      <c r="B310" s="523"/>
      <c r="C310" s="523"/>
      <c r="D310" s="523"/>
      <c r="E310" s="523"/>
      <c r="F310" s="523"/>
      <c r="G310" s="523"/>
      <c r="H310" s="523"/>
      <c r="I310" s="523"/>
      <c r="J310" s="523"/>
      <c r="K310" s="538"/>
      <c r="L310" s="539"/>
      <c r="M310" s="523"/>
      <c r="N310" s="523"/>
      <c r="O310" s="523"/>
      <c r="P310" s="1789"/>
      <c r="Q310" s="523"/>
      <c r="R310" s="523"/>
      <c r="S310" s="523"/>
      <c r="T310" s="523"/>
      <c r="U310" s="523"/>
      <c r="V310" s="523"/>
      <c r="W310" s="523"/>
      <c r="X310" s="523"/>
      <c r="Y310" s="523"/>
      <c r="Z310" s="523"/>
      <c r="AA310" s="523"/>
      <c r="AB310" s="523"/>
      <c r="AC310" s="523"/>
    </row>
    <row r="311" spans="1:29">
      <c r="A311" s="523"/>
      <c r="B311" s="523"/>
      <c r="C311" s="523"/>
      <c r="D311" s="523"/>
      <c r="E311" s="523"/>
      <c r="F311" s="523"/>
      <c r="G311" s="523"/>
      <c r="H311" s="523"/>
      <c r="I311" s="523"/>
      <c r="J311" s="523"/>
      <c r="K311" s="538"/>
      <c r="L311" s="539"/>
      <c r="M311" s="523"/>
      <c r="N311" s="523"/>
      <c r="O311" s="523"/>
      <c r="P311" s="1789"/>
      <c r="Q311" s="523"/>
      <c r="R311" s="523"/>
      <c r="S311" s="523"/>
      <c r="T311" s="523"/>
      <c r="U311" s="523"/>
      <c r="V311" s="523"/>
      <c r="W311" s="523"/>
      <c r="X311" s="523"/>
      <c r="Y311" s="523"/>
      <c r="Z311" s="523"/>
      <c r="AA311" s="523"/>
      <c r="AB311" s="523"/>
      <c r="AC311" s="523"/>
    </row>
    <row r="312" spans="1:29">
      <c r="A312" s="523"/>
      <c r="B312" s="523"/>
      <c r="C312" s="523"/>
      <c r="D312" s="523"/>
      <c r="E312" s="523"/>
      <c r="F312" s="523"/>
      <c r="G312" s="523"/>
      <c r="H312" s="523"/>
      <c r="I312" s="523"/>
      <c r="J312" s="523"/>
      <c r="K312" s="538"/>
      <c r="L312" s="539"/>
      <c r="M312" s="523"/>
      <c r="N312" s="523"/>
      <c r="O312" s="523"/>
      <c r="P312" s="1789"/>
      <c r="Q312" s="523"/>
      <c r="R312" s="523"/>
      <c r="S312" s="523"/>
      <c r="T312" s="523"/>
      <c r="U312" s="523"/>
      <c r="V312" s="523"/>
      <c r="W312" s="523"/>
      <c r="X312" s="523"/>
      <c r="Y312" s="523"/>
      <c r="Z312" s="523"/>
      <c r="AA312" s="523"/>
      <c r="AB312" s="523"/>
      <c r="AC312" s="523"/>
    </row>
    <row r="313" spans="1:29">
      <c r="A313" s="523"/>
      <c r="B313" s="523"/>
      <c r="C313" s="523"/>
      <c r="D313" s="523"/>
      <c r="E313" s="523"/>
      <c r="F313" s="523"/>
      <c r="G313" s="523"/>
      <c r="H313" s="523"/>
      <c r="I313" s="523"/>
      <c r="J313" s="523"/>
      <c r="K313" s="538"/>
      <c r="L313" s="539"/>
      <c r="M313" s="523"/>
      <c r="N313" s="523"/>
      <c r="O313" s="523"/>
      <c r="P313" s="1789"/>
      <c r="Q313" s="523"/>
      <c r="R313" s="523"/>
      <c r="S313" s="523"/>
      <c r="T313" s="523"/>
      <c r="U313" s="523"/>
      <c r="V313" s="523"/>
      <c r="W313" s="523"/>
      <c r="X313" s="523"/>
      <c r="Y313" s="523"/>
      <c r="Z313" s="523"/>
      <c r="AA313" s="523"/>
      <c r="AB313" s="523"/>
      <c r="AC313" s="523"/>
    </row>
    <row r="314" spans="1:29">
      <c r="A314" s="523"/>
      <c r="B314" s="523"/>
      <c r="C314" s="523"/>
      <c r="D314" s="523"/>
      <c r="E314" s="523"/>
      <c r="F314" s="523"/>
      <c r="G314" s="523"/>
      <c r="H314" s="523"/>
      <c r="I314" s="523"/>
      <c r="J314" s="523"/>
      <c r="K314" s="538"/>
      <c r="L314" s="539"/>
      <c r="M314" s="523"/>
      <c r="N314" s="523"/>
      <c r="O314" s="523"/>
      <c r="P314" s="1789"/>
      <c r="Q314" s="523"/>
      <c r="R314" s="523"/>
      <c r="S314" s="523"/>
      <c r="T314" s="523"/>
      <c r="U314" s="523"/>
      <c r="V314" s="523"/>
      <c r="W314" s="523"/>
      <c r="X314" s="523"/>
      <c r="Y314" s="523"/>
      <c r="Z314" s="523"/>
      <c r="AA314" s="523"/>
      <c r="AB314" s="523"/>
      <c r="AC314" s="523"/>
    </row>
    <row r="315" spans="1:29">
      <c r="A315" s="523"/>
      <c r="B315" s="523"/>
      <c r="C315" s="523"/>
      <c r="D315" s="523"/>
      <c r="E315" s="523"/>
      <c r="F315" s="523"/>
      <c r="G315" s="523"/>
      <c r="H315" s="523"/>
      <c r="I315" s="523"/>
      <c r="J315" s="523"/>
      <c r="K315" s="538"/>
      <c r="L315" s="539"/>
      <c r="M315" s="523"/>
      <c r="N315" s="523"/>
      <c r="O315" s="523"/>
      <c r="P315" s="1789"/>
      <c r="Q315" s="523"/>
      <c r="R315" s="523"/>
      <c r="S315" s="523"/>
      <c r="T315" s="523"/>
      <c r="U315" s="523"/>
      <c r="V315" s="523"/>
      <c r="W315" s="523"/>
      <c r="X315" s="523"/>
      <c r="Y315" s="523"/>
      <c r="Z315" s="523"/>
      <c r="AA315" s="523"/>
      <c r="AB315" s="523"/>
      <c r="AC315" s="523"/>
    </row>
    <row r="316" spans="1:29">
      <c r="A316" s="523"/>
      <c r="B316" s="523"/>
      <c r="C316" s="523"/>
      <c r="D316" s="523"/>
      <c r="E316" s="523"/>
      <c r="F316" s="523"/>
      <c r="G316" s="523"/>
      <c r="H316" s="523"/>
      <c r="I316" s="523"/>
      <c r="J316" s="523"/>
      <c r="K316" s="538"/>
      <c r="L316" s="539"/>
      <c r="M316" s="523"/>
      <c r="N316" s="523"/>
      <c r="O316" s="523"/>
      <c r="P316" s="1789"/>
      <c r="Q316" s="523"/>
      <c r="R316" s="523"/>
      <c r="S316" s="523"/>
      <c r="T316" s="523"/>
      <c r="U316" s="523"/>
      <c r="V316" s="523"/>
      <c r="W316" s="523"/>
      <c r="X316" s="523"/>
      <c r="Y316" s="523"/>
      <c r="Z316" s="523"/>
      <c r="AA316" s="523"/>
      <c r="AB316" s="523"/>
      <c r="AC316" s="523"/>
    </row>
    <row r="317" spans="1:29">
      <c r="A317" s="523"/>
      <c r="B317" s="523"/>
      <c r="C317" s="523"/>
      <c r="D317" s="523"/>
      <c r="E317" s="523"/>
      <c r="F317" s="523"/>
      <c r="G317" s="523"/>
      <c r="H317" s="523"/>
      <c r="I317" s="523"/>
      <c r="J317" s="523"/>
      <c r="K317" s="538"/>
      <c r="L317" s="539"/>
      <c r="M317" s="523"/>
      <c r="N317" s="523"/>
      <c r="O317" s="523"/>
      <c r="P317" s="1789"/>
      <c r="Q317" s="523"/>
      <c r="R317" s="523"/>
      <c r="S317" s="523"/>
      <c r="T317" s="523"/>
      <c r="U317" s="523"/>
      <c r="V317" s="523"/>
      <c r="W317" s="523"/>
      <c r="X317" s="523"/>
      <c r="Y317" s="523"/>
      <c r="Z317" s="523"/>
      <c r="AA317" s="523"/>
      <c r="AB317" s="523"/>
      <c r="AC317" s="523"/>
    </row>
    <row r="318" spans="1:29">
      <c r="A318" s="523"/>
      <c r="B318" s="523"/>
      <c r="C318" s="523"/>
      <c r="D318" s="523"/>
      <c r="E318" s="523"/>
      <c r="F318" s="523"/>
      <c r="G318" s="523"/>
      <c r="H318" s="523"/>
      <c r="I318" s="523"/>
      <c r="J318" s="523"/>
      <c r="K318" s="538"/>
      <c r="L318" s="539"/>
      <c r="M318" s="523"/>
      <c r="N318" s="523"/>
      <c r="O318" s="523"/>
      <c r="P318" s="1789"/>
      <c r="Q318" s="523"/>
      <c r="R318" s="523"/>
      <c r="S318" s="523"/>
      <c r="T318" s="523"/>
      <c r="U318" s="523"/>
      <c r="V318" s="523"/>
      <c r="W318" s="523"/>
      <c r="X318" s="523"/>
      <c r="Y318" s="523"/>
      <c r="Z318" s="523"/>
      <c r="AA318" s="523"/>
      <c r="AB318" s="523"/>
      <c r="AC318" s="523"/>
    </row>
    <row r="319" spans="1:29">
      <c r="A319" s="523"/>
      <c r="B319" s="523"/>
      <c r="C319" s="523"/>
      <c r="D319" s="523"/>
      <c r="E319" s="523"/>
      <c r="F319" s="523"/>
      <c r="G319" s="523"/>
      <c r="H319" s="523"/>
      <c r="I319" s="523"/>
      <c r="J319" s="523"/>
      <c r="K319" s="538"/>
      <c r="L319" s="539"/>
      <c r="M319" s="523"/>
      <c r="N319" s="523"/>
      <c r="O319" s="523"/>
      <c r="P319" s="1789"/>
      <c r="Q319" s="523"/>
      <c r="R319" s="523"/>
      <c r="S319" s="523"/>
      <c r="T319" s="523"/>
      <c r="U319" s="523"/>
      <c r="V319" s="523"/>
      <c r="W319" s="523"/>
      <c r="X319" s="523"/>
      <c r="Y319" s="523"/>
      <c r="Z319" s="523"/>
      <c r="AA319" s="523"/>
      <c r="AB319" s="523"/>
      <c r="AC319" s="523"/>
    </row>
    <row r="320" spans="1:29">
      <c r="A320" s="523"/>
      <c r="B320" s="523"/>
      <c r="C320" s="523"/>
      <c r="D320" s="523"/>
      <c r="E320" s="523"/>
      <c r="F320" s="523"/>
      <c r="G320" s="523"/>
      <c r="H320" s="523"/>
      <c r="I320" s="523"/>
      <c r="J320" s="523"/>
      <c r="K320" s="538"/>
      <c r="L320" s="539"/>
      <c r="M320" s="523"/>
      <c r="N320" s="523"/>
      <c r="O320" s="523"/>
      <c r="P320" s="1789"/>
      <c r="Q320" s="523"/>
      <c r="R320" s="523"/>
      <c r="S320" s="523"/>
      <c r="T320" s="523"/>
      <c r="U320" s="523"/>
      <c r="V320" s="523"/>
      <c r="W320" s="523"/>
      <c r="X320" s="523"/>
      <c r="Y320" s="523"/>
      <c r="Z320" s="523"/>
      <c r="AA320" s="523"/>
      <c r="AB320" s="523"/>
      <c r="AC320" s="523"/>
    </row>
    <row r="321" spans="1:29">
      <c r="A321" s="523"/>
      <c r="B321" s="523"/>
      <c r="C321" s="523"/>
      <c r="D321" s="523"/>
      <c r="E321" s="523"/>
      <c r="F321" s="523"/>
      <c r="G321" s="523"/>
      <c r="H321" s="523"/>
      <c r="I321" s="523"/>
      <c r="J321" s="523"/>
      <c r="K321" s="538"/>
      <c r="L321" s="539"/>
      <c r="M321" s="523"/>
      <c r="N321" s="523"/>
      <c r="O321" s="523"/>
      <c r="P321" s="1789"/>
      <c r="Q321" s="523"/>
      <c r="R321" s="523"/>
      <c r="S321" s="523"/>
      <c r="T321" s="523"/>
      <c r="U321" s="523"/>
      <c r="V321" s="523"/>
      <c r="W321" s="523"/>
      <c r="X321" s="523"/>
      <c r="Y321" s="523"/>
      <c r="Z321" s="523"/>
      <c r="AA321" s="523"/>
      <c r="AB321" s="523"/>
      <c r="AC321" s="523"/>
    </row>
    <row r="322" spans="1:29">
      <c r="A322" s="523"/>
      <c r="B322" s="523"/>
      <c r="C322" s="523"/>
      <c r="D322" s="523"/>
      <c r="E322" s="523"/>
      <c r="F322" s="523"/>
      <c r="G322" s="523"/>
      <c r="H322" s="523"/>
      <c r="I322" s="523"/>
      <c r="J322" s="523"/>
      <c r="K322" s="538"/>
      <c r="L322" s="539"/>
      <c r="M322" s="523"/>
      <c r="N322" s="523"/>
      <c r="O322" s="523"/>
      <c r="P322" s="1789"/>
      <c r="Q322" s="523"/>
      <c r="R322" s="523"/>
      <c r="S322" s="523"/>
      <c r="T322" s="523"/>
      <c r="U322" s="523"/>
      <c r="V322" s="523"/>
      <c r="W322" s="523"/>
      <c r="X322" s="523"/>
      <c r="Y322" s="523"/>
      <c r="Z322" s="523"/>
      <c r="AA322" s="523"/>
      <c r="AB322" s="523"/>
      <c r="AC322" s="523"/>
    </row>
    <row r="323" spans="1:29">
      <c r="A323" s="523"/>
      <c r="B323" s="523"/>
      <c r="C323" s="523"/>
      <c r="D323" s="523"/>
      <c r="E323" s="523"/>
      <c r="F323" s="523"/>
      <c r="G323" s="523"/>
      <c r="H323" s="523"/>
      <c r="I323" s="523"/>
      <c r="J323" s="523"/>
      <c r="K323" s="538"/>
      <c r="L323" s="539"/>
      <c r="M323" s="523"/>
      <c r="N323" s="523"/>
      <c r="O323" s="523"/>
      <c r="P323" s="1789"/>
      <c r="Q323" s="523"/>
      <c r="R323" s="523"/>
      <c r="S323" s="523"/>
      <c r="T323" s="523"/>
      <c r="U323" s="523"/>
      <c r="V323" s="523"/>
      <c r="W323" s="523"/>
      <c r="X323" s="523"/>
      <c r="Y323" s="523"/>
      <c r="Z323" s="523"/>
      <c r="AA323" s="523"/>
      <c r="AB323" s="523"/>
      <c r="AC323" s="523"/>
    </row>
    <row r="324" spans="1:29">
      <c r="A324" s="523"/>
      <c r="B324" s="523"/>
      <c r="C324" s="523"/>
      <c r="D324" s="523"/>
      <c r="E324" s="523"/>
      <c r="F324" s="523"/>
      <c r="G324" s="523"/>
      <c r="H324" s="523"/>
      <c r="I324" s="523"/>
      <c r="J324" s="523"/>
      <c r="K324" s="538"/>
      <c r="L324" s="539"/>
      <c r="M324" s="523"/>
      <c r="N324" s="523"/>
      <c r="O324" s="523"/>
      <c r="P324" s="1789"/>
      <c r="Q324" s="523"/>
      <c r="R324" s="523"/>
      <c r="S324" s="523"/>
      <c r="T324" s="523"/>
      <c r="U324" s="523"/>
      <c r="V324" s="523"/>
      <c r="W324" s="523"/>
      <c r="X324" s="523"/>
      <c r="Y324" s="523"/>
      <c r="Z324" s="523"/>
      <c r="AA324" s="523"/>
      <c r="AB324" s="523"/>
      <c r="AC324" s="523"/>
    </row>
    <row r="325" spans="1:29">
      <c r="A325" s="523"/>
      <c r="B325" s="523"/>
      <c r="C325" s="523"/>
      <c r="D325" s="523"/>
      <c r="E325" s="523"/>
      <c r="F325" s="523"/>
      <c r="G325" s="523"/>
      <c r="H325" s="523"/>
      <c r="I325" s="523"/>
      <c r="J325" s="523"/>
      <c r="K325" s="538"/>
      <c r="L325" s="539"/>
      <c r="M325" s="523"/>
      <c r="N325" s="523"/>
      <c r="O325" s="523"/>
      <c r="P325" s="1789"/>
      <c r="Q325" s="523"/>
      <c r="R325" s="523"/>
      <c r="S325" s="523"/>
      <c r="T325" s="523"/>
      <c r="U325" s="523"/>
      <c r="V325" s="523"/>
      <c r="W325" s="523"/>
      <c r="X325" s="523"/>
      <c r="Y325" s="523"/>
      <c r="Z325" s="523"/>
      <c r="AA325" s="523"/>
      <c r="AB325" s="523"/>
      <c r="AC325" s="523"/>
    </row>
    <row r="326" spans="1:29">
      <c r="A326" s="523"/>
      <c r="B326" s="523"/>
      <c r="C326" s="523"/>
      <c r="D326" s="523"/>
      <c r="E326" s="523"/>
      <c r="F326" s="523"/>
      <c r="G326" s="523"/>
      <c r="H326" s="523"/>
      <c r="I326" s="523"/>
      <c r="J326" s="523"/>
      <c r="K326" s="538"/>
      <c r="L326" s="539"/>
      <c r="M326" s="523"/>
      <c r="N326" s="523"/>
      <c r="O326" s="523"/>
      <c r="P326" s="1789"/>
      <c r="Q326" s="523"/>
      <c r="R326" s="523"/>
      <c r="S326" s="523"/>
      <c r="T326" s="523"/>
      <c r="U326" s="523"/>
      <c r="V326" s="523"/>
      <c r="W326" s="523"/>
      <c r="X326" s="523"/>
      <c r="Y326" s="523"/>
      <c r="Z326" s="523"/>
      <c r="AA326" s="523"/>
      <c r="AB326" s="523"/>
      <c r="AC326" s="523"/>
    </row>
    <row r="327" spans="1:29">
      <c r="A327" s="523"/>
      <c r="B327" s="523"/>
      <c r="C327" s="523"/>
      <c r="D327" s="523"/>
      <c r="E327" s="523"/>
      <c r="F327" s="523"/>
      <c r="G327" s="523"/>
      <c r="H327" s="523"/>
      <c r="I327" s="523"/>
      <c r="J327" s="523"/>
      <c r="K327" s="538"/>
      <c r="L327" s="539"/>
      <c r="M327" s="523"/>
      <c r="N327" s="523"/>
      <c r="O327" s="523"/>
      <c r="P327" s="1789"/>
      <c r="Q327" s="523"/>
      <c r="R327" s="523"/>
      <c r="S327" s="523"/>
      <c r="T327" s="523"/>
      <c r="U327" s="523"/>
      <c r="V327" s="523"/>
      <c r="W327" s="523"/>
      <c r="X327" s="523"/>
      <c r="Y327" s="523"/>
      <c r="Z327" s="523"/>
      <c r="AA327" s="523"/>
      <c r="AB327" s="523"/>
      <c r="AC327" s="523"/>
    </row>
    <row r="328" spans="1:29">
      <c r="A328" s="523"/>
      <c r="B328" s="523"/>
      <c r="C328" s="523"/>
      <c r="D328" s="523"/>
      <c r="E328" s="523"/>
      <c r="F328" s="523"/>
      <c r="G328" s="523"/>
      <c r="H328" s="523"/>
      <c r="I328" s="523"/>
      <c r="J328" s="523"/>
      <c r="K328" s="538"/>
      <c r="L328" s="539"/>
      <c r="M328" s="523"/>
      <c r="N328" s="523"/>
      <c r="O328" s="523"/>
      <c r="P328" s="1789"/>
      <c r="Q328" s="523"/>
      <c r="R328" s="523"/>
      <c r="S328" s="523"/>
      <c r="T328" s="523"/>
      <c r="U328" s="523"/>
      <c r="V328" s="523"/>
      <c r="W328" s="523"/>
      <c r="X328" s="523"/>
      <c r="Y328" s="523"/>
      <c r="Z328" s="523"/>
      <c r="AA328" s="523"/>
      <c r="AB328" s="523"/>
      <c r="AC328" s="523"/>
    </row>
    <row r="329" spans="1:29">
      <c r="A329" s="523"/>
      <c r="B329" s="523"/>
      <c r="C329" s="523"/>
      <c r="D329" s="523"/>
      <c r="E329" s="523"/>
      <c r="F329" s="523"/>
      <c r="G329" s="523"/>
      <c r="H329" s="523"/>
      <c r="I329" s="523"/>
      <c r="J329" s="523"/>
      <c r="K329" s="538"/>
      <c r="L329" s="539"/>
      <c r="M329" s="523"/>
      <c r="N329" s="523"/>
      <c r="O329" s="523"/>
      <c r="P329" s="1789"/>
      <c r="Q329" s="523"/>
      <c r="R329" s="523"/>
      <c r="S329" s="523"/>
      <c r="T329" s="523"/>
      <c r="U329" s="523"/>
      <c r="V329" s="523"/>
      <c r="W329" s="523"/>
      <c r="X329" s="523"/>
      <c r="Y329" s="523"/>
      <c r="Z329" s="523"/>
      <c r="AA329" s="523"/>
      <c r="AB329" s="523"/>
      <c r="AC329" s="523"/>
    </row>
    <row r="330" spans="1:29">
      <c r="A330" s="523"/>
      <c r="B330" s="523"/>
      <c r="C330" s="523"/>
      <c r="D330" s="523"/>
      <c r="E330" s="523"/>
      <c r="F330" s="523"/>
      <c r="G330" s="523"/>
      <c r="H330" s="523"/>
      <c r="I330" s="523"/>
      <c r="J330" s="523"/>
      <c r="K330" s="538"/>
      <c r="L330" s="539"/>
      <c r="M330" s="523"/>
      <c r="N330" s="523"/>
      <c r="O330" s="523"/>
      <c r="P330" s="1789"/>
      <c r="Q330" s="523"/>
      <c r="R330" s="523"/>
      <c r="S330" s="523"/>
      <c r="T330" s="523"/>
      <c r="U330" s="523"/>
      <c r="V330" s="523"/>
      <c r="W330" s="523"/>
      <c r="X330" s="523"/>
      <c r="Y330" s="523"/>
      <c r="Z330" s="523"/>
      <c r="AA330" s="523"/>
      <c r="AB330" s="523"/>
      <c r="AC330" s="523"/>
    </row>
    <row r="331" spans="1:29">
      <c r="A331" s="523"/>
      <c r="B331" s="523"/>
      <c r="C331" s="523"/>
      <c r="D331" s="523"/>
      <c r="E331" s="523"/>
      <c r="F331" s="523"/>
      <c r="G331" s="523"/>
      <c r="H331" s="523"/>
      <c r="I331" s="523"/>
      <c r="J331" s="523"/>
      <c r="K331" s="538"/>
      <c r="L331" s="539"/>
      <c r="M331" s="523"/>
      <c r="N331" s="523"/>
      <c r="O331" s="523"/>
      <c r="P331" s="1789"/>
      <c r="Q331" s="523"/>
      <c r="R331" s="523"/>
      <c r="S331" s="523"/>
      <c r="T331" s="523"/>
      <c r="U331" s="523"/>
      <c r="V331" s="523"/>
      <c r="W331" s="523"/>
      <c r="X331" s="523"/>
      <c r="Y331" s="523"/>
      <c r="Z331" s="523"/>
      <c r="AA331" s="523"/>
      <c r="AB331" s="523"/>
      <c r="AC331" s="523"/>
    </row>
    <row r="332" spans="1:29">
      <c r="A332" s="523"/>
      <c r="B332" s="523"/>
      <c r="C332" s="523"/>
      <c r="D332" s="523"/>
      <c r="E332" s="523"/>
      <c r="F332" s="523"/>
      <c r="G332" s="523"/>
      <c r="H332" s="523"/>
      <c r="I332" s="523"/>
      <c r="J332" s="523"/>
      <c r="K332" s="538"/>
      <c r="L332" s="539"/>
      <c r="M332" s="523"/>
      <c r="N332" s="523"/>
      <c r="O332" s="523"/>
      <c r="P332" s="1789"/>
      <c r="Q332" s="523"/>
      <c r="R332" s="523"/>
      <c r="S332" s="523"/>
      <c r="T332" s="523"/>
      <c r="U332" s="523"/>
      <c r="V332" s="523"/>
      <c r="W332" s="523"/>
      <c r="X332" s="523"/>
      <c r="Y332" s="523"/>
      <c r="Z332" s="523"/>
      <c r="AA332" s="523"/>
      <c r="AB332" s="523"/>
      <c r="AC332" s="523"/>
    </row>
    <row r="333" spans="1:29">
      <c r="A333" s="523"/>
      <c r="B333" s="523"/>
      <c r="C333" s="523"/>
      <c r="D333" s="523"/>
      <c r="E333" s="523"/>
      <c r="F333" s="523"/>
      <c r="G333" s="523"/>
      <c r="H333" s="523"/>
      <c r="I333" s="523"/>
      <c r="J333" s="523"/>
      <c r="K333" s="538"/>
      <c r="L333" s="539"/>
      <c r="M333" s="523"/>
      <c r="N333" s="523"/>
      <c r="O333" s="523"/>
      <c r="P333" s="1789"/>
      <c r="Q333" s="523"/>
      <c r="R333" s="523"/>
      <c r="S333" s="523"/>
      <c r="T333" s="523"/>
      <c r="U333" s="523"/>
      <c r="V333" s="523"/>
      <c r="W333" s="523"/>
      <c r="X333" s="523"/>
      <c r="Y333" s="523"/>
      <c r="Z333" s="523"/>
      <c r="AA333" s="523"/>
      <c r="AB333" s="523"/>
      <c r="AC333" s="523"/>
    </row>
    <row r="334" spans="1:29">
      <c r="A334" s="523"/>
      <c r="B334" s="523"/>
      <c r="C334" s="523"/>
      <c r="D334" s="523"/>
      <c r="E334" s="523"/>
      <c r="F334" s="523"/>
      <c r="G334" s="523"/>
      <c r="H334" s="523"/>
      <c r="I334" s="523"/>
      <c r="J334" s="523"/>
      <c r="K334" s="538"/>
      <c r="L334" s="539"/>
      <c r="M334" s="523"/>
      <c r="N334" s="523"/>
      <c r="O334" s="523"/>
      <c r="P334" s="1789"/>
      <c r="Q334" s="523"/>
      <c r="R334" s="523"/>
      <c r="S334" s="523"/>
      <c r="T334" s="523"/>
      <c r="U334" s="523"/>
      <c r="V334" s="523"/>
      <c r="W334" s="523"/>
      <c r="X334" s="523"/>
      <c r="Y334" s="523"/>
      <c r="Z334" s="523"/>
      <c r="AA334" s="523"/>
      <c r="AB334" s="523"/>
      <c r="AC334" s="523"/>
    </row>
    <row r="335" spans="1:29">
      <c r="A335" s="523"/>
      <c r="B335" s="523"/>
      <c r="C335" s="523"/>
      <c r="D335" s="523"/>
      <c r="E335" s="523"/>
      <c r="F335" s="523"/>
      <c r="G335" s="523"/>
      <c r="H335" s="523"/>
      <c r="I335" s="523"/>
      <c r="J335" s="523"/>
      <c r="K335" s="538"/>
      <c r="L335" s="539"/>
      <c r="M335" s="523"/>
      <c r="N335" s="523"/>
      <c r="O335" s="523"/>
      <c r="P335" s="1789"/>
      <c r="Q335" s="523"/>
      <c r="R335" s="523"/>
      <c r="S335" s="523"/>
      <c r="T335" s="523"/>
      <c r="U335" s="523"/>
      <c r="V335" s="523"/>
      <c r="W335" s="523"/>
      <c r="X335" s="523"/>
      <c r="Y335" s="523"/>
      <c r="Z335" s="523"/>
      <c r="AA335" s="523"/>
      <c r="AB335" s="523"/>
      <c r="AC335" s="523"/>
    </row>
    <row r="336" spans="1:29">
      <c r="A336" s="523"/>
      <c r="B336" s="523"/>
      <c r="C336" s="523"/>
      <c r="D336" s="523"/>
      <c r="E336" s="523"/>
      <c r="F336" s="523"/>
      <c r="G336" s="523"/>
      <c r="H336" s="523"/>
      <c r="I336" s="523"/>
      <c r="J336" s="523"/>
      <c r="K336" s="538"/>
      <c r="L336" s="539"/>
      <c r="M336" s="523"/>
      <c r="N336" s="523"/>
      <c r="O336" s="523"/>
      <c r="P336" s="1789"/>
      <c r="Q336" s="523"/>
      <c r="R336" s="523"/>
      <c r="S336" s="523"/>
      <c r="T336" s="523"/>
      <c r="U336" s="523"/>
      <c r="V336" s="523"/>
      <c r="W336" s="523"/>
      <c r="X336" s="523"/>
      <c r="Y336" s="523"/>
      <c r="Z336" s="523"/>
      <c r="AA336" s="523"/>
      <c r="AB336" s="523"/>
      <c r="AC336" s="523"/>
    </row>
    <row r="337" spans="1:29">
      <c r="A337" s="523"/>
      <c r="B337" s="523"/>
      <c r="C337" s="523"/>
      <c r="D337" s="523"/>
      <c r="E337" s="523"/>
      <c r="F337" s="523"/>
      <c r="G337" s="523"/>
      <c r="H337" s="523"/>
      <c r="I337" s="523"/>
      <c r="J337" s="523"/>
      <c r="K337" s="538"/>
      <c r="L337" s="539"/>
      <c r="M337" s="523"/>
      <c r="N337" s="523"/>
      <c r="O337" s="523"/>
      <c r="P337" s="1789"/>
      <c r="Q337" s="523"/>
      <c r="R337" s="523"/>
      <c r="S337" s="523"/>
      <c r="T337" s="523"/>
      <c r="U337" s="523"/>
      <c r="V337" s="523"/>
      <c r="W337" s="523"/>
      <c r="X337" s="523"/>
      <c r="Y337" s="523"/>
      <c r="Z337" s="523"/>
      <c r="AA337" s="523"/>
      <c r="AB337" s="523"/>
      <c r="AC337" s="523"/>
    </row>
    <row r="338" spans="1:29">
      <c r="A338" s="523"/>
      <c r="B338" s="523"/>
      <c r="C338" s="523"/>
      <c r="D338" s="523"/>
      <c r="E338" s="523"/>
      <c r="F338" s="523"/>
      <c r="G338" s="523"/>
      <c r="H338" s="523"/>
      <c r="I338" s="523"/>
      <c r="J338" s="523"/>
      <c r="K338" s="538"/>
      <c r="L338" s="539"/>
      <c r="M338" s="523"/>
      <c r="N338" s="523"/>
      <c r="O338" s="523"/>
      <c r="P338" s="1789"/>
      <c r="Q338" s="523"/>
      <c r="R338" s="523"/>
      <c r="S338" s="523"/>
      <c r="T338" s="523"/>
      <c r="U338" s="523"/>
      <c r="V338" s="523"/>
      <c r="W338" s="523"/>
      <c r="X338" s="523"/>
      <c r="Y338" s="523"/>
      <c r="Z338" s="523"/>
      <c r="AA338" s="523"/>
      <c r="AB338" s="523"/>
      <c r="AC338" s="523"/>
    </row>
    <row r="339" spans="1:29">
      <c r="A339" s="523"/>
      <c r="B339" s="523"/>
      <c r="C339" s="523"/>
      <c r="D339" s="523"/>
      <c r="E339" s="523"/>
      <c r="F339" s="523"/>
      <c r="G339" s="523"/>
      <c r="H339" s="523"/>
      <c r="I339" s="523"/>
      <c r="J339" s="523"/>
      <c r="K339" s="538"/>
      <c r="L339" s="539"/>
      <c r="M339" s="523"/>
      <c r="N339" s="523"/>
      <c r="O339" s="523"/>
      <c r="P339" s="1789"/>
      <c r="Q339" s="523"/>
      <c r="R339" s="523"/>
      <c r="S339" s="523"/>
      <c r="T339" s="523"/>
      <c r="U339" s="523"/>
      <c r="V339" s="523"/>
      <c r="W339" s="523"/>
      <c r="X339" s="523"/>
      <c r="Y339" s="523"/>
      <c r="Z339" s="523"/>
      <c r="AA339" s="523"/>
      <c r="AB339" s="523"/>
      <c r="AC339" s="523"/>
    </row>
    <row r="340" spans="1:29">
      <c r="A340" s="523"/>
      <c r="B340" s="523"/>
      <c r="C340" s="523"/>
      <c r="D340" s="523"/>
      <c r="E340" s="523"/>
      <c r="F340" s="523"/>
      <c r="G340" s="523"/>
      <c r="H340" s="523"/>
      <c r="I340" s="523"/>
      <c r="J340" s="523"/>
      <c r="K340" s="538"/>
      <c r="L340" s="539"/>
      <c r="M340" s="523"/>
      <c r="N340" s="523"/>
      <c r="O340" s="523"/>
      <c r="P340" s="1789"/>
      <c r="Q340" s="523"/>
      <c r="R340" s="523"/>
      <c r="S340" s="523"/>
      <c r="T340" s="523"/>
      <c r="U340" s="523"/>
      <c r="V340" s="523"/>
      <c r="W340" s="523"/>
      <c r="X340" s="523"/>
      <c r="Y340" s="523"/>
      <c r="Z340" s="523"/>
      <c r="AA340" s="523"/>
      <c r="AB340" s="523"/>
      <c r="AC340" s="523"/>
    </row>
    <row r="341" spans="1:29">
      <c r="A341" s="523"/>
      <c r="B341" s="523"/>
      <c r="C341" s="523"/>
      <c r="D341" s="523"/>
      <c r="E341" s="523"/>
      <c r="F341" s="523"/>
      <c r="G341" s="523"/>
      <c r="H341" s="523"/>
      <c r="I341" s="523"/>
      <c r="J341" s="523"/>
      <c r="K341" s="538"/>
      <c r="L341" s="539"/>
      <c r="M341" s="523"/>
      <c r="N341" s="523"/>
      <c r="O341" s="523"/>
      <c r="P341" s="1789"/>
      <c r="Q341" s="523"/>
      <c r="R341" s="523"/>
      <c r="S341" s="523"/>
      <c r="T341" s="523"/>
      <c r="U341" s="523"/>
      <c r="V341" s="523"/>
      <c r="W341" s="523"/>
      <c r="X341" s="523"/>
      <c r="Y341" s="523"/>
      <c r="Z341" s="523"/>
      <c r="AA341" s="523"/>
      <c r="AB341" s="523"/>
      <c r="AC341" s="523"/>
    </row>
    <row r="342" spans="1:29">
      <c r="A342" s="523"/>
      <c r="B342" s="523"/>
      <c r="C342" s="523"/>
      <c r="D342" s="523"/>
      <c r="E342" s="523"/>
      <c r="F342" s="523"/>
      <c r="G342" s="523"/>
      <c r="H342" s="523"/>
      <c r="I342" s="523"/>
      <c r="J342" s="523"/>
      <c r="K342" s="538"/>
      <c r="L342" s="539"/>
      <c r="M342" s="523"/>
      <c r="N342" s="523"/>
      <c r="O342" s="523"/>
      <c r="P342" s="1789"/>
      <c r="Q342" s="523"/>
      <c r="R342" s="523"/>
      <c r="S342" s="523"/>
      <c r="T342" s="523"/>
      <c r="U342" s="523"/>
      <c r="V342" s="523"/>
      <c r="W342" s="523"/>
      <c r="X342" s="523"/>
      <c r="Y342" s="523"/>
      <c r="Z342" s="523"/>
      <c r="AA342" s="523"/>
      <c r="AB342" s="523"/>
      <c r="AC342" s="523"/>
    </row>
    <row r="343" spans="1:29">
      <c r="A343" s="523"/>
      <c r="B343" s="523"/>
      <c r="C343" s="523"/>
      <c r="D343" s="523"/>
      <c r="E343" s="523"/>
      <c r="F343" s="523"/>
      <c r="G343" s="523"/>
      <c r="H343" s="523"/>
      <c r="I343" s="523"/>
      <c r="J343" s="523"/>
      <c r="K343" s="538"/>
      <c r="L343" s="539"/>
      <c r="M343" s="523"/>
      <c r="N343" s="523"/>
      <c r="O343" s="523"/>
      <c r="P343" s="1789"/>
      <c r="Q343" s="523"/>
      <c r="R343" s="523"/>
      <c r="S343" s="523"/>
      <c r="T343" s="523"/>
      <c r="U343" s="523"/>
      <c r="V343" s="523"/>
      <c r="W343" s="523"/>
      <c r="X343" s="523"/>
      <c r="Y343" s="523"/>
      <c r="Z343" s="523"/>
      <c r="AA343" s="523"/>
      <c r="AB343" s="523"/>
      <c r="AC343" s="523"/>
    </row>
    <row r="344" spans="1:29">
      <c r="A344" s="523"/>
      <c r="B344" s="523"/>
      <c r="C344" s="523"/>
      <c r="D344" s="523"/>
      <c r="E344" s="523"/>
      <c r="F344" s="523"/>
      <c r="G344" s="523"/>
      <c r="H344" s="523"/>
      <c r="I344" s="523"/>
      <c r="J344" s="523"/>
      <c r="K344" s="538"/>
      <c r="L344" s="539"/>
      <c r="M344" s="523"/>
      <c r="N344" s="523"/>
      <c r="O344" s="523"/>
      <c r="P344" s="1789"/>
      <c r="Q344" s="523"/>
      <c r="R344" s="523"/>
      <c r="S344" s="523"/>
      <c r="T344" s="523"/>
      <c r="U344" s="523"/>
      <c r="V344" s="523"/>
      <c r="W344" s="523"/>
      <c r="X344" s="523"/>
      <c r="Y344" s="523"/>
      <c r="Z344" s="523"/>
      <c r="AA344" s="523"/>
      <c r="AB344" s="523"/>
      <c r="AC344" s="523"/>
    </row>
    <row r="345" spans="1:29">
      <c r="A345" s="523"/>
      <c r="B345" s="523"/>
      <c r="C345" s="523"/>
      <c r="D345" s="523"/>
      <c r="E345" s="523"/>
      <c r="F345" s="523"/>
      <c r="G345" s="523"/>
      <c r="H345" s="523"/>
      <c r="I345" s="523"/>
      <c r="J345" s="523"/>
      <c r="K345" s="538"/>
      <c r="L345" s="539"/>
      <c r="M345" s="523"/>
      <c r="N345" s="523"/>
      <c r="O345" s="523"/>
      <c r="P345" s="1789"/>
      <c r="Q345" s="523"/>
      <c r="R345" s="523"/>
      <c r="S345" s="523"/>
      <c r="T345" s="523"/>
      <c r="U345" s="523"/>
      <c r="V345" s="523"/>
      <c r="W345" s="523"/>
      <c r="X345" s="523"/>
      <c r="Y345" s="523"/>
      <c r="Z345" s="523"/>
      <c r="AA345" s="523"/>
      <c r="AB345" s="523"/>
      <c r="AC345" s="523"/>
    </row>
    <row r="346" spans="1:29">
      <c r="A346" s="523"/>
      <c r="B346" s="523"/>
      <c r="C346" s="523"/>
      <c r="D346" s="523"/>
      <c r="E346" s="523"/>
      <c r="F346" s="523"/>
      <c r="G346" s="523"/>
      <c r="H346" s="523"/>
      <c r="I346" s="523"/>
      <c r="J346" s="523"/>
      <c r="K346" s="538"/>
      <c r="L346" s="539"/>
      <c r="M346" s="523"/>
      <c r="N346" s="523"/>
      <c r="O346" s="523"/>
      <c r="P346" s="1789"/>
      <c r="Q346" s="523"/>
      <c r="R346" s="523"/>
      <c r="S346" s="523"/>
      <c r="T346" s="523"/>
      <c r="U346" s="523"/>
      <c r="V346" s="523"/>
      <c r="W346" s="523"/>
      <c r="X346" s="523"/>
      <c r="Y346" s="523"/>
      <c r="Z346" s="523"/>
      <c r="AA346" s="523"/>
      <c r="AB346" s="523"/>
      <c r="AC346" s="523"/>
    </row>
    <row r="347" spans="1:29">
      <c r="A347" s="523"/>
      <c r="B347" s="523"/>
      <c r="C347" s="523"/>
      <c r="D347" s="523"/>
      <c r="E347" s="523"/>
      <c r="F347" s="523"/>
      <c r="G347" s="523"/>
      <c r="H347" s="523"/>
      <c r="I347" s="523"/>
      <c r="J347" s="523"/>
      <c r="K347" s="538"/>
      <c r="L347" s="539"/>
      <c r="M347" s="523"/>
      <c r="N347" s="523"/>
      <c r="O347" s="523"/>
      <c r="P347" s="1789"/>
      <c r="Q347" s="523"/>
      <c r="R347" s="523"/>
      <c r="S347" s="523"/>
      <c r="T347" s="523"/>
      <c r="U347" s="523"/>
      <c r="V347" s="523"/>
      <c r="W347" s="523"/>
      <c r="X347" s="523"/>
      <c r="Y347" s="523"/>
      <c r="Z347" s="523"/>
      <c r="AA347" s="523"/>
      <c r="AB347" s="523"/>
      <c r="AC347" s="523"/>
    </row>
    <row r="348" spans="1:29">
      <c r="A348" s="523"/>
      <c r="B348" s="523"/>
      <c r="C348" s="523"/>
      <c r="D348" s="523"/>
      <c r="E348" s="523"/>
      <c r="F348" s="523"/>
      <c r="G348" s="523"/>
      <c r="H348" s="523"/>
      <c r="I348" s="523"/>
      <c r="J348" s="523"/>
      <c r="K348" s="538"/>
      <c r="L348" s="539"/>
      <c r="M348" s="523"/>
      <c r="N348" s="523"/>
      <c r="O348" s="523"/>
      <c r="P348" s="1789"/>
      <c r="Q348" s="523"/>
      <c r="R348" s="523"/>
      <c r="S348" s="523"/>
      <c r="T348" s="523"/>
      <c r="U348" s="523"/>
      <c r="V348" s="523"/>
      <c r="W348" s="523"/>
      <c r="X348" s="523"/>
      <c r="Y348" s="523"/>
      <c r="Z348" s="523"/>
      <c r="AA348" s="523"/>
      <c r="AB348" s="523"/>
      <c r="AC348" s="523"/>
    </row>
    <row r="349" spans="1:29">
      <c r="A349" s="523"/>
      <c r="B349" s="523"/>
      <c r="C349" s="523"/>
      <c r="D349" s="523"/>
      <c r="E349" s="523"/>
      <c r="F349" s="523"/>
      <c r="G349" s="523"/>
      <c r="H349" s="523"/>
      <c r="I349" s="523"/>
      <c r="J349" s="523"/>
      <c r="K349" s="538"/>
      <c r="L349" s="539"/>
      <c r="M349" s="523"/>
      <c r="N349" s="523"/>
      <c r="O349" s="523"/>
      <c r="P349" s="1789"/>
      <c r="Q349" s="523"/>
      <c r="R349" s="523"/>
      <c r="S349" s="523"/>
      <c r="T349" s="523"/>
      <c r="U349" s="523"/>
      <c r="V349" s="523"/>
      <c r="W349" s="523"/>
      <c r="X349" s="523"/>
      <c r="Y349" s="523"/>
      <c r="Z349" s="523"/>
      <c r="AA349" s="523"/>
      <c r="AB349" s="523"/>
      <c r="AC349" s="523"/>
    </row>
    <row r="350" spans="1:29">
      <c r="A350" s="523"/>
      <c r="B350" s="523"/>
      <c r="C350" s="523"/>
      <c r="D350" s="523"/>
      <c r="E350" s="523"/>
      <c r="F350" s="523"/>
      <c r="G350" s="523"/>
      <c r="H350" s="523"/>
      <c r="I350" s="523"/>
      <c r="J350" s="523"/>
      <c r="K350" s="538"/>
      <c r="L350" s="539"/>
      <c r="M350" s="523"/>
      <c r="N350" s="523"/>
      <c r="O350" s="523"/>
      <c r="P350" s="1789"/>
      <c r="Q350" s="523"/>
      <c r="R350" s="523"/>
      <c r="S350" s="523"/>
      <c r="T350" s="523"/>
      <c r="U350" s="523"/>
      <c r="V350" s="523"/>
      <c r="W350" s="523"/>
      <c r="X350" s="523"/>
      <c r="Y350" s="523"/>
      <c r="Z350" s="523"/>
      <c r="AA350" s="523"/>
      <c r="AB350" s="523"/>
      <c r="AC350" s="523"/>
    </row>
    <row r="351" spans="1:29">
      <c r="A351" s="523"/>
      <c r="B351" s="523"/>
      <c r="C351" s="523"/>
      <c r="D351" s="523"/>
      <c r="E351" s="523"/>
      <c r="F351" s="523"/>
      <c r="G351" s="523"/>
      <c r="H351" s="523"/>
      <c r="I351" s="523"/>
      <c r="J351" s="523"/>
      <c r="K351" s="538"/>
      <c r="L351" s="539"/>
      <c r="M351" s="523"/>
      <c r="N351" s="523"/>
      <c r="O351" s="523"/>
      <c r="P351" s="1789"/>
      <c r="Q351" s="523"/>
      <c r="R351" s="523"/>
      <c r="S351" s="523"/>
      <c r="T351" s="523"/>
      <c r="U351" s="523"/>
      <c r="V351" s="523"/>
      <c r="W351" s="523"/>
      <c r="X351" s="523"/>
      <c r="Y351" s="523"/>
      <c r="Z351" s="523"/>
      <c r="AA351" s="523"/>
      <c r="AB351" s="523"/>
      <c r="AC351" s="523"/>
    </row>
    <row r="352" spans="1:29">
      <c r="A352" s="523"/>
      <c r="B352" s="523"/>
      <c r="C352" s="523"/>
      <c r="D352" s="523"/>
      <c r="E352" s="523"/>
      <c r="F352" s="523"/>
      <c r="G352" s="523"/>
      <c r="H352" s="523"/>
      <c r="I352" s="523"/>
      <c r="J352" s="523"/>
      <c r="K352" s="538"/>
      <c r="L352" s="539"/>
      <c r="M352" s="523"/>
      <c r="N352" s="523"/>
      <c r="O352" s="523"/>
      <c r="P352" s="1789"/>
      <c r="Q352" s="523"/>
      <c r="R352" s="523"/>
      <c r="S352" s="523"/>
      <c r="T352" s="523"/>
      <c r="U352" s="523"/>
      <c r="V352" s="523"/>
      <c r="W352" s="523"/>
      <c r="X352" s="523"/>
      <c r="Y352" s="523"/>
      <c r="Z352" s="523"/>
      <c r="AA352" s="523"/>
      <c r="AB352" s="523"/>
      <c r="AC352" s="523"/>
    </row>
    <row r="353" spans="1:29">
      <c r="A353" s="523"/>
      <c r="B353" s="523"/>
      <c r="C353" s="523"/>
      <c r="D353" s="523"/>
      <c r="E353" s="523"/>
      <c r="F353" s="523"/>
      <c r="G353" s="523"/>
      <c r="H353" s="523"/>
      <c r="I353" s="523"/>
      <c r="J353" s="523"/>
      <c r="K353" s="538"/>
      <c r="L353" s="539"/>
      <c r="M353" s="523"/>
      <c r="N353" s="523"/>
      <c r="O353" s="523"/>
      <c r="P353" s="1789"/>
      <c r="Q353" s="523"/>
      <c r="R353" s="523"/>
      <c r="S353" s="523"/>
      <c r="T353" s="523"/>
      <c r="U353" s="523"/>
      <c r="V353" s="523"/>
      <c r="W353" s="523"/>
      <c r="X353" s="523"/>
      <c r="Y353" s="523"/>
      <c r="Z353" s="523"/>
      <c r="AA353" s="523"/>
      <c r="AB353" s="523"/>
      <c r="AC353" s="523"/>
    </row>
    <row r="354" spans="1:29">
      <c r="A354" s="523"/>
      <c r="B354" s="523"/>
      <c r="C354" s="523"/>
      <c r="D354" s="523"/>
      <c r="E354" s="523"/>
      <c r="F354" s="523"/>
      <c r="G354" s="523"/>
      <c r="H354" s="523"/>
      <c r="I354" s="523"/>
      <c r="J354" s="523"/>
      <c r="K354" s="538"/>
      <c r="L354" s="539"/>
      <c r="M354" s="523"/>
      <c r="N354" s="523"/>
      <c r="O354" s="523"/>
      <c r="P354" s="1789"/>
      <c r="Q354" s="523"/>
      <c r="R354" s="523"/>
      <c r="S354" s="523"/>
      <c r="T354" s="523"/>
      <c r="U354" s="523"/>
      <c r="V354" s="523"/>
      <c r="W354" s="523"/>
      <c r="X354" s="523"/>
      <c r="Y354" s="523"/>
      <c r="Z354" s="523"/>
      <c r="AA354" s="523"/>
      <c r="AB354" s="523"/>
      <c r="AC354" s="523"/>
    </row>
    <row r="355" spans="1:29">
      <c r="A355" s="523"/>
      <c r="B355" s="523"/>
      <c r="C355" s="523"/>
      <c r="D355" s="523"/>
      <c r="E355" s="523"/>
      <c r="F355" s="523"/>
      <c r="G355" s="523"/>
      <c r="H355" s="523"/>
      <c r="I355" s="523"/>
      <c r="J355" s="523"/>
      <c r="K355" s="538"/>
      <c r="L355" s="539"/>
      <c r="M355" s="523"/>
      <c r="N355" s="523"/>
      <c r="O355" s="523"/>
      <c r="P355" s="1789"/>
      <c r="Q355" s="523"/>
      <c r="R355" s="523"/>
      <c r="S355" s="523"/>
      <c r="T355" s="523"/>
      <c r="U355" s="523"/>
      <c r="V355" s="523"/>
      <c r="W355" s="523"/>
      <c r="X355" s="523"/>
      <c r="Y355" s="523"/>
      <c r="Z355" s="523"/>
      <c r="AA355" s="523"/>
      <c r="AB355" s="523"/>
      <c r="AC355" s="523"/>
    </row>
    <row r="356" spans="1:29">
      <c r="A356" s="523"/>
      <c r="B356" s="523"/>
      <c r="C356" s="523"/>
      <c r="D356" s="523"/>
      <c r="E356" s="523"/>
      <c r="F356" s="523"/>
      <c r="G356" s="523"/>
      <c r="H356" s="523"/>
      <c r="I356" s="523"/>
      <c r="J356" s="523"/>
      <c r="K356" s="538"/>
      <c r="L356" s="539"/>
      <c r="M356" s="523"/>
      <c r="N356" s="523"/>
      <c r="O356" s="523"/>
      <c r="P356" s="1789"/>
      <c r="Q356" s="523"/>
      <c r="R356" s="523"/>
      <c r="S356" s="523"/>
      <c r="T356" s="523"/>
      <c r="U356" s="523"/>
      <c r="V356" s="523"/>
      <c r="W356" s="523"/>
      <c r="X356" s="523"/>
      <c r="Y356" s="523"/>
      <c r="Z356" s="523"/>
      <c r="AA356" s="523"/>
      <c r="AB356" s="523"/>
      <c r="AC356" s="523"/>
    </row>
    <row r="357" spans="1:29">
      <c r="A357" s="523"/>
      <c r="B357" s="523"/>
      <c r="C357" s="523"/>
      <c r="D357" s="523"/>
      <c r="E357" s="523"/>
      <c r="F357" s="523"/>
      <c r="G357" s="523"/>
      <c r="H357" s="523"/>
      <c r="I357" s="523"/>
      <c r="J357" s="523"/>
      <c r="K357" s="538"/>
      <c r="L357" s="539"/>
      <c r="M357" s="523"/>
      <c r="N357" s="523"/>
      <c r="O357" s="523"/>
      <c r="P357" s="1789"/>
      <c r="Q357" s="523"/>
      <c r="R357" s="523"/>
      <c r="S357" s="523"/>
      <c r="T357" s="523"/>
      <c r="U357" s="523"/>
      <c r="V357" s="523"/>
      <c r="W357" s="523"/>
      <c r="X357" s="523"/>
      <c r="Y357" s="523"/>
      <c r="Z357" s="523"/>
      <c r="AA357" s="523"/>
      <c r="AB357" s="523"/>
      <c r="AC357" s="523"/>
    </row>
    <row r="358" spans="1:29">
      <c r="A358" s="523"/>
      <c r="B358" s="523"/>
      <c r="C358" s="523"/>
      <c r="D358" s="523"/>
      <c r="E358" s="523"/>
      <c r="F358" s="523"/>
      <c r="G358" s="523"/>
      <c r="H358" s="523"/>
      <c r="I358" s="523"/>
      <c r="J358" s="523"/>
      <c r="K358" s="538"/>
      <c r="L358" s="539"/>
      <c r="M358" s="523"/>
      <c r="N358" s="523"/>
      <c r="O358" s="523"/>
      <c r="P358" s="1789"/>
      <c r="Q358" s="523"/>
      <c r="R358" s="523"/>
      <c r="S358" s="523"/>
      <c r="T358" s="523"/>
      <c r="U358" s="523"/>
      <c r="V358" s="523"/>
      <c r="W358" s="523"/>
      <c r="X358" s="523"/>
      <c r="Y358" s="523"/>
      <c r="Z358" s="523"/>
      <c r="AA358" s="523"/>
      <c r="AB358" s="523"/>
      <c r="AC358" s="523"/>
    </row>
    <row r="359" spans="1:29">
      <c r="A359" s="523"/>
      <c r="B359" s="523"/>
      <c r="C359" s="523"/>
      <c r="D359" s="523"/>
      <c r="E359" s="523"/>
      <c r="F359" s="523"/>
      <c r="G359" s="523"/>
      <c r="H359" s="523"/>
      <c r="I359" s="523"/>
      <c r="J359" s="523"/>
      <c r="K359" s="538"/>
      <c r="L359" s="539"/>
      <c r="M359" s="523"/>
      <c r="N359" s="523"/>
      <c r="O359" s="523"/>
      <c r="P359" s="1789"/>
      <c r="Q359" s="523"/>
      <c r="R359" s="523"/>
      <c r="S359" s="523"/>
      <c r="T359" s="523"/>
      <c r="U359" s="523"/>
      <c r="V359" s="523"/>
      <c r="W359" s="523"/>
      <c r="X359" s="523"/>
      <c r="Y359" s="523"/>
      <c r="Z359" s="523"/>
      <c r="AA359" s="523"/>
      <c r="AB359" s="523"/>
      <c r="AC359" s="523"/>
    </row>
    <row r="360" spans="1:29">
      <c r="A360" s="523"/>
      <c r="B360" s="523"/>
      <c r="C360" s="523"/>
      <c r="D360" s="523"/>
      <c r="E360" s="523"/>
      <c r="F360" s="523"/>
      <c r="G360" s="523"/>
      <c r="H360" s="523"/>
      <c r="I360" s="523"/>
      <c r="J360" s="523"/>
      <c r="K360" s="538"/>
      <c r="L360" s="539"/>
      <c r="M360" s="523"/>
      <c r="N360" s="523"/>
      <c r="O360" s="523"/>
      <c r="P360" s="1789"/>
      <c r="Q360" s="523"/>
      <c r="R360" s="523"/>
      <c r="S360" s="523"/>
      <c r="T360" s="523"/>
      <c r="U360" s="523"/>
      <c r="V360" s="523"/>
      <c r="W360" s="523"/>
      <c r="X360" s="523"/>
      <c r="Y360" s="523"/>
      <c r="Z360" s="523"/>
      <c r="AA360" s="523"/>
      <c r="AB360" s="523"/>
      <c r="AC360" s="523"/>
    </row>
    <row r="361" spans="1:29">
      <c r="A361" s="523"/>
      <c r="B361" s="523"/>
      <c r="C361" s="523"/>
      <c r="D361" s="523"/>
      <c r="E361" s="523"/>
      <c r="F361" s="523"/>
      <c r="G361" s="523"/>
      <c r="H361" s="523"/>
      <c r="I361" s="523"/>
      <c r="J361" s="523"/>
      <c r="K361" s="538"/>
      <c r="L361" s="539"/>
      <c r="M361" s="523"/>
      <c r="N361" s="523"/>
      <c r="O361" s="523"/>
      <c r="P361" s="1789"/>
      <c r="Q361" s="523"/>
      <c r="R361" s="523"/>
      <c r="S361" s="523"/>
      <c r="T361" s="523"/>
      <c r="U361" s="523"/>
      <c r="V361" s="523"/>
      <c r="W361" s="523"/>
      <c r="X361" s="523"/>
      <c r="Y361" s="523"/>
      <c r="Z361" s="523"/>
      <c r="AA361" s="523"/>
      <c r="AB361" s="523"/>
      <c r="AC361" s="523"/>
    </row>
    <row r="362" spans="1:29">
      <c r="A362" s="523"/>
      <c r="B362" s="523"/>
      <c r="C362" s="523"/>
      <c r="D362" s="523"/>
      <c r="E362" s="523"/>
      <c r="F362" s="523"/>
      <c r="G362" s="523"/>
      <c r="H362" s="523"/>
      <c r="I362" s="523"/>
      <c r="J362" s="523"/>
      <c r="K362" s="538"/>
      <c r="L362" s="539"/>
      <c r="M362" s="523"/>
      <c r="N362" s="523"/>
      <c r="O362" s="523"/>
      <c r="P362" s="1789"/>
      <c r="Q362" s="523"/>
      <c r="R362" s="523"/>
      <c r="S362" s="523"/>
      <c r="T362" s="523"/>
      <c r="U362" s="523"/>
      <c r="V362" s="523"/>
      <c r="W362" s="523"/>
      <c r="X362" s="523"/>
      <c r="Y362" s="523"/>
      <c r="Z362" s="523"/>
      <c r="AA362" s="523"/>
      <c r="AB362" s="523"/>
      <c r="AC362" s="523"/>
    </row>
    <row r="363" spans="1:29">
      <c r="A363" s="523"/>
      <c r="B363" s="523"/>
      <c r="C363" s="523"/>
      <c r="D363" s="523"/>
      <c r="E363" s="523"/>
      <c r="F363" s="523"/>
      <c r="G363" s="523"/>
      <c r="H363" s="523"/>
      <c r="I363" s="523"/>
      <c r="J363" s="523"/>
      <c r="K363" s="538"/>
      <c r="L363" s="539"/>
      <c r="M363" s="523"/>
      <c r="N363" s="523"/>
      <c r="O363" s="523"/>
      <c r="P363" s="1789"/>
      <c r="Q363" s="523"/>
      <c r="R363" s="523"/>
      <c r="S363" s="523"/>
      <c r="T363" s="523"/>
      <c r="U363" s="523"/>
      <c r="V363" s="523"/>
      <c r="W363" s="523"/>
      <c r="X363" s="523"/>
      <c r="Y363" s="523"/>
      <c r="Z363" s="523"/>
      <c r="AA363" s="523"/>
      <c r="AB363" s="523"/>
      <c r="AC363" s="523"/>
    </row>
    <row r="364" spans="1:29">
      <c r="A364" s="523"/>
      <c r="B364" s="523"/>
      <c r="C364" s="523"/>
      <c r="D364" s="523"/>
      <c r="E364" s="523"/>
      <c r="F364" s="523"/>
      <c r="G364" s="523"/>
      <c r="H364" s="523"/>
      <c r="I364" s="523"/>
      <c r="J364" s="523"/>
      <c r="K364" s="538"/>
      <c r="L364" s="539"/>
      <c r="M364" s="523"/>
      <c r="N364" s="523"/>
      <c r="O364" s="523"/>
      <c r="P364" s="1789"/>
      <c r="Q364" s="523"/>
      <c r="R364" s="523"/>
      <c r="S364" s="523"/>
      <c r="T364" s="523"/>
      <c r="U364" s="523"/>
      <c r="V364" s="523"/>
      <c r="W364" s="523"/>
      <c r="X364" s="523"/>
      <c r="Y364" s="523"/>
      <c r="Z364" s="523"/>
      <c r="AA364" s="523"/>
      <c r="AB364" s="523"/>
      <c r="AC364" s="523"/>
    </row>
    <row r="365" spans="1:29">
      <c r="A365" s="523"/>
      <c r="B365" s="523"/>
      <c r="C365" s="523"/>
      <c r="D365" s="523"/>
      <c r="E365" s="523"/>
      <c r="F365" s="523"/>
      <c r="G365" s="523"/>
      <c r="H365" s="523"/>
      <c r="I365" s="523"/>
      <c r="J365" s="523"/>
      <c r="K365" s="538"/>
      <c r="L365" s="539"/>
      <c r="M365" s="523"/>
      <c r="N365" s="523"/>
      <c r="O365" s="523"/>
      <c r="P365" s="1789"/>
      <c r="Q365" s="523"/>
      <c r="R365" s="523"/>
      <c r="S365" s="523"/>
      <c r="T365" s="523"/>
      <c r="U365" s="523"/>
      <c r="V365" s="523"/>
      <c r="W365" s="523"/>
      <c r="X365" s="523"/>
      <c r="Y365" s="523"/>
      <c r="Z365" s="523"/>
      <c r="AA365" s="523"/>
      <c r="AB365" s="523"/>
      <c r="AC365" s="523"/>
    </row>
    <row r="366" spans="1:29">
      <c r="A366" s="523"/>
      <c r="B366" s="523"/>
      <c r="C366" s="523"/>
      <c r="D366" s="523"/>
      <c r="E366" s="523"/>
      <c r="F366" s="523"/>
      <c r="G366" s="523"/>
      <c r="H366" s="523"/>
      <c r="I366" s="523"/>
      <c r="J366" s="523"/>
      <c r="K366" s="538"/>
      <c r="L366" s="539"/>
      <c r="M366" s="523"/>
      <c r="N366" s="523"/>
      <c r="O366" s="523"/>
      <c r="P366" s="1789"/>
      <c r="Q366" s="523"/>
      <c r="R366" s="523"/>
      <c r="S366" s="523"/>
      <c r="T366" s="523"/>
      <c r="U366" s="523"/>
      <c r="V366" s="523"/>
      <c r="W366" s="523"/>
      <c r="X366" s="523"/>
      <c r="Y366" s="523"/>
      <c r="Z366" s="523"/>
      <c r="AA366" s="523"/>
      <c r="AB366" s="523"/>
      <c r="AC366" s="523"/>
    </row>
    <row r="367" spans="1:29">
      <c r="A367" s="523"/>
      <c r="B367" s="523"/>
      <c r="C367" s="523"/>
      <c r="D367" s="523"/>
      <c r="E367" s="523"/>
      <c r="F367" s="523"/>
      <c r="G367" s="523"/>
      <c r="H367" s="523"/>
      <c r="I367" s="523"/>
      <c r="J367" s="523"/>
      <c r="K367" s="538"/>
      <c r="L367" s="539"/>
      <c r="M367" s="523"/>
      <c r="N367" s="523"/>
      <c r="O367" s="523"/>
      <c r="P367" s="1789"/>
      <c r="Q367" s="523"/>
      <c r="R367" s="523"/>
      <c r="S367" s="523"/>
      <c r="T367" s="523"/>
      <c r="U367" s="523"/>
      <c r="V367" s="523"/>
      <c r="W367" s="523"/>
      <c r="X367" s="523"/>
      <c r="Y367" s="523"/>
      <c r="Z367" s="523"/>
      <c r="AA367" s="523"/>
      <c r="AB367" s="523"/>
      <c r="AC367" s="523"/>
    </row>
    <row r="368" spans="1:29">
      <c r="A368" s="523"/>
      <c r="B368" s="523"/>
      <c r="C368" s="523"/>
      <c r="D368" s="523"/>
      <c r="E368" s="523"/>
      <c r="F368" s="523"/>
      <c r="G368" s="523"/>
      <c r="H368" s="523"/>
      <c r="I368" s="523"/>
      <c r="J368" s="523"/>
      <c r="K368" s="538"/>
      <c r="L368" s="539"/>
      <c r="M368" s="523"/>
      <c r="N368" s="523"/>
      <c r="O368" s="523"/>
      <c r="P368" s="1789"/>
      <c r="Q368" s="523"/>
      <c r="R368" s="523"/>
      <c r="S368" s="523"/>
      <c r="T368" s="523"/>
      <c r="U368" s="523"/>
      <c r="V368" s="523"/>
      <c r="W368" s="523"/>
      <c r="X368" s="523"/>
      <c r="Y368" s="523"/>
      <c r="Z368" s="523"/>
      <c r="AA368" s="523"/>
      <c r="AB368" s="523"/>
      <c r="AC368" s="523"/>
    </row>
    <row r="369" spans="1:29">
      <c r="A369" s="523"/>
      <c r="B369" s="523"/>
      <c r="C369" s="523"/>
      <c r="D369" s="523"/>
      <c r="E369" s="523"/>
      <c r="F369" s="523"/>
      <c r="G369" s="523"/>
      <c r="H369" s="523"/>
      <c r="I369" s="523"/>
      <c r="J369" s="523"/>
      <c r="K369" s="538"/>
      <c r="L369" s="539"/>
      <c r="M369" s="523"/>
      <c r="N369" s="523"/>
      <c r="O369" s="523"/>
      <c r="P369" s="1789"/>
      <c r="Q369" s="523"/>
      <c r="R369" s="523"/>
      <c r="S369" s="523"/>
      <c r="T369" s="523"/>
      <c r="U369" s="523"/>
      <c r="V369" s="523"/>
      <c r="W369" s="523"/>
      <c r="X369" s="523"/>
      <c r="Y369" s="523"/>
      <c r="Z369" s="523"/>
      <c r="AA369" s="523"/>
      <c r="AB369" s="523"/>
      <c r="AC369" s="523"/>
    </row>
    <row r="370" spans="1:29">
      <c r="A370" s="523"/>
      <c r="B370" s="523"/>
      <c r="C370" s="523"/>
      <c r="D370" s="523"/>
      <c r="E370" s="523"/>
      <c r="F370" s="523"/>
      <c r="G370" s="523"/>
      <c r="H370" s="523"/>
      <c r="I370" s="523"/>
      <c r="J370" s="523"/>
      <c r="K370" s="538"/>
      <c r="L370" s="539"/>
      <c r="M370" s="523"/>
      <c r="N370" s="523"/>
      <c r="O370" s="523"/>
      <c r="P370" s="1789"/>
      <c r="Q370" s="523"/>
      <c r="R370" s="523"/>
      <c r="S370" s="523"/>
      <c r="T370" s="523"/>
      <c r="U370" s="523"/>
      <c r="V370" s="523"/>
      <c r="W370" s="523"/>
      <c r="X370" s="523"/>
      <c r="Y370" s="523"/>
      <c r="Z370" s="523"/>
      <c r="AA370" s="523"/>
      <c r="AB370" s="523"/>
      <c r="AC370" s="523"/>
    </row>
    <row r="371" spans="1:29">
      <c r="A371" s="523"/>
      <c r="B371" s="523"/>
      <c r="C371" s="523"/>
      <c r="D371" s="523"/>
      <c r="E371" s="523"/>
      <c r="F371" s="523"/>
      <c r="G371" s="523"/>
      <c r="H371" s="523"/>
      <c r="I371" s="523"/>
      <c r="J371" s="523"/>
      <c r="K371" s="538"/>
      <c r="L371" s="539"/>
      <c r="M371" s="523"/>
      <c r="N371" s="523"/>
      <c r="O371" s="523"/>
      <c r="P371" s="1789"/>
      <c r="Q371" s="523"/>
      <c r="R371" s="523"/>
      <c r="S371" s="523"/>
      <c r="T371" s="523"/>
      <c r="U371" s="523"/>
      <c r="V371" s="523"/>
      <c r="W371" s="523"/>
      <c r="X371" s="523"/>
      <c r="Y371" s="523"/>
      <c r="Z371" s="523"/>
      <c r="AA371" s="523"/>
      <c r="AB371" s="523"/>
      <c r="AC371" s="523"/>
    </row>
    <row r="372" spans="1:29">
      <c r="A372" s="523"/>
      <c r="B372" s="523"/>
      <c r="C372" s="523"/>
      <c r="D372" s="523"/>
      <c r="E372" s="523"/>
      <c r="F372" s="523"/>
      <c r="G372" s="523"/>
      <c r="H372" s="523"/>
      <c r="I372" s="523"/>
      <c r="J372" s="523"/>
      <c r="K372" s="538"/>
      <c r="L372" s="539"/>
      <c r="M372" s="523"/>
      <c r="N372" s="523"/>
      <c r="O372" s="523"/>
      <c r="P372" s="1789"/>
      <c r="Q372" s="523"/>
      <c r="R372" s="523"/>
      <c r="S372" s="523"/>
      <c r="T372" s="523"/>
      <c r="U372" s="523"/>
      <c r="V372" s="523"/>
      <c r="W372" s="523"/>
      <c r="X372" s="523"/>
      <c r="Y372" s="523"/>
      <c r="Z372" s="523"/>
      <c r="AA372" s="523"/>
      <c r="AB372" s="523"/>
      <c r="AC372" s="523"/>
    </row>
    <row r="373" spans="1:29">
      <c r="A373" s="523"/>
      <c r="B373" s="523"/>
      <c r="C373" s="523"/>
      <c r="D373" s="523"/>
      <c r="E373" s="523"/>
      <c r="F373" s="523"/>
      <c r="G373" s="523"/>
      <c r="H373" s="523"/>
      <c r="I373" s="523"/>
      <c r="J373" s="523"/>
      <c r="K373" s="538"/>
      <c r="L373" s="539"/>
      <c r="M373" s="523"/>
      <c r="N373" s="523"/>
      <c r="O373" s="523"/>
      <c r="P373" s="1789"/>
      <c r="Q373" s="523"/>
      <c r="R373" s="523"/>
      <c r="S373" s="523"/>
      <c r="T373" s="523"/>
      <c r="U373" s="523"/>
      <c r="V373" s="523"/>
      <c r="W373" s="523"/>
      <c r="X373" s="523"/>
      <c r="Y373" s="523"/>
      <c r="Z373" s="523"/>
      <c r="AA373" s="523"/>
      <c r="AB373" s="523"/>
      <c r="AC373" s="523"/>
    </row>
    <row r="374" spans="1:29">
      <c r="A374" s="523"/>
      <c r="B374" s="523"/>
      <c r="C374" s="523"/>
      <c r="D374" s="523"/>
      <c r="E374" s="523"/>
      <c r="F374" s="523"/>
      <c r="G374" s="523"/>
      <c r="H374" s="523"/>
      <c r="I374" s="523"/>
      <c r="J374" s="523"/>
      <c r="K374" s="538"/>
      <c r="L374" s="539"/>
      <c r="M374" s="523"/>
      <c r="N374" s="523"/>
      <c r="O374" s="523"/>
      <c r="P374" s="1789"/>
      <c r="Q374" s="523"/>
      <c r="R374" s="523"/>
      <c r="S374" s="523"/>
      <c r="T374" s="523"/>
      <c r="U374" s="523"/>
      <c r="V374" s="523"/>
      <c r="W374" s="523"/>
      <c r="X374" s="523"/>
      <c r="Y374" s="523"/>
      <c r="Z374" s="523"/>
      <c r="AA374" s="523"/>
      <c r="AB374" s="523"/>
      <c r="AC374" s="523"/>
    </row>
    <row r="375" spans="1:29">
      <c r="A375" s="523"/>
      <c r="B375" s="523"/>
      <c r="C375" s="523"/>
      <c r="D375" s="523"/>
      <c r="E375" s="523"/>
      <c r="F375" s="523"/>
      <c r="G375" s="523"/>
      <c r="H375" s="523"/>
      <c r="I375" s="523"/>
      <c r="J375" s="523"/>
      <c r="K375" s="538"/>
      <c r="L375" s="539"/>
      <c r="M375" s="523"/>
      <c r="N375" s="523"/>
      <c r="O375" s="523"/>
      <c r="P375" s="1789"/>
      <c r="Q375" s="523"/>
      <c r="R375" s="523"/>
      <c r="S375" s="523"/>
      <c r="T375" s="523"/>
      <c r="U375" s="523"/>
      <c r="V375" s="523"/>
      <c r="W375" s="523"/>
      <c r="X375" s="523"/>
      <c r="Y375" s="523"/>
      <c r="Z375" s="523"/>
      <c r="AA375" s="523"/>
      <c r="AB375" s="523"/>
      <c r="AC375" s="523"/>
    </row>
    <row r="376" spans="1:29">
      <c r="A376" s="523"/>
      <c r="B376" s="523"/>
      <c r="C376" s="523"/>
      <c r="D376" s="523"/>
      <c r="E376" s="523"/>
      <c r="F376" s="523"/>
      <c r="G376" s="523"/>
      <c r="H376" s="523"/>
      <c r="I376" s="523"/>
      <c r="J376" s="523"/>
      <c r="K376" s="538"/>
      <c r="L376" s="539"/>
      <c r="M376" s="523"/>
      <c r="N376" s="523"/>
      <c r="O376" s="523"/>
      <c r="P376" s="1789"/>
      <c r="Q376" s="523"/>
      <c r="R376" s="523"/>
      <c r="S376" s="523"/>
      <c r="T376" s="523"/>
      <c r="U376" s="523"/>
      <c r="V376" s="523"/>
      <c r="W376" s="523"/>
      <c r="X376" s="523"/>
      <c r="Y376" s="523"/>
      <c r="Z376" s="523"/>
      <c r="AA376" s="523"/>
      <c r="AB376" s="523"/>
      <c r="AC376" s="523"/>
    </row>
    <row r="377" spans="1:29">
      <c r="A377" s="523"/>
      <c r="B377" s="523"/>
      <c r="C377" s="523"/>
      <c r="D377" s="523"/>
      <c r="E377" s="523"/>
      <c r="F377" s="523"/>
      <c r="G377" s="523"/>
      <c r="H377" s="523"/>
      <c r="I377" s="523"/>
      <c r="J377" s="523"/>
      <c r="K377" s="538"/>
      <c r="L377" s="539"/>
      <c r="M377" s="523"/>
      <c r="N377" s="523"/>
      <c r="O377" s="523"/>
      <c r="P377" s="1789"/>
      <c r="Q377" s="523"/>
      <c r="R377" s="523"/>
      <c r="S377" s="523"/>
      <c r="T377" s="523"/>
      <c r="U377" s="523"/>
      <c r="V377" s="523"/>
      <c r="W377" s="523"/>
      <c r="X377" s="523"/>
      <c r="Y377" s="523"/>
      <c r="Z377" s="523"/>
      <c r="AA377" s="523"/>
      <c r="AB377" s="523"/>
      <c r="AC377" s="523"/>
    </row>
    <row r="378" spans="1:29">
      <c r="A378" s="523"/>
      <c r="B378" s="523"/>
      <c r="C378" s="523"/>
      <c r="D378" s="523"/>
      <c r="E378" s="523"/>
      <c r="F378" s="523"/>
      <c r="G378" s="523"/>
      <c r="H378" s="523"/>
      <c r="I378" s="523"/>
      <c r="J378" s="523"/>
      <c r="K378" s="538"/>
      <c r="L378" s="539"/>
      <c r="M378" s="523"/>
      <c r="N378" s="523"/>
      <c r="O378" s="523"/>
      <c r="P378" s="1789"/>
      <c r="Q378" s="523"/>
      <c r="R378" s="523"/>
      <c r="S378" s="523"/>
      <c r="T378" s="523"/>
      <c r="U378" s="523"/>
      <c r="V378" s="523"/>
      <c r="W378" s="523"/>
      <c r="X378" s="523"/>
      <c r="Y378" s="523"/>
      <c r="Z378" s="523"/>
      <c r="AA378" s="523"/>
      <c r="AB378" s="523"/>
      <c r="AC378" s="523"/>
    </row>
    <row r="379" spans="1:29">
      <c r="A379" s="523"/>
      <c r="B379" s="523"/>
      <c r="C379" s="523"/>
      <c r="D379" s="523"/>
      <c r="E379" s="523"/>
      <c r="F379" s="523"/>
      <c r="G379" s="523"/>
      <c r="H379" s="523"/>
      <c r="I379" s="523"/>
      <c r="J379" s="523"/>
      <c r="K379" s="538"/>
      <c r="L379" s="539"/>
      <c r="M379" s="523"/>
      <c r="N379" s="523"/>
      <c r="O379" s="523"/>
      <c r="P379" s="1789"/>
      <c r="Q379" s="523"/>
      <c r="R379" s="523"/>
      <c r="S379" s="523"/>
      <c r="T379" s="523"/>
      <c r="U379" s="523"/>
      <c r="V379" s="523"/>
      <c r="W379" s="523"/>
      <c r="X379" s="523"/>
      <c r="Y379" s="523"/>
      <c r="Z379" s="523"/>
      <c r="AA379" s="523"/>
      <c r="AB379" s="523"/>
      <c r="AC379" s="523"/>
    </row>
    <row r="380" spans="1:29">
      <c r="A380" s="523"/>
      <c r="B380" s="523"/>
      <c r="C380" s="523"/>
      <c r="D380" s="523"/>
      <c r="E380" s="523"/>
      <c r="F380" s="523"/>
      <c r="G380" s="523"/>
      <c r="H380" s="523"/>
      <c r="I380" s="523"/>
      <c r="J380" s="523"/>
      <c r="K380" s="538"/>
      <c r="L380" s="539"/>
      <c r="M380" s="523"/>
      <c r="N380" s="523"/>
      <c r="O380" s="523"/>
      <c r="P380" s="1789"/>
      <c r="Q380" s="523"/>
      <c r="R380" s="523"/>
      <c r="S380" s="523"/>
      <c r="T380" s="523"/>
      <c r="U380" s="523"/>
      <c r="V380" s="523"/>
      <c r="W380" s="523"/>
      <c r="X380" s="523"/>
      <c r="Y380" s="523"/>
      <c r="Z380" s="523"/>
      <c r="AA380" s="523"/>
      <c r="AB380" s="523"/>
      <c r="AC380" s="523"/>
    </row>
    <row r="381" spans="1:29">
      <c r="A381" s="523"/>
      <c r="B381" s="523"/>
      <c r="C381" s="523"/>
      <c r="D381" s="523"/>
      <c r="E381" s="523"/>
      <c r="F381" s="523"/>
      <c r="G381" s="523"/>
      <c r="H381" s="523"/>
      <c r="I381" s="523"/>
      <c r="J381" s="523"/>
      <c r="K381" s="538"/>
      <c r="L381" s="539"/>
      <c r="M381" s="523"/>
      <c r="N381" s="523"/>
      <c r="O381" s="523"/>
      <c r="P381" s="1789"/>
      <c r="Q381" s="523"/>
      <c r="R381" s="523"/>
      <c r="S381" s="523"/>
      <c r="T381" s="523"/>
      <c r="U381" s="523"/>
      <c r="V381" s="523"/>
      <c r="W381" s="523"/>
      <c r="X381" s="523"/>
      <c r="Y381" s="523"/>
      <c r="Z381" s="523"/>
      <c r="AA381" s="523"/>
      <c r="AB381" s="523"/>
      <c r="AC381" s="523"/>
    </row>
    <row r="382" spans="1:29">
      <c r="A382" s="523"/>
      <c r="B382" s="523"/>
      <c r="C382" s="523"/>
      <c r="D382" s="523"/>
      <c r="E382" s="523"/>
      <c r="F382" s="523"/>
      <c r="G382" s="523"/>
      <c r="H382" s="523"/>
      <c r="I382" s="523"/>
      <c r="J382" s="523"/>
      <c r="K382" s="538"/>
      <c r="L382" s="539"/>
      <c r="M382" s="523"/>
      <c r="N382" s="523"/>
      <c r="O382" s="523"/>
      <c r="P382" s="1789"/>
      <c r="Q382" s="523"/>
      <c r="R382" s="523"/>
      <c r="S382" s="523"/>
      <c r="T382" s="523"/>
      <c r="U382" s="523"/>
      <c r="V382" s="523"/>
      <c r="W382" s="523"/>
      <c r="X382" s="523"/>
      <c r="Y382" s="523"/>
      <c r="Z382" s="523"/>
      <c r="AA382" s="523"/>
      <c r="AB382" s="523"/>
      <c r="AC382" s="523"/>
    </row>
    <row r="383" spans="1:29">
      <c r="A383" s="523"/>
      <c r="B383" s="523"/>
      <c r="C383" s="523"/>
      <c r="D383" s="523"/>
      <c r="E383" s="523"/>
      <c r="F383" s="523"/>
      <c r="G383" s="523"/>
      <c r="H383" s="523"/>
      <c r="I383" s="523"/>
      <c r="J383" s="523"/>
      <c r="K383" s="538"/>
      <c r="L383" s="539"/>
      <c r="M383" s="523"/>
      <c r="N383" s="523"/>
      <c r="O383" s="523"/>
      <c r="P383" s="1789"/>
      <c r="Q383" s="523"/>
      <c r="R383" s="523"/>
      <c r="S383" s="523"/>
      <c r="T383" s="523"/>
      <c r="U383" s="523"/>
      <c r="V383" s="523"/>
      <c r="W383" s="523"/>
      <c r="X383" s="523"/>
      <c r="Y383" s="523"/>
      <c r="Z383" s="523"/>
      <c r="AA383" s="523"/>
      <c r="AB383" s="523"/>
      <c r="AC383" s="523"/>
    </row>
    <row r="384" spans="1:29">
      <c r="A384" s="523"/>
      <c r="B384" s="523"/>
      <c r="C384" s="523"/>
      <c r="D384" s="523"/>
      <c r="E384" s="523"/>
      <c r="F384" s="523"/>
      <c r="G384" s="523"/>
      <c r="H384" s="523"/>
      <c r="I384" s="523"/>
      <c r="J384" s="523"/>
      <c r="K384" s="538"/>
      <c r="L384" s="539"/>
      <c r="M384" s="523"/>
      <c r="N384" s="523"/>
      <c r="O384" s="523"/>
      <c r="P384" s="1789"/>
      <c r="Q384" s="523"/>
      <c r="R384" s="523"/>
      <c r="S384" s="523"/>
      <c r="T384" s="523"/>
      <c r="U384" s="523"/>
      <c r="V384" s="523"/>
      <c r="W384" s="523"/>
      <c r="X384" s="523"/>
      <c r="Y384" s="523"/>
      <c r="Z384" s="523"/>
      <c r="AA384" s="523"/>
      <c r="AB384" s="523"/>
      <c r="AC384" s="523"/>
    </row>
    <row r="385" spans="1:29">
      <c r="A385" s="523"/>
      <c r="B385" s="523"/>
      <c r="C385" s="523"/>
      <c r="D385" s="523"/>
      <c r="E385" s="523"/>
      <c r="F385" s="523"/>
      <c r="G385" s="523"/>
      <c r="H385" s="523"/>
      <c r="I385" s="523"/>
      <c r="J385" s="523"/>
      <c r="K385" s="538"/>
      <c r="L385" s="539"/>
      <c r="M385" s="523"/>
      <c r="N385" s="523"/>
      <c r="O385" s="523"/>
      <c r="P385" s="1789"/>
      <c r="Q385" s="523"/>
      <c r="R385" s="523"/>
      <c r="S385" s="523"/>
      <c r="T385" s="523"/>
      <c r="U385" s="523"/>
      <c r="V385" s="523"/>
      <c r="W385" s="523"/>
      <c r="X385" s="523"/>
      <c r="Y385" s="523"/>
      <c r="Z385" s="523"/>
      <c r="AA385" s="523"/>
      <c r="AB385" s="523"/>
      <c r="AC385" s="523"/>
    </row>
    <row r="386" spans="1:29">
      <c r="A386" s="523"/>
      <c r="B386" s="523"/>
      <c r="C386" s="523"/>
      <c r="D386" s="523"/>
      <c r="E386" s="523"/>
      <c r="F386" s="523"/>
      <c r="G386" s="523"/>
      <c r="H386" s="523"/>
      <c r="I386" s="523"/>
      <c r="J386" s="523"/>
      <c r="K386" s="538"/>
      <c r="L386" s="539"/>
      <c r="M386" s="523"/>
      <c r="N386" s="523"/>
      <c r="O386" s="523"/>
      <c r="P386" s="1789"/>
      <c r="Q386" s="523"/>
      <c r="R386" s="523"/>
      <c r="S386" s="523"/>
      <c r="T386" s="523"/>
      <c r="U386" s="523"/>
      <c r="V386" s="523"/>
      <c r="W386" s="523"/>
      <c r="X386" s="523"/>
      <c r="Y386" s="523"/>
      <c r="Z386" s="523"/>
      <c r="AA386" s="523"/>
      <c r="AB386" s="523"/>
      <c r="AC386" s="523"/>
    </row>
    <row r="387" spans="1:29">
      <c r="A387" s="523"/>
      <c r="B387" s="523"/>
      <c r="C387" s="523"/>
      <c r="D387" s="523"/>
      <c r="E387" s="523"/>
      <c r="F387" s="523"/>
      <c r="G387" s="523"/>
      <c r="H387" s="523"/>
      <c r="I387" s="523"/>
      <c r="J387" s="523"/>
      <c r="K387" s="538"/>
      <c r="L387" s="539"/>
      <c r="M387" s="523"/>
      <c r="N387" s="523"/>
      <c r="O387" s="523"/>
      <c r="P387" s="1789"/>
      <c r="Q387" s="523"/>
      <c r="R387" s="523"/>
      <c r="S387" s="523"/>
      <c r="T387" s="523"/>
      <c r="U387" s="523"/>
      <c r="V387" s="523"/>
      <c r="W387" s="523"/>
      <c r="X387" s="523"/>
      <c r="Y387" s="523"/>
      <c r="Z387" s="523"/>
      <c r="AA387" s="523"/>
      <c r="AB387" s="523"/>
      <c r="AC387" s="523"/>
    </row>
    <row r="388" spans="1:29">
      <c r="A388" s="523"/>
      <c r="B388" s="523"/>
      <c r="C388" s="523"/>
      <c r="D388" s="523"/>
      <c r="E388" s="523"/>
      <c r="F388" s="523"/>
      <c r="G388" s="523"/>
      <c r="H388" s="523"/>
      <c r="I388" s="523"/>
      <c r="J388" s="523"/>
      <c r="K388" s="538"/>
      <c r="L388" s="539"/>
      <c r="M388" s="523"/>
      <c r="N388" s="523"/>
      <c r="O388" s="523"/>
      <c r="P388" s="1789"/>
      <c r="Q388" s="523"/>
      <c r="R388" s="523"/>
      <c r="S388" s="523"/>
      <c r="T388" s="523"/>
      <c r="U388" s="523"/>
      <c r="V388" s="523"/>
      <c r="W388" s="523"/>
      <c r="X388" s="523"/>
      <c r="Y388" s="523"/>
      <c r="Z388" s="523"/>
      <c r="AA388" s="523"/>
      <c r="AB388" s="523"/>
      <c r="AC388" s="523"/>
    </row>
    <row r="389" spans="1:29">
      <c r="A389" s="523"/>
      <c r="B389" s="523"/>
      <c r="C389" s="523"/>
      <c r="D389" s="523"/>
      <c r="E389" s="523"/>
      <c r="F389" s="523"/>
      <c r="G389" s="523"/>
      <c r="H389" s="523"/>
      <c r="I389" s="523"/>
      <c r="J389" s="523"/>
      <c r="K389" s="538"/>
      <c r="L389" s="539"/>
      <c r="M389" s="523"/>
      <c r="N389" s="523"/>
      <c r="O389" s="523"/>
      <c r="P389" s="1789"/>
      <c r="Q389" s="523"/>
      <c r="R389" s="523"/>
      <c r="S389" s="523"/>
      <c r="T389" s="523"/>
      <c r="U389" s="523"/>
      <c r="V389" s="523"/>
      <c r="W389" s="523"/>
      <c r="X389" s="523"/>
      <c r="Y389" s="523"/>
      <c r="Z389" s="523"/>
      <c r="AA389" s="523"/>
      <c r="AB389" s="523"/>
      <c r="AC389" s="523"/>
    </row>
    <row r="390" spans="1:29">
      <c r="A390" s="523"/>
      <c r="B390" s="523"/>
      <c r="C390" s="523"/>
      <c r="D390" s="523"/>
      <c r="E390" s="523"/>
      <c r="F390" s="523"/>
      <c r="G390" s="523"/>
      <c r="H390" s="523"/>
      <c r="I390" s="523"/>
      <c r="J390" s="523"/>
      <c r="K390" s="538"/>
      <c r="L390" s="539"/>
      <c r="M390" s="523"/>
      <c r="N390" s="523"/>
      <c r="O390" s="523"/>
      <c r="P390" s="1789"/>
      <c r="Q390" s="523"/>
      <c r="R390" s="523"/>
      <c r="S390" s="523"/>
      <c r="T390" s="523"/>
      <c r="U390" s="523"/>
      <c r="V390" s="523"/>
      <c r="W390" s="523"/>
      <c r="X390" s="523"/>
      <c r="Y390" s="523"/>
      <c r="Z390" s="523"/>
      <c r="AA390" s="523"/>
      <c r="AB390" s="523"/>
      <c r="AC390" s="523"/>
    </row>
    <row r="391" spans="1:29">
      <c r="A391" s="523"/>
      <c r="B391" s="523"/>
      <c r="C391" s="523"/>
      <c r="D391" s="523"/>
      <c r="E391" s="523"/>
      <c r="F391" s="523"/>
      <c r="G391" s="523"/>
      <c r="H391" s="523"/>
      <c r="I391" s="523"/>
      <c r="J391" s="523"/>
      <c r="K391" s="538"/>
      <c r="L391" s="539"/>
      <c r="M391" s="523"/>
      <c r="N391" s="523"/>
      <c r="O391" s="523"/>
      <c r="P391" s="1789"/>
      <c r="Q391" s="523"/>
      <c r="R391" s="523"/>
      <c r="S391" s="523"/>
      <c r="T391" s="523"/>
      <c r="U391" s="523"/>
      <c r="V391" s="523"/>
      <c r="W391" s="523"/>
      <c r="X391" s="523"/>
      <c r="Y391" s="523"/>
      <c r="Z391" s="523"/>
      <c r="AA391" s="523"/>
      <c r="AB391" s="523"/>
      <c r="AC391" s="523"/>
    </row>
    <row r="392" spans="1:29">
      <c r="A392" s="523"/>
      <c r="B392" s="523"/>
      <c r="C392" s="523"/>
      <c r="D392" s="523"/>
      <c r="E392" s="523"/>
      <c r="F392" s="523"/>
      <c r="G392" s="523"/>
      <c r="H392" s="523"/>
      <c r="I392" s="523"/>
      <c r="J392" s="523"/>
      <c r="K392" s="538"/>
      <c r="L392" s="539"/>
      <c r="M392" s="523"/>
      <c r="N392" s="523"/>
      <c r="O392" s="523"/>
      <c r="P392" s="1789"/>
      <c r="Q392" s="523"/>
      <c r="R392" s="523"/>
      <c r="S392" s="523"/>
      <c r="T392" s="523"/>
      <c r="U392" s="523"/>
      <c r="V392" s="523"/>
      <c r="W392" s="523"/>
      <c r="X392" s="523"/>
      <c r="Y392" s="523"/>
      <c r="Z392" s="523"/>
      <c r="AA392" s="523"/>
      <c r="AB392" s="523"/>
      <c r="AC392" s="523"/>
    </row>
    <row r="393" spans="1:29">
      <c r="A393" s="523"/>
      <c r="B393" s="523"/>
      <c r="C393" s="523"/>
      <c r="D393" s="523"/>
      <c r="E393" s="523"/>
      <c r="F393" s="523"/>
      <c r="G393" s="523"/>
      <c r="H393" s="523"/>
      <c r="I393" s="523"/>
      <c r="J393" s="523"/>
      <c r="K393" s="538"/>
      <c r="L393" s="539"/>
      <c r="M393" s="523"/>
      <c r="N393" s="523"/>
      <c r="O393" s="523"/>
      <c r="P393" s="1789"/>
      <c r="Q393" s="523"/>
      <c r="R393" s="523"/>
      <c r="S393" s="523"/>
      <c r="T393" s="523"/>
      <c r="U393" s="523"/>
      <c r="V393" s="523"/>
      <c r="W393" s="523"/>
      <c r="X393" s="523"/>
      <c r="Y393" s="523"/>
      <c r="Z393" s="523"/>
      <c r="AA393" s="523"/>
      <c r="AB393" s="523"/>
      <c r="AC393" s="523"/>
    </row>
    <row r="394" spans="1:29">
      <c r="A394" s="523"/>
      <c r="B394" s="523"/>
      <c r="C394" s="523"/>
      <c r="D394" s="523"/>
      <c r="E394" s="523"/>
      <c r="F394" s="523"/>
      <c r="G394" s="523"/>
      <c r="H394" s="523"/>
      <c r="I394" s="523"/>
      <c r="J394" s="523"/>
      <c r="K394" s="538"/>
      <c r="L394" s="539"/>
      <c r="M394" s="523"/>
      <c r="N394" s="523"/>
      <c r="O394" s="523"/>
      <c r="P394" s="1789"/>
      <c r="Q394" s="523"/>
      <c r="R394" s="523"/>
      <c r="S394" s="523"/>
      <c r="T394" s="523"/>
      <c r="U394" s="523"/>
      <c r="V394" s="523"/>
      <c r="W394" s="523"/>
      <c r="X394" s="523"/>
      <c r="Y394" s="523"/>
      <c r="Z394" s="523"/>
      <c r="AA394" s="523"/>
      <c r="AB394" s="523"/>
      <c r="AC394" s="523"/>
    </row>
    <row r="395" spans="1:29">
      <c r="A395" s="523"/>
      <c r="B395" s="523"/>
      <c r="C395" s="523"/>
      <c r="D395" s="523"/>
      <c r="E395" s="523"/>
      <c r="F395" s="523"/>
      <c r="G395" s="523"/>
      <c r="H395" s="523"/>
      <c r="I395" s="523"/>
      <c r="J395" s="523"/>
      <c r="K395" s="538"/>
      <c r="L395" s="539"/>
      <c r="M395" s="523"/>
      <c r="N395" s="523"/>
      <c r="O395" s="523"/>
      <c r="P395" s="1789"/>
      <c r="Q395" s="523"/>
      <c r="R395" s="523"/>
      <c r="S395" s="523"/>
      <c r="T395" s="523"/>
      <c r="U395" s="523"/>
      <c r="V395" s="523"/>
      <c r="W395" s="523"/>
      <c r="X395" s="523"/>
      <c r="Y395" s="523"/>
      <c r="Z395" s="523"/>
      <c r="AA395" s="523"/>
      <c r="AB395" s="523"/>
      <c r="AC395" s="523"/>
    </row>
    <row r="396" spans="1:29">
      <c r="A396" s="523"/>
      <c r="B396" s="523"/>
      <c r="C396" s="523"/>
      <c r="D396" s="523"/>
      <c r="E396" s="523"/>
      <c r="F396" s="523"/>
      <c r="G396" s="523"/>
      <c r="H396" s="523"/>
      <c r="I396" s="523"/>
      <c r="J396" s="523"/>
      <c r="K396" s="538"/>
      <c r="L396" s="539"/>
      <c r="M396" s="523"/>
      <c r="N396" s="523"/>
      <c r="O396" s="523"/>
      <c r="P396" s="1789"/>
      <c r="Q396" s="523"/>
      <c r="R396" s="523"/>
      <c r="S396" s="523"/>
      <c r="T396" s="523"/>
      <c r="U396" s="523"/>
      <c r="V396" s="523"/>
      <c r="W396" s="523"/>
      <c r="X396" s="523"/>
      <c r="Y396" s="523"/>
      <c r="Z396" s="523"/>
      <c r="AA396" s="523"/>
      <c r="AB396" s="523"/>
      <c r="AC396" s="523"/>
    </row>
    <row r="397" spans="1:29">
      <c r="A397" s="523"/>
      <c r="B397" s="523"/>
      <c r="C397" s="523"/>
      <c r="D397" s="523"/>
      <c r="E397" s="523"/>
      <c r="F397" s="523"/>
      <c r="G397" s="523"/>
      <c r="H397" s="523"/>
      <c r="I397" s="523"/>
      <c r="J397" s="523"/>
      <c r="K397" s="538"/>
      <c r="L397" s="539"/>
      <c r="M397" s="523"/>
      <c r="N397" s="523"/>
      <c r="O397" s="523"/>
      <c r="P397" s="1789"/>
      <c r="Q397" s="523"/>
      <c r="R397" s="523"/>
      <c r="S397" s="523"/>
      <c r="T397" s="523"/>
      <c r="U397" s="523"/>
      <c r="V397" s="523"/>
      <c r="W397" s="523"/>
      <c r="X397" s="523"/>
      <c r="Y397" s="523"/>
      <c r="Z397" s="523"/>
      <c r="AA397" s="523"/>
      <c r="AB397" s="523"/>
      <c r="AC397" s="523"/>
    </row>
    <row r="398" spans="1:29">
      <c r="A398" s="523"/>
      <c r="B398" s="523"/>
      <c r="C398" s="523"/>
      <c r="D398" s="523"/>
      <c r="E398" s="523"/>
      <c r="F398" s="523"/>
      <c r="G398" s="523"/>
      <c r="H398" s="523"/>
      <c r="I398" s="523"/>
      <c r="J398" s="523"/>
      <c r="K398" s="538"/>
      <c r="L398" s="539"/>
      <c r="M398" s="523"/>
      <c r="N398" s="523"/>
      <c r="O398" s="523"/>
      <c r="P398" s="1789"/>
      <c r="Q398" s="523"/>
      <c r="R398" s="523"/>
      <c r="S398" s="523"/>
      <c r="T398" s="523"/>
      <c r="U398" s="523"/>
      <c r="V398" s="523"/>
      <c r="W398" s="523"/>
      <c r="X398" s="523"/>
      <c r="Y398" s="523"/>
      <c r="Z398" s="523"/>
      <c r="AA398" s="523"/>
      <c r="AB398" s="523"/>
      <c r="AC398" s="523"/>
    </row>
    <row r="399" spans="1:29">
      <c r="A399" s="523"/>
      <c r="B399" s="523"/>
      <c r="C399" s="523"/>
      <c r="D399" s="523"/>
      <c r="E399" s="523"/>
      <c r="F399" s="523"/>
      <c r="G399" s="523"/>
      <c r="H399" s="523"/>
      <c r="I399" s="523"/>
      <c r="J399" s="523"/>
      <c r="K399" s="538"/>
      <c r="L399" s="539"/>
      <c r="M399" s="523"/>
      <c r="N399" s="523"/>
      <c r="O399" s="523"/>
      <c r="P399" s="1789"/>
      <c r="Q399" s="523"/>
      <c r="R399" s="523"/>
      <c r="S399" s="523"/>
      <c r="T399" s="523"/>
      <c r="U399" s="523"/>
      <c r="V399" s="523"/>
      <c r="W399" s="523"/>
      <c r="X399" s="523"/>
      <c r="Y399" s="523"/>
      <c r="Z399" s="523"/>
      <c r="AA399" s="523"/>
      <c r="AB399" s="523"/>
      <c r="AC399" s="523"/>
    </row>
    <row r="400" spans="1:29">
      <c r="A400" s="523"/>
      <c r="B400" s="523"/>
      <c r="C400" s="523"/>
      <c r="D400" s="523"/>
      <c r="E400" s="523"/>
      <c r="F400" s="523"/>
      <c r="G400" s="523"/>
      <c r="H400" s="523"/>
      <c r="I400" s="523"/>
      <c r="J400" s="523"/>
      <c r="K400" s="538"/>
      <c r="L400" s="539"/>
      <c r="M400" s="523"/>
      <c r="N400" s="523"/>
      <c r="O400" s="523"/>
      <c r="P400" s="1789"/>
      <c r="Q400" s="523"/>
      <c r="R400" s="523"/>
      <c r="S400" s="523"/>
      <c r="T400" s="523"/>
      <c r="U400" s="523"/>
      <c r="V400" s="523"/>
      <c r="W400" s="523"/>
      <c r="X400" s="523"/>
      <c r="Y400" s="523"/>
      <c r="Z400" s="523"/>
      <c r="AA400" s="523"/>
      <c r="AB400" s="523"/>
      <c r="AC400" s="523"/>
    </row>
    <row r="401" spans="1:29">
      <c r="A401" s="523"/>
      <c r="B401" s="523"/>
      <c r="C401" s="523"/>
      <c r="D401" s="523"/>
      <c r="E401" s="523"/>
      <c r="F401" s="523"/>
      <c r="G401" s="523"/>
      <c r="H401" s="523"/>
      <c r="I401" s="523"/>
      <c r="J401" s="523"/>
      <c r="K401" s="538"/>
      <c r="L401" s="539"/>
      <c r="M401" s="523"/>
      <c r="N401" s="523"/>
      <c r="O401" s="523"/>
      <c r="P401" s="1789"/>
      <c r="Q401" s="523"/>
      <c r="R401" s="523"/>
      <c r="S401" s="523"/>
      <c r="T401" s="523"/>
      <c r="U401" s="523"/>
      <c r="V401" s="523"/>
      <c r="W401" s="523"/>
      <c r="X401" s="523"/>
      <c r="Y401" s="523"/>
      <c r="Z401" s="523"/>
      <c r="AA401" s="523"/>
      <c r="AB401" s="523"/>
      <c r="AC401" s="523"/>
    </row>
    <row r="402" spans="1:29">
      <c r="A402" s="523"/>
      <c r="B402" s="523"/>
      <c r="C402" s="523"/>
      <c r="D402" s="523"/>
      <c r="E402" s="523"/>
      <c r="F402" s="523"/>
      <c r="G402" s="523"/>
      <c r="H402" s="523"/>
      <c r="I402" s="523"/>
      <c r="J402" s="523"/>
      <c r="K402" s="538"/>
      <c r="L402" s="539"/>
      <c r="M402" s="523"/>
      <c r="N402" s="523"/>
      <c r="O402" s="523"/>
      <c r="P402" s="1789"/>
      <c r="Q402" s="523"/>
      <c r="R402" s="523"/>
      <c r="S402" s="523"/>
      <c r="T402" s="523"/>
      <c r="U402" s="523"/>
      <c r="V402" s="523"/>
      <c r="W402" s="523"/>
      <c r="X402" s="523"/>
      <c r="Y402" s="523"/>
      <c r="Z402" s="523"/>
      <c r="AA402" s="523"/>
      <c r="AB402" s="523"/>
      <c r="AC402" s="523"/>
    </row>
    <row r="403" spans="1:29">
      <c r="A403" s="523"/>
      <c r="B403" s="523"/>
      <c r="C403" s="523"/>
      <c r="D403" s="523"/>
      <c r="E403" s="523"/>
      <c r="F403" s="523"/>
      <c r="G403" s="523"/>
      <c r="H403" s="523"/>
      <c r="I403" s="523"/>
      <c r="J403" s="523"/>
      <c r="K403" s="538"/>
      <c r="L403" s="539"/>
      <c r="M403" s="523"/>
      <c r="N403" s="523"/>
      <c r="O403" s="523"/>
      <c r="P403" s="1789"/>
      <c r="Q403" s="523"/>
      <c r="R403" s="523"/>
      <c r="S403" s="523"/>
      <c r="T403" s="523"/>
      <c r="U403" s="523"/>
      <c r="V403" s="523"/>
      <c r="W403" s="523"/>
      <c r="X403" s="523"/>
      <c r="Y403" s="523"/>
      <c r="Z403" s="523"/>
      <c r="AA403" s="523"/>
      <c r="AB403" s="523"/>
      <c r="AC403" s="523"/>
    </row>
    <row r="404" spans="1:29">
      <c r="A404" s="523"/>
      <c r="B404" s="523"/>
      <c r="C404" s="523"/>
      <c r="D404" s="523"/>
      <c r="E404" s="523"/>
      <c r="F404" s="523"/>
      <c r="G404" s="523"/>
      <c r="H404" s="523"/>
      <c r="I404" s="523"/>
      <c r="J404" s="523"/>
      <c r="K404" s="538"/>
      <c r="L404" s="539"/>
      <c r="M404" s="523"/>
      <c r="N404" s="523"/>
      <c r="O404" s="523"/>
      <c r="P404" s="1789"/>
      <c r="Q404" s="523"/>
      <c r="R404" s="523"/>
      <c r="S404" s="523"/>
      <c r="T404" s="523"/>
      <c r="U404" s="523"/>
      <c r="V404" s="523"/>
      <c r="W404" s="523"/>
      <c r="X404" s="523"/>
      <c r="Y404" s="523"/>
      <c r="Z404" s="523"/>
      <c r="AA404" s="523"/>
      <c r="AB404" s="523"/>
      <c r="AC404" s="523"/>
    </row>
    <row r="405" spans="1:29">
      <c r="A405" s="523"/>
      <c r="B405" s="523"/>
      <c r="C405" s="523"/>
      <c r="D405" s="523"/>
      <c r="E405" s="523"/>
      <c r="F405" s="523"/>
      <c r="G405" s="523"/>
      <c r="H405" s="523"/>
      <c r="I405" s="523"/>
      <c r="J405" s="523"/>
      <c r="K405" s="538"/>
      <c r="L405" s="539"/>
      <c r="M405" s="523"/>
      <c r="N405" s="523"/>
      <c r="O405" s="523"/>
      <c r="P405" s="1789"/>
      <c r="Q405" s="523"/>
      <c r="R405" s="523"/>
      <c r="S405" s="523"/>
      <c r="T405" s="523"/>
      <c r="U405" s="523"/>
      <c r="V405" s="523"/>
      <c r="W405" s="523"/>
      <c r="X405" s="523"/>
      <c r="Y405" s="523"/>
      <c r="Z405" s="523"/>
      <c r="AA405" s="523"/>
      <c r="AB405" s="523"/>
      <c r="AC405" s="523"/>
    </row>
    <row r="406" spans="1:29">
      <c r="A406" s="523"/>
      <c r="B406" s="523"/>
      <c r="C406" s="523"/>
      <c r="D406" s="523"/>
      <c r="E406" s="523"/>
      <c r="F406" s="523"/>
      <c r="G406" s="523"/>
      <c r="H406" s="523"/>
      <c r="I406" s="523"/>
      <c r="J406" s="523"/>
      <c r="K406" s="538"/>
      <c r="L406" s="539"/>
      <c r="M406" s="523"/>
      <c r="N406" s="523"/>
      <c r="O406" s="523"/>
      <c r="P406" s="1789"/>
      <c r="Q406" s="523"/>
      <c r="R406" s="523"/>
      <c r="S406" s="523"/>
      <c r="T406" s="523"/>
      <c r="U406" s="523"/>
      <c r="V406" s="523"/>
      <c r="W406" s="523"/>
      <c r="X406" s="523"/>
      <c r="Y406" s="523"/>
      <c r="Z406" s="523"/>
      <c r="AA406" s="523"/>
      <c r="AB406" s="523"/>
      <c r="AC406" s="523"/>
    </row>
    <row r="407" spans="1:29">
      <c r="A407" s="523"/>
      <c r="B407" s="523"/>
      <c r="C407" s="523"/>
      <c r="D407" s="523"/>
      <c r="E407" s="523"/>
      <c r="F407" s="523"/>
      <c r="G407" s="523"/>
      <c r="H407" s="523"/>
      <c r="I407" s="523"/>
      <c r="J407" s="523"/>
      <c r="K407" s="538"/>
      <c r="L407" s="539"/>
      <c r="M407" s="523"/>
      <c r="N407" s="523"/>
      <c r="O407" s="523"/>
      <c r="P407" s="1789"/>
      <c r="Q407" s="523"/>
      <c r="R407" s="523"/>
      <c r="S407" s="523"/>
      <c r="T407" s="523"/>
      <c r="U407" s="523"/>
      <c r="V407" s="523"/>
      <c r="W407" s="523"/>
      <c r="X407" s="523"/>
      <c r="Y407" s="523"/>
      <c r="Z407" s="523"/>
      <c r="AA407" s="523"/>
      <c r="AB407" s="523"/>
      <c r="AC407" s="523"/>
    </row>
    <row r="408" spans="1:29">
      <c r="A408" s="523"/>
      <c r="B408" s="523"/>
      <c r="C408" s="523"/>
      <c r="D408" s="523"/>
      <c r="E408" s="523"/>
      <c r="F408" s="523"/>
      <c r="G408" s="523"/>
      <c r="H408" s="523"/>
      <c r="I408" s="523"/>
      <c r="J408" s="523"/>
      <c r="K408" s="538"/>
      <c r="L408" s="539"/>
      <c r="M408" s="523"/>
      <c r="N408" s="523"/>
      <c r="O408" s="523"/>
      <c r="P408" s="1789"/>
      <c r="Q408" s="523"/>
      <c r="R408" s="523"/>
      <c r="S408" s="523"/>
      <c r="T408" s="523"/>
      <c r="U408" s="523"/>
      <c r="V408" s="523"/>
      <c r="W408" s="523"/>
      <c r="X408" s="523"/>
      <c r="Y408" s="523"/>
      <c r="Z408" s="523"/>
      <c r="AA408" s="523"/>
      <c r="AB408" s="523"/>
      <c r="AC408" s="523"/>
    </row>
    <row r="409" spans="1:29">
      <c r="A409" s="523"/>
      <c r="B409" s="523"/>
      <c r="C409" s="523"/>
      <c r="D409" s="523"/>
      <c r="E409" s="523"/>
      <c r="F409" s="523"/>
      <c r="G409" s="523"/>
      <c r="H409" s="523"/>
      <c r="I409" s="523"/>
      <c r="J409" s="523"/>
      <c r="K409" s="538"/>
      <c r="L409" s="539"/>
      <c r="M409" s="523"/>
      <c r="N409" s="523"/>
      <c r="O409" s="523"/>
      <c r="P409" s="1789"/>
      <c r="Q409" s="523"/>
      <c r="R409" s="523"/>
      <c r="S409" s="523"/>
      <c r="T409" s="523"/>
      <c r="U409" s="523"/>
      <c r="V409" s="523"/>
      <c r="W409" s="523"/>
      <c r="X409" s="523"/>
      <c r="Y409" s="523"/>
      <c r="Z409" s="523"/>
      <c r="AA409" s="523"/>
      <c r="AB409" s="523"/>
      <c r="AC409" s="523"/>
    </row>
    <row r="410" spans="1:29">
      <c r="A410" s="523"/>
      <c r="B410" s="523"/>
      <c r="C410" s="523"/>
      <c r="D410" s="523"/>
      <c r="E410" s="523"/>
      <c r="F410" s="523"/>
      <c r="G410" s="523"/>
      <c r="H410" s="523"/>
      <c r="I410" s="523"/>
      <c r="J410" s="523"/>
      <c r="K410" s="538"/>
      <c r="L410" s="539"/>
      <c r="M410" s="523"/>
      <c r="N410" s="523"/>
      <c r="O410" s="523"/>
      <c r="P410" s="1789"/>
      <c r="Q410" s="523"/>
      <c r="R410" s="523"/>
      <c r="S410" s="523"/>
      <c r="T410" s="523"/>
      <c r="U410" s="523"/>
      <c r="V410" s="523"/>
      <c r="W410" s="523"/>
      <c r="X410" s="523"/>
      <c r="Y410" s="523"/>
      <c r="Z410" s="523"/>
      <c r="AA410" s="523"/>
      <c r="AB410" s="523"/>
      <c r="AC410" s="523"/>
    </row>
    <row r="411" spans="1:29">
      <c r="A411" s="523"/>
      <c r="B411" s="523"/>
      <c r="C411" s="523"/>
      <c r="D411" s="523"/>
      <c r="E411" s="523"/>
      <c r="F411" s="523"/>
      <c r="G411" s="523"/>
      <c r="H411" s="523"/>
      <c r="I411" s="523"/>
      <c r="J411" s="523"/>
      <c r="K411" s="538"/>
      <c r="L411" s="539"/>
      <c r="M411" s="523"/>
      <c r="N411" s="523"/>
      <c r="O411" s="523"/>
      <c r="P411" s="1789"/>
      <c r="Q411" s="523"/>
      <c r="R411" s="523"/>
      <c r="S411" s="523"/>
      <c r="T411" s="523"/>
      <c r="U411" s="523"/>
      <c r="V411" s="523"/>
      <c r="W411" s="523"/>
      <c r="X411" s="523"/>
      <c r="Y411" s="523"/>
      <c r="Z411" s="523"/>
      <c r="AA411" s="523"/>
      <c r="AB411" s="523"/>
      <c r="AC411" s="523"/>
    </row>
    <row r="412" spans="1:29">
      <c r="A412" s="523"/>
      <c r="B412" s="523"/>
      <c r="C412" s="523"/>
      <c r="D412" s="523"/>
      <c r="E412" s="523"/>
      <c r="F412" s="523"/>
      <c r="G412" s="523"/>
      <c r="H412" s="523"/>
      <c r="I412" s="523"/>
      <c r="J412" s="523"/>
      <c r="K412" s="538"/>
      <c r="L412" s="539"/>
      <c r="M412" s="523"/>
      <c r="N412" s="523"/>
      <c r="O412" s="523"/>
      <c r="P412" s="1789"/>
      <c r="Q412" s="523"/>
      <c r="R412" s="523"/>
      <c r="S412" s="523"/>
      <c r="T412" s="523"/>
      <c r="U412" s="523"/>
      <c r="V412" s="523"/>
      <c r="W412" s="523"/>
      <c r="X412" s="523"/>
      <c r="Y412" s="523"/>
      <c r="Z412" s="523"/>
      <c r="AA412" s="523"/>
      <c r="AB412" s="523"/>
      <c r="AC412" s="523"/>
    </row>
    <row r="413" spans="1:29">
      <c r="A413" s="523"/>
      <c r="B413" s="523"/>
      <c r="C413" s="523"/>
      <c r="D413" s="523"/>
      <c r="E413" s="523"/>
      <c r="F413" s="523"/>
      <c r="G413" s="523"/>
      <c r="H413" s="523"/>
      <c r="I413" s="523"/>
      <c r="J413" s="523"/>
      <c r="K413" s="538"/>
      <c r="L413" s="539"/>
      <c r="M413" s="523"/>
      <c r="N413" s="523"/>
      <c r="O413" s="523"/>
      <c r="P413" s="1789"/>
      <c r="Q413" s="523"/>
      <c r="R413" s="523"/>
      <c r="S413" s="523"/>
      <c r="T413" s="523"/>
      <c r="U413" s="523"/>
      <c r="V413" s="523"/>
      <c r="W413" s="523"/>
      <c r="X413" s="523"/>
      <c r="Y413" s="523"/>
      <c r="Z413" s="523"/>
      <c r="AA413" s="523"/>
      <c r="AB413" s="523"/>
      <c r="AC413" s="523"/>
    </row>
    <row r="414" spans="1:29">
      <c r="A414" s="523"/>
      <c r="B414" s="523"/>
      <c r="C414" s="523"/>
      <c r="D414" s="523"/>
      <c r="E414" s="523"/>
      <c r="F414" s="523"/>
      <c r="G414" s="523"/>
      <c r="H414" s="523"/>
      <c r="I414" s="523"/>
      <c r="J414" s="523"/>
      <c r="K414" s="538"/>
      <c r="L414" s="539"/>
      <c r="M414" s="523"/>
      <c r="N414" s="523"/>
      <c r="O414" s="523"/>
      <c r="P414" s="1789"/>
      <c r="Q414" s="523"/>
      <c r="R414" s="523"/>
      <c r="S414" s="523"/>
      <c r="T414" s="523"/>
      <c r="U414" s="523"/>
      <c r="V414" s="523"/>
      <c r="W414" s="523"/>
      <c r="X414" s="523"/>
      <c r="Y414" s="523"/>
      <c r="Z414" s="523"/>
      <c r="AA414" s="523"/>
      <c r="AB414" s="523"/>
      <c r="AC414" s="523"/>
    </row>
    <row r="415" spans="1:29">
      <c r="A415" s="523"/>
      <c r="B415" s="523"/>
      <c r="C415" s="523"/>
      <c r="D415" s="523"/>
      <c r="E415" s="523"/>
      <c r="F415" s="523"/>
      <c r="G415" s="523"/>
      <c r="H415" s="523"/>
      <c r="I415" s="523"/>
      <c r="J415" s="523"/>
      <c r="K415" s="538"/>
      <c r="L415" s="539"/>
      <c r="M415" s="523"/>
      <c r="N415" s="523"/>
      <c r="O415" s="523"/>
      <c r="P415" s="1789"/>
      <c r="Q415" s="523"/>
      <c r="R415" s="523"/>
      <c r="S415" s="523"/>
      <c r="T415" s="523"/>
      <c r="U415" s="523"/>
      <c r="V415" s="523"/>
      <c r="W415" s="523"/>
      <c r="X415" s="523"/>
      <c r="Y415" s="523"/>
      <c r="Z415" s="523"/>
      <c r="AA415" s="523"/>
      <c r="AB415" s="523"/>
      <c r="AC415" s="523"/>
    </row>
    <row r="416" spans="1:29">
      <c r="A416" s="523"/>
      <c r="B416" s="523"/>
      <c r="C416" s="523"/>
      <c r="D416" s="523"/>
      <c r="E416" s="523"/>
      <c r="F416" s="523"/>
      <c r="G416" s="523"/>
      <c r="H416" s="523"/>
      <c r="I416" s="523"/>
      <c r="J416" s="523"/>
      <c r="K416" s="538"/>
      <c r="L416" s="539"/>
      <c r="M416" s="523"/>
      <c r="N416" s="523"/>
      <c r="O416" s="523"/>
      <c r="P416" s="1789"/>
      <c r="Q416" s="523"/>
      <c r="R416" s="523"/>
      <c r="S416" s="523"/>
      <c r="T416" s="523"/>
      <c r="U416" s="523"/>
      <c r="V416" s="523"/>
      <c r="W416" s="523"/>
      <c r="X416" s="523"/>
      <c r="Y416" s="523"/>
      <c r="Z416" s="523"/>
      <c r="AA416" s="523"/>
      <c r="AB416" s="523"/>
      <c r="AC416" s="523"/>
    </row>
    <row r="417" spans="1:29">
      <c r="A417" s="523"/>
      <c r="B417" s="523"/>
      <c r="C417" s="523"/>
      <c r="D417" s="523"/>
      <c r="E417" s="523"/>
      <c r="F417" s="523"/>
      <c r="G417" s="523"/>
      <c r="H417" s="523"/>
      <c r="I417" s="523"/>
      <c r="J417" s="523"/>
      <c r="K417" s="538"/>
      <c r="L417" s="539"/>
      <c r="M417" s="523"/>
      <c r="N417" s="523"/>
      <c r="O417" s="523"/>
      <c r="P417" s="1789"/>
      <c r="Q417" s="523"/>
      <c r="R417" s="523"/>
      <c r="S417" s="523"/>
      <c r="T417" s="523"/>
      <c r="U417" s="523"/>
      <c r="V417" s="523"/>
      <c r="W417" s="523"/>
      <c r="X417" s="523"/>
      <c r="Y417" s="523"/>
      <c r="Z417" s="523"/>
      <c r="AA417" s="523"/>
      <c r="AB417" s="523"/>
      <c r="AC417" s="523"/>
    </row>
    <row r="418" spans="1:29">
      <c r="A418" s="523"/>
      <c r="B418" s="523"/>
      <c r="C418" s="523"/>
      <c r="D418" s="523"/>
      <c r="E418" s="523"/>
      <c r="F418" s="523"/>
      <c r="G418" s="523"/>
      <c r="H418" s="523"/>
      <c r="I418" s="523"/>
      <c r="J418" s="523"/>
      <c r="K418" s="538"/>
      <c r="L418" s="539"/>
      <c r="M418" s="523"/>
      <c r="N418" s="523"/>
      <c r="O418" s="523"/>
      <c r="P418" s="1789"/>
      <c r="Q418" s="523"/>
      <c r="R418" s="523"/>
      <c r="S418" s="523"/>
      <c r="T418" s="523"/>
      <c r="U418" s="523"/>
      <c r="V418" s="523"/>
      <c r="W418" s="523"/>
      <c r="X418" s="523"/>
      <c r="Y418" s="523"/>
      <c r="Z418" s="523"/>
      <c r="AA418" s="523"/>
      <c r="AB418" s="523"/>
      <c r="AC418" s="523"/>
    </row>
    <row r="419" spans="1:29">
      <c r="A419" s="523"/>
      <c r="B419" s="523"/>
      <c r="C419" s="523"/>
      <c r="D419" s="523"/>
      <c r="E419" s="523"/>
      <c r="F419" s="523"/>
      <c r="G419" s="523"/>
      <c r="H419" s="523"/>
      <c r="I419" s="523"/>
      <c r="J419" s="523"/>
      <c r="K419" s="538"/>
      <c r="L419" s="539"/>
      <c r="M419" s="523"/>
      <c r="N419" s="523"/>
      <c r="O419" s="523"/>
      <c r="P419" s="1789"/>
      <c r="Q419" s="523"/>
      <c r="R419" s="523"/>
      <c r="S419" s="523"/>
      <c r="T419" s="523"/>
      <c r="U419" s="523"/>
      <c r="V419" s="523"/>
      <c r="W419" s="523"/>
      <c r="X419" s="523"/>
      <c r="Y419" s="523"/>
      <c r="Z419" s="523"/>
      <c r="AA419" s="523"/>
      <c r="AB419" s="523"/>
      <c r="AC419" s="523"/>
    </row>
    <row r="420" spans="1:29">
      <c r="A420" s="523"/>
      <c r="B420" s="523"/>
      <c r="C420" s="523"/>
      <c r="D420" s="523"/>
      <c r="E420" s="523"/>
      <c r="F420" s="523"/>
      <c r="G420" s="523"/>
      <c r="H420" s="523"/>
      <c r="I420" s="523"/>
      <c r="J420" s="523"/>
      <c r="K420" s="538"/>
      <c r="L420" s="539"/>
      <c r="M420" s="523"/>
      <c r="N420" s="523"/>
      <c r="O420" s="523"/>
      <c r="P420" s="1789"/>
      <c r="Q420" s="523"/>
      <c r="R420" s="523"/>
      <c r="S420" s="523"/>
      <c r="T420" s="523"/>
      <c r="U420" s="523"/>
      <c r="V420" s="523"/>
      <c r="W420" s="523"/>
      <c r="X420" s="523"/>
      <c r="Y420" s="523"/>
      <c r="Z420" s="523"/>
      <c r="AA420" s="523"/>
      <c r="AB420" s="523"/>
      <c r="AC420" s="523"/>
    </row>
    <row r="421" spans="1:29">
      <c r="A421" s="523"/>
      <c r="B421" s="523"/>
      <c r="C421" s="523"/>
      <c r="D421" s="523"/>
      <c r="E421" s="523"/>
      <c r="F421" s="523"/>
      <c r="G421" s="523"/>
      <c r="H421" s="523"/>
      <c r="I421" s="523"/>
      <c r="J421" s="523"/>
      <c r="K421" s="538"/>
      <c r="L421" s="539"/>
      <c r="M421" s="523"/>
      <c r="N421" s="523"/>
      <c r="O421" s="523"/>
      <c r="P421" s="1789"/>
      <c r="Q421" s="523"/>
      <c r="R421" s="523"/>
      <c r="S421" s="523"/>
      <c r="T421" s="523"/>
      <c r="U421" s="523"/>
      <c r="V421" s="523"/>
      <c r="W421" s="523"/>
      <c r="X421" s="523"/>
      <c r="Y421" s="523"/>
      <c r="Z421" s="523"/>
      <c r="AA421" s="523"/>
      <c r="AB421" s="523"/>
      <c r="AC421" s="523"/>
    </row>
    <row r="422" spans="1:29">
      <c r="A422" s="523"/>
      <c r="B422" s="523"/>
      <c r="C422" s="523"/>
      <c r="D422" s="523"/>
      <c r="E422" s="523"/>
      <c r="F422" s="523"/>
      <c r="G422" s="523"/>
      <c r="H422" s="523"/>
      <c r="I422" s="523"/>
      <c r="J422" s="523"/>
      <c r="K422" s="538"/>
      <c r="L422" s="539"/>
      <c r="M422" s="523"/>
      <c r="N422" s="523"/>
      <c r="O422" s="523"/>
      <c r="P422" s="1789"/>
      <c r="Q422" s="523"/>
      <c r="R422" s="523"/>
      <c r="S422" s="523"/>
      <c r="T422" s="523"/>
      <c r="U422" s="523"/>
      <c r="V422" s="523"/>
      <c r="W422" s="523"/>
      <c r="X422" s="523"/>
      <c r="Y422" s="523"/>
      <c r="Z422" s="523"/>
      <c r="AA422" s="523"/>
      <c r="AB422" s="523"/>
      <c r="AC422" s="523"/>
    </row>
    <row r="423" spans="1:29">
      <c r="A423" s="523"/>
      <c r="B423" s="523"/>
      <c r="C423" s="523"/>
      <c r="D423" s="523"/>
      <c r="E423" s="523"/>
      <c r="F423" s="523"/>
      <c r="G423" s="523"/>
      <c r="H423" s="523"/>
      <c r="I423" s="523"/>
      <c r="J423" s="523"/>
      <c r="K423" s="538"/>
      <c r="L423" s="539"/>
      <c r="M423" s="523"/>
      <c r="N423" s="523"/>
      <c r="O423" s="523"/>
      <c r="P423" s="1789"/>
      <c r="Q423" s="523"/>
      <c r="R423" s="523"/>
      <c r="S423" s="523"/>
      <c r="T423" s="523"/>
      <c r="U423" s="523"/>
      <c r="V423" s="523"/>
      <c r="W423" s="523"/>
      <c r="X423" s="523"/>
      <c r="Y423" s="523"/>
      <c r="Z423" s="523"/>
      <c r="AA423" s="523"/>
      <c r="AB423" s="523"/>
      <c r="AC423" s="523"/>
    </row>
    <row r="424" spans="1:29">
      <c r="A424" s="523"/>
      <c r="B424" s="523"/>
      <c r="C424" s="523"/>
      <c r="D424" s="523"/>
      <c r="E424" s="523"/>
      <c r="F424" s="523"/>
      <c r="G424" s="523"/>
      <c r="H424" s="523"/>
      <c r="I424" s="523"/>
      <c r="J424" s="523"/>
      <c r="K424" s="538"/>
      <c r="L424" s="539"/>
      <c r="M424" s="523"/>
      <c r="N424" s="523"/>
      <c r="O424" s="523"/>
      <c r="P424" s="1789"/>
      <c r="Q424" s="523"/>
      <c r="R424" s="523"/>
      <c r="S424" s="523"/>
      <c r="T424" s="523"/>
      <c r="U424" s="523"/>
      <c r="V424" s="523"/>
      <c r="W424" s="523"/>
      <c r="X424" s="523"/>
      <c r="Y424" s="523"/>
      <c r="Z424" s="523"/>
      <c r="AA424" s="523"/>
      <c r="AB424" s="523"/>
      <c r="AC424" s="523"/>
    </row>
    <row r="425" spans="1:29">
      <c r="A425" s="523"/>
      <c r="B425" s="523"/>
      <c r="C425" s="523"/>
      <c r="D425" s="523"/>
      <c r="E425" s="523"/>
      <c r="F425" s="523"/>
      <c r="G425" s="523"/>
      <c r="H425" s="523"/>
      <c r="I425" s="523"/>
      <c r="J425" s="523"/>
      <c r="K425" s="538"/>
      <c r="L425" s="539"/>
      <c r="M425" s="523"/>
      <c r="N425" s="523"/>
      <c r="O425" s="523"/>
      <c r="P425" s="1789"/>
      <c r="Q425" s="523"/>
      <c r="R425" s="523"/>
      <c r="S425" s="523"/>
      <c r="T425" s="523"/>
      <c r="U425" s="523"/>
      <c r="V425" s="523"/>
      <c r="W425" s="523"/>
      <c r="X425" s="523"/>
      <c r="Y425" s="523"/>
      <c r="Z425" s="523"/>
      <c r="AA425" s="523"/>
      <c r="AB425" s="523"/>
      <c r="AC425" s="523"/>
    </row>
    <row r="426" spans="1:29">
      <c r="A426" s="523"/>
      <c r="B426" s="523"/>
      <c r="C426" s="523"/>
      <c r="D426" s="523"/>
      <c r="E426" s="523"/>
      <c r="F426" s="523"/>
      <c r="G426" s="523"/>
      <c r="H426" s="523"/>
      <c r="I426" s="523"/>
      <c r="J426" s="523"/>
      <c r="K426" s="538"/>
      <c r="L426" s="539"/>
      <c r="M426" s="523"/>
      <c r="N426" s="523"/>
      <c r="O426" s="523"/>
      <c r="P426" s="1789"/>
      <c r="Q426" s="523"/>
      <c r="R426" s="523"/>
      <c r="S426" s="523"/>
      <c r="T426" s="523"/>
      <c r="U426" s="523"/>
      <c r="V426" s="523"/>
      <c r="W426" s="523"/>
      <c r="X426" s="523"/>
      <c r="Y426" s="523"/>
      <c r="Z426" s="523"/>
      <c r="AA426" s="523"/>
      <c r="AB426" s="523"/>
      <c r="AC426" s="523"/>
    </row>
    <row r="427" spans="1:29">
      <c r="A427" s="523"/>
      <c r="B427" s="523"/>
      <c r="C427" s="523"/>
      <c r="D427" s="523"/>
      <c r="E427" s="523"/>
      <c r="F427" s="523"/>
      <c r="G427" s="523"/>
      <c r="H427" s="523"/>
      <c r="I427" s="523"/>
      <c r="J427" s="523"/>
      <c r="K427" s="538"/>
      <c r="L427" s="539"/>
      <c r="M427" s="523"/>
      <c r="N427" s="523"/>
      <c r="O427" s="523"/>
      <c r="P427" s="1789"/>
      <c r="Q427" s="523"/>
      <c r="R427" s="523"/>
      <c r="S427" s="523"/>
      <c r="T427" s="523"/>
      <c r="U427" s="523"/>
      <c r="V427" s="523"/>
      <c r="W427" s="523"/>
      <c r="X427" s="523"/>
      <c r="Y427" s="523"/>
      <c r="Z427" s="523"/>
      <c r="AA427" s="523"/>
      <c r="AB427" s="523"/>
      <c r="AC427" s="523"/>
    </row>
    <row r="428" spans="1:29">
      <c r="A428" s="523"/>
      <c r="B428" s="523"/>
      <c r="C428" s="523"/>
      <c r="D428" s="523"/>
      <c r="E428" s="523"/>
      <c r="F428" s="523"/>
      <c r="G428" s="523"/>
      <c r="H428" s="523"/>
      <c r="I428" s="523"/>
      <c r="J428" s="523"/>
      <c r="K428" s="538"/>
      <c r="L428" s="539"/>
      <c r="M428" s="523"/>
      <c r="N428" s="523"/>
      <c r="O428" s="523"/>
      <c r="P428" s="1789"/>
      <c r="Q428" s="523"/>
      <c r="R428" s="523"/>
      <c r="S428" s="523"/>
      <c r="T428" s="523"/>
      <c r="U428" s="523"/>
      <c r="V428" s="523"/>
      <c r="W428" s="523"/>
      <c r="X428" s="523"/>
      <c r="Y428" s="523"/>
      <c r="Z428" s="523"/>
      <c r="AA428" s="523"/>
      <c r="AB428" s="523"/>
      <c r="AC428" s="523"/>
    </row>
    <row r="429" spans="1:29">
      <c r="A429" s="523"/>
      <c r="B429" s="523"/>
      <c r="C429" s="523"/>
      <c r="D429" s="523"/>
      <c r="E429" s="523"/>
      <c r="F429" s="523"/>
      <c r="G429" s="523"/>
      <c r="H429" s="523"/>
      <c r="I429" s="523"/>
      <c r="J429" s="523"/>
      <c r="K429" s="538"/>
      <c r="L429" s="539"/>
      <c r="M429" s="523"/>
      <c r="N429" s="523"/>
      <c r="O429" s="523"/>
      <c r="P429" s="1789"/>
      <c r="Q429" s="523"/>
      <c r="R429" s="523"/>
      <c r="S429" s="523"/>
      <c r="T429" s="523"/>
      <c r="U429" s="523"/>
      <c r="V429" s="523"/>
      <c r="W429" s="523"/>
      <c r="X429" s="523"/>
      <c r="Y429" s="523"/>
      <c r="Z429" s="523"/>
      <c r="AA429" s="523"/>
      <c r="AB429" s="523"/>
      <c r="AC429" s="523"/>
    </row>
    <row r="430" spans="1:29">
      <c r="A430" s="523"/>
      <c r="B430" s="523"/>
      <c r="C430" s="523"/>
      <c r="D430" s="523"/>
      <c r="E430" s="523"/>
      <c r="F430" s="523"/>
      <c r="G430" s="523"/>
      <c r="H430" s="523"/>
      <c r="I430" s="523"/>
      <c r="J430" s="523"/>
      <c r="K430" s="538"/>
      <c r="L430" s="539"/>
      <c r="M430" s="523"/>
      <c r="N430" s="523"/>
      <c r="O430" s="523"/>
      <c r="P430" s="1789"/>
      <c r="Q430" s="523"/>
      <c r="R430" s="523"/>
      <c r="S430" s="523"/>
      <c r="T430" s="523"/>
      <c r="U430" s="523"/>
      <c r="V430" s="523"/>
      <c r="W430" s="523"/>
      <c r="X430" s="523"/>
      <c r="Y430" s="523"/>
      <c r="Z430" s="523"/>
      <c r="AA430" s="523"/>
      <c r="AB430" s="523"/>
      <c r="AC430" s="523"/>
    </row>
    <row r="431" spans="1:29">
      <c r="A431" s="523"/>
      <c r="B431" s="523"/>
      <c r="C431" s="523"/>
      <c r="D431" s="523"/>
      <c r="E431" s="523"/>
      <c r="F431" s="523"/>
      <c r="G431" s="523"/>
      <c r="H431" s="523"/>
      <c r="I431" s="523"/>
      <c r="J431" s="523"/>
      <c r="K431" s="538"/>
      <c r="L431" s="539"/>
      <c r="M431" s="523"/>
      <c r="N431" s="523"/>
      <c r="O431" s="523"/>
      <c r="P431" s="1789"/>
      <c r="Q431" s="523"/>
      <c r="R431" s="523"/>
      <c r="S431" s="523"/>
      <c r="T431" s="523"/>
      <c r="U431" s="523"/>
      <c r="V431" s="523"/>
      <c r="W431" s="523"/>
      <c r="X431" s="523"/>
      <c r="Y431" s="523"/>
      <c r="Z431" s="523"/>
      <c r="AA431" s="523"/>
      <c r="AB431" s="523"/>
      <c r="AC431" s="523"/>
    </row>
    <row r="432" spans="1:29">
      <c r="A432" s="523"/>
      <c r="B432" s="523"/>
      <c r="C432" s="523"/>
      <c r="D432" s="523"/>
      <c r="E432" s="523"/>
      <c r="F432" s="523"/>
      <c r="G432" s="523"/>
      <c r="H432" s="523"/>
      <c r="I432" s="523"/>
      <c r="J432" s="523"/>
      <c r="K432" s="538"/>
      <c r="L432" s="539"/>
      <c r="M432" s="523"/>
      <c r="N432" s="523"/>
      <c r="O432" s="523"/>
      <c r="P432" s="1789"/>
      <c r="Q432" s="523"/>
      <c r="R432" s="523"/>
      <c r="S432" s="523"/>
      <c r="T432" s="523"/>
      <c r="U432" s="523"/>
      <c r="V432" s="523"/>
      <c r="W432" s="523"/>
      <c r="X432" s="523"/>
      <c r="Y432" s="523"/>
      <c r="Z432" s="523"/>
      <c r="AA432" s="523"/>
      <c r="AB432" s="523"/>
      <c r="AC432" s="523"/>
    </row>
    <row r="433" spans="1:29">
      <c r="A433" s="523"/>
      <c r="B433" s="523"/>
      <c r="C433" s="523"/>
      <c r="D433" s="523"/>
      <c r="E433" s="523"/>
      <c r="F433" s="523"/>
      <c r="G433" s="523"/>
      <c r="H433" s="523"/>
      <c r="I433" s="523"/>
      <c r="J433" s="523"/>
      <c r="K433" s="538"/>
      <c r="L433" s="539"/>
      <c r="M433" s="523"/>
      <c r="N433" s="523"/>
      <c r="O433" s="523"/>
      <c r="P433" s="1789"/>
      <c r="Q433" s="523"/>
      <c r="R433" s="523"/>
      <c r="S433" s="523"/>
      <c r="T433" s="523"/>
      <c r="U433" s="523"/>
      <c r="V433" s="523"/>
      <c r="W433" s="523"/>
      <c r="X433" s="523"/>
      <c r="Y433" s="523"/>
      <c r="Z433" s="523"/>
      <c r="AA433" s="523"/>
      <c r="AB433" s="523"/>
      <c r="AC433" s="523"/>
    </row>
    <row r="434" spans="1:29">
      <c r="A434" s="523"/>
      <c r="B434" s="523"/>
      <c r="C434" s="523"/>
      <c r="D434" s="523"/>
      <c r="E434" s="523"/>
      <c r="F434" s="523"/>
      <c r="G434" s="523"/>
      <c r="H434" s="523"/>
      <c r="I434" s="523"/>
      <c r="J434" s="523"/>
      <c r="K434" s="538"/>
      <c r="L434" s="539"/>
      <c r="M434" s="523"/>
      <c r="N434" s="523"/>
      <c r="O434" s="523"/>
      <c r="P434" s="1789"/>
      <c r="Q434" s="523"/>
      <c r="R434" s="523"/>
      <c r="S434" s="523"/>
      <c r="T434" s="523"/>
      <c r="U434" s="523"/>
      <c r="V434" s="523"/>
      <c r="W434" s="523"/>
      <c r="X434" s="523"/>
      <c r="Y434" s="523"/>
      <c r="Z434" s="523"/>
      <c r="AA434" s="523"/>
      <c r="AB434" s="523"/>
      <c r="AC434" s="523"/>
    </row>
    <row r="435" spans="1:29">
      <c r="A435" s="523"/>
      <c r="B435" s="523"/>
      <c r="C435" s="523"/>
      <c r="D435" s="523"/>
      <c r="E435" s="523"/>
      <c r="F435" s="523"/>
      <c r="G435" s="523"/>
      <c r="H435" s="523"/>
      <c r="I435" s="523"/>
      <c r="J435" s="523"/>
      <c r="K435" s="538"/>
      <c r="L435" s="539"/>
      <c r="M435" s="523"/>
      <c r="N435" s="523"/>
      <c r="O435" s="523"/>
      <c r="P435" s="1789"/>
      <c r="Q435" s="523"/>
      <c r="R435" s="523"/>
      <c r="S435" s="523"/>
      <c r="T435" s="523"/>
      <c r="U435" s="523"/>
      <c r="V435" s="523"/>
      <c r="W435" s="523"/>
      <c r="X435" s="523"/>
      <c r="Y435" s="523"/>
      <c r="Z435" s="523"/>
      <c r="AA435" s="523"/>
      <c r="AB435" s="523"/>
      <c r="AC435" s="523"/>
    </row>
    <row r="436" spans="1:29">
      <c r="A436" s="523"/>
      <c r="B436" s="523"/>
      <c r="C436" s="523"/>
      <c r="D436" s="523"/>
      <c r="E436" s="523"/>
      <c r="F436" s="523"/>
      <c r="G436" s="523"/>
      <c r="H436" s="523"/>
      <c r="I436" s="523"/>
      <c r="J436" s="523"/>
      <c r="K436" s="538"/>
      <c r="L436" s="539"/>
      <c r="M436" s="523"/>
      <c r="N436" s="523"/>
      <c r="O436" s="523"/>
      <c r="P436" s="1789"/>
      <c r="Q436" s="523"/>
      <c r="R436" s="523"/>
      <c r="S436" s="523"/>
      <c r="T436" s="523"/>
      <c r="U436" s="523"/>
      <c r="V436" s="523"/>
      <c r="W436" s="523"/>
      <c r="X436" s="523"/>
      <c r="Y436" s="523"/>
      <c r="Z436" s="523"/>
      <c r="AA436" s="523"/>
      <c r="AB436" s="523"/>
      <c r="AC436" s="523"/>
    </row>
    <row r="437" spans="1:29">
      <c r="A437" s="523"/>
      <c r="B437" s="523"/>
      <c r="C437" s="523"/>
      <c r="D437" s="523"/>
      <c r="E437" s="523"/>
      <c r="F437" s="523"/>
      <c r="G437" s="523"/>
      <c r="H437" s="523"/>
      <c r="I437" s="523"/>
      <c r="J437" s="523"/>
      <c r="K437" s="538"/>
      <c r="L437" s="539"/>
      <c r="M437" s="523"/>
      <c r="N437" s="523"/>
      <c r="O437" s="523"/>
      <c r="P437" s="1789"/>
      <c r="Q437" s="523"/>
      <c r="R437" s="523"/>
      <c r="S437" s="523"/>
      <c r="T437" s="523"/>
      <c r="U437" s="523"/>
      <c r="V437" s="523"/>
      <c r="W437" s="523"/>
      <c r="X437" s="523"/>
      <c r="Y437" s="523"/>
      <c r="Z437" s="523"/>
      <c r="AA437" s="523"/>
      <c r="AB437" s="523"/>
      <c r="AC437" s="523"/>
    </row>
    <row r="438" spans="1:29">
      <c r="A438" s="523"/>
      <c r="B438" s="523"/>
      <c r="C438" s="523"/>
      <c r="D438" s="523"/>
      <c r="E438" s="523"/>
      <c r="F438" s="523"/>
      <c r="G438" s="523"/>
      <c r="H438" s="523"/>
      <c r="I438" s="523"/>
      <c r="J438" s="523"/>
      <c r="K438" s="538"/>
      <c r="L438" s="539"/>
      <c r="M438" s="523"/>
      <c r="N438" s="523"/>
      <c r="O438" s="523"/>
      <c r="P438" s="1789"/>
      <c r="Q438" s="523"/>
      <c r="R438" s="523"/>
      <c r="S438" s="523"/>
      <c r="T438" s="523"/>
      <c r="U438" s="523"/>
      <c r="V438" s="523"/>
      <c r="W438" s="523"/>
      <c r="X438" s="523"/>
      <c r="Y438" s="523"/>
      <c r="Z438" s="523"/>
      <c r="AA438" s="523"/>
      <c r="AB438" s="523"/>
      <c r="AC438" s="523"/>
    </row>
    <row r="439" spans="1:29">
      <c r="A439" s="523"/>
      <c r="B439" s="523"/>
      <c r="C439" s="523"/>
      <c r="D439" s="523"/>
      <c r="E439" s="523"/>
      <c r="F439" s="523"/>
      <c r="G439" s="523"/>
      <c r="H439" s="523"/>
      <c r="I439" s="523"/>
      <c r="J439" s="523"/>
      <c r="K439" s="538"/>
      <c r="L439" s="539"/>
      <c r="M439" s="523"/>
      <c r="N439" s="523"/>
      <c r="O439" s="523"/>
      <c r="P439" s="1789"/>
      <c r="Q439" s="523"/>
      <c r="R439" s="523"/>
      <c r="S439" s="523"/>
      <c r="T439" s="523"/>
      <c r="U439" s="523"/>
      <c r="V439" s="523"/>
      <c r="W439" s="523"/>
      <c r="X439" s="523"/>
      <c r="Y439" s="523"/>
      <c r="Z439" s="523"/>
      <c r="AA439" s="523"/>
      <c r="AB439" s="523"/>
      <c r="AC439" s="523"/>
    </row>
    <row r="440" spans="1:29">
      <c r="A440" s="523"/>
      <c r="B440" s="523"/>
      <c r="C440" s="523"/>
      <c r="D440" s="523"/>
      <c r="E440" s="523"/>
      <c r="F440" s="523"/>
      <c r="G440" s="523"/>
      <c r="H440" s="523"/>
      <c r="I440" s="523"/>
      <c r="J440" s="523"/>
      <c r="K440" s="538"/>
      <c r="L440" s="539"/>
      <c r="M440" s="523"/>
      <c r="N440" s="523"/>
      <c r="O440" s="523"/>
      <c r="P440" s="1789"/>
      <c r="Q440" s="523"/>
      <c r="R440" s="523"/>
      <c r="S440" s="523"/>
      <c r="T440" s="523"/>
      <c r="U440" s="523"/>
      <c r="V440" s="523"/>
      <c r="W440" s="523"/>
      <c r="X440" s="523"/>
      <c r="Y440" s="523"/>
      <c r="Z440" s="523"/>
      <c r="AA440" s="523"/>
      <c r="AB440" s="523"/>
      <c r="AC440" s="523"/>
    </row>
    <row r="441" spans="1:29">
      <c r="A441" s="523"/>
      <c r="B441" s="523"/>
      <c r="C441" s="523"/>
      <c r="D441" s="523"/>
      <c r="E441" s="523"/>
      <c r="F441" s="523"/>
      <c r="G441" s="523"/>
      <c r="H441" s="523"/>
      <c r="I441" s="523"/>
      <c r="J441" s="523"/>
      <c r="K441" s="538"/>
      <c r="L441" s="539"/>
      <c r="M441" s="523"/>
      <c r="N441" s="523"/>
      <c r="O441" s="523"/>
      <c r="P441" s="1789"/>
      <c r="Q441" s="523"/>
      <c r="R441" s="523"/>
      <c r="S441" s="523"/>
      <c r="T441" s="523"/>
      <c r="U441" s="523"/>
      <c r="V441" s="523"/>
      <c r="W441" s="523"/>
      <c r="X441" s="523"/>
      <c r="Y441" s="523"/>
      <c r="Z441" s="523"/>
      <c r="AA441" s="523"/>
      <c r="AB441" s="523"/>
      <c r="AC441" s="523"/>
    </row>
    <row r="442" spans="1:29">
      <c r="A442" s="523"/>
      <c r="B442" s="523"/>
      <c r="C442" s="523"/>
      <c r="D442" s="523"/>
      <c r="E442" s="523"/>
      <c r="F442" s="523"/>
      <c r="G442" s="523"/>
      <c r="H442" s="523"/>
      <c r="I442" s="523"/>
      <c r="J442" s="523"/>
      <c r="K442" s="538"/>
      <c r="L442" s="539"/>
      <c r="M442" s="523"/>
      <c r="N442" s="523"/>
      <c r="O442" s="523"/>
      <c r="P442" s="1789"/>
      <c r="Q442" s="523"/>
      <c r="R442" s="523"/>
      <c r="S442" s="523"/>
      <c r="T442" s="523"/>
      <c r="U442" s="523"/>
      <c r="V442" s="523"/>
      <c r="W442" s="523"/>
      <c r="X442" s="523"/>
      <c r="Y442" s="523"/>
      <c r="Z442" s="523"/>
      <c r="AA442" s="523"/>
      <c r="AB442" s="523"/>
      <c r="AC442" s="523"/>
    </row>
    <row r="443" spans="1:29">
      <c r="A443" s="523"/>
      <c r="B443" s="523"/>
      <c r="C443" s="523"/>
      <c r="D443" s="523"/>
      <c r="E443" s="523"/>
      <c r="F443" s="523"/>
      <c r="G443" s="523"/>
      <c r="H443" s="523"/>
      <c r="I443" s="523"/>
      <c r="J443" s="523"/>
      <c r="K443" s="538"/>
      <c r="L443" s="539"/>
      <c r="M443" s="523"/>
      <c r="N443" s="523"/>
      <c r="O443" s="523"/>
      <c r="P443" s="1789"/>
      <c r="Q443" s="523"/>
      <c r="R443" s="523"/>
      <c r="S443" s="523"/>
      <c r="T443" s="523"/>
      <c r="U443" s="523"/>
      <c r="V443" s="523"/>
      <c r="W443" s="523"/>
      <c r="X443" s="523"/>
      <c r="Y443" s="523"/>
      <c r="Z443" s="523"/>
      <c r="AA443" s="523"/>
      <c r="AB443" s="523"/>
      <c r="AC443" s="523"/>
    </row>
    <row r="444" spans="1:29">
      <c r="A444" s="523"/>
      <c r="B444" s="523"/>
      <c r="C444" s="523"/>
      <c r="D444" s="523"/>
      <c r="E444" s="523"/>
      <c r="F444" s="523"/>
      <c r="G444" s="523"/>
      <c r="H444" s="523"/>
      <c r="I444" s="523"/>
      <c r="J444" s="523"/>
      <c r="K444" s="538"/>
      <c r="L444" s="539"/>
      <c r="M444" s="523"/>
      <c r="N444" s="523"/>
      <c r="O444" s="523"/>
      <c r="P444" s="1789"/>
      <c r="Q444" s="523"/>
      <c r="R444" s="523"/>
      <c r="S444" s="523"/>
      <c r="T444" s="523"/>
      <c r="U444" s="523"/>
      <c r="V444" s="523"/>
      <c r="W444" s="523"/>
      <c r="X444" s="523"/>
      <c r="Y444" s="523"/>
      <c r="Z444" s="523"/>
      <c r="AA444" s="523"/>
      <c r="AB444" s="523"/>
      <c r="AC444" s="523"/>
    </row>
    <row r="445" spans="1:29">
      <c r="A445" s="523"/>
      <c r="B445" s="523"/>
      <c r="C445" s="523"/>
      <c r="D445" s="523"/>
      <c r="E445" s="523"/>
      <c r="F445" s="523"/>
      <c r="G445" s="523"/>
      <c r="H445" s="523"/>
      <c r="I445" s="523"/>
      <c r="J445" s="523"/>
      <c r="K445" s="538"/>
      <c r="L445" s="539"/>
      <c r="M445" s="523"/>
      <c r="N445" s="523"/>
      <c r="O445" s="523"/>
      <c r="P445" s="1789"/>
      <c r="Q445" s="523"/>
      <c r="R445" s="523"/>
      <c r="S445" s="523"/>
      <c r="T445" s="523"/>
      <c r="U445" s="523"/>
      <c r="V445" s="523"/>
      <c r="W445" s="523"/>
      <c r="X445" s="523"/>
      <c r="Y445" s="523"/>
      <c r="Z445" s="523"/>
      <c r="AA445" s="523"/>
      <c r="AB445" s="523"/>
      <c r="AC445" s="523"/>
    </row>
    <row r="446" spans="1:29">
      <c r="A446" s="523"/>
      <c r="B446" s="523"/>
      <c r="C446" s="523"/>
      <c r="D446" s="523"/>
      <c r="E446" s="523"/>
      <c r="F446" s="523"/>
      <c r="G446" s="523"/>
      <c r="H446" s="523"/>
      <c r="I446" s="523"/>
      <c r="J446" s="523"/>
      <c r="K446" s="538"/>
      <c r="L446" s="539"/>
      <c r="M446" s="523"/>
      <c r="N446" s="523"/>
      <c r="O446" s="523"/>
      <c r="P446" s="1789"/>
      <c r="Q446" s="523"/>
      <c r="R446" s="523"/>
      <c r="S446" s="523"/>
      <c r="T446" s="523"/>
      <c r="U446" s="523"/>
      <c r="V446" s="523"/>
      <c r="W446" s="523"/>
      <c r="X446" s="523"/>
      <c r="Y446" s="523"/>
      <c r="Z446" s="523"/>
      <c r="AA446" s="523"/>
      <c r="AB446" s="523"/>
      <c r="AC446" s="523"/>
    </row>
    <row r="447" spans="1:29">
      <c r="A447" s="523"/>
      <c r="B447" s="523"/>
      <c r="C447" s="523"/>
      <c r="D447" s="523"/>
      <c r="E447" s="523"/>
      <c r="F447" s="523"/>
      <c r="G447" s="523"/>
      <c r="H447" s="523"/>
      <c r="I447" s="523"/>
      <c r="J447" s="523"/>
      <c r="K447" s="538"/>
      <c r="L447" s="539"/>
      <c r="M447" s="523"/>
      <c r="N447" s="523"/>
      <c r="O447" s="523"/>
      <c r="P447" s="1789"/>
      <c r="Q447" s="523"/>
      <c r="R447" s="523"/>
      <c r="S447" s="523"/>
      <c r="T447" s="523"/>
      <c r="U447" s="523"/>
      <c r="V447" s="523"/>
      <c r="W447" s="523"/>
      <c r="X447" s="523"/>
      <c r="Y447" s="523"/>
      <c r="Z447" s="523"/>
      <c r="AA447" s="523"/>
      <c r="AB447" s="523"/>
      <c r="AC447" s="523"/>
    </row>
    <row r="448" spans="1:29">
      <c r="A448" s="523"/>
      <c r="B448" s="523"/>
      <c r="C448" s="523"/>
      <c r="D448" s="523"/>
      <c r="E448" s="523"/>
      <c r="F448" s="523"/>
      <c r="G448" s="523"/>
      <c r="H448" s="523"/>
      <c r="I448" s="523"/>
      <c r="J448" s="523"/>
      <c r="K448" s="538"/>
      <c r="L448" s="539"/>
      <c r="M448" s="523"/>
      <c r="N448" s="523"/>
      <c r="O448" s="523"/>
      <c r="P448" s="1789"/>
      <c r="Q448" s="523"/>
      <c r="R448" s="523"/>
      <c r="S448" s="523"/>
      <c r="T448" s="523"/>
      <c r="U448" s="523"/>
      <c r="V448" s="523"/>
      <c r="W448" s="523"/>
      <c r="X448" s="523"/>
      <c r="Y448" s="523"/>
      <c r="Z448" s="523"/>
      <c r="AA448" s="523"/>
      <c r="AB448" s="523"/>
      <c r="AC448" s="523"/>
    </row>
    <row r="449" spans="1:29">
      <c r="A449" s="523"/>
      <c r="B449" s="523"/>
      <c r="C449" s="523"/>
      <c r="D449" s="523"/>
      <c r="E449" s="523"/>
      <c r="F449" s="523"/>
      <c r="G449" s="523"/>
      <c r="H449" s="523"/>
      <c r="I449" s="523"/>
      <c r="J449" s="523"/>
      <c r="K449" s="538"/>
      <c r="L449" s="539"/>
      <c r="M449" s="523"/>
      <c r="N449" s="523"/>
      <c r="O449" s="523"/>
      <c r="P449" s="1789"/>
      <c r="Q449" s="523"/>
      <c r="R449" s="523"/>
      <c r="S449" s="523"/>
      <c r="T449" s="523"/>
      <c r="U449" s="523"/>
      <c r="V449" s="523"/>
      <c r="W449" s="523"/>
      <c r="X449" s="523"/>
      <c r="Y449" s="523"/>
      <c r="Z449" s="523"/>
      <c r="AA449" s="523"/>
      <c r="AB449" s="523"/>
      <c r="AC449" s="523"/>
    </row>
    <row r="450" spans="1:29">
      <c r="A450" s="523"/>
      <c r="B450" s="523"/>
      <c r="C450" s="523"/>
      <c r="D450" s="523"/>
      <c r="E450" s="523"/>
      <c r="F450" s="523"/>
      <c r="G450" s="523"/>
      <c r="H450" s="523"/>
      <c r="I450" s="523"/>
      <c r="J450" s="523"/>
      <c r="K450" s="538"/>
      <c r="L450" s="539"/>
      <c r="M450" s="523"/>
      <c r="N450" s="523"/>
      <c r="O450" s="523"/>
      <c r="P450" s="1789"/>
      <c r="Q450" s="523"/>
      <c r="R450" s="523"/>
      <c r="S450" s="523"/>
      <c r="T450" s="523"/>
      <c r="U450" s="523"/>
      <c r="V450" s="523"/>
      <c r="W450" s="523"/>
      <c r="X450" s="523"/>
      <c r="Y450" s="523"/>
      <c r="Z450" s="523"/>
      <c r="AA450" s="523"/>
      <c r="AB450" s="523"/>
      <c r="AC450" s="523"/>
    </row>
    <row r="451" spans="1:29">
      <c r="A451" s="523"/>
      <c r="B451" s="523"/>
      <c r="C451" s="523"/>
      <c r="D451" s="523"/>
      <c r="E451" s="523"/>
      <c r="F451" s="523"/>
      <c r="G451" s="523"/>
      <c r="H451" s="523"/>
      <c r="I451" s="523"/>
      <c r="J451" s="523"/>
      <c r="K451" s="538"/>
      <c r="L451" s="539"/>
      <c r="M451" s="523"/>
      <c r="N451" s="523"/>
      <c r="O451" s="523"/>
      <c r="P451" s="1789"/>
      <c r="Q451" s="523"/>
      <c r="R451" s="523"/>
      <c r="S451" s="523"/>
      <c r="T451" s="523"/>
      <c r="U451" s="523"/>
      <c r="V451" s="523"/>
      <c r="W451" s="523"/>
      <c r="X451" s="523"/>
      <c r="Y451" s="523"/>
      <c r="Z451" s="523"/>
      <c r="AA451" s="523"/>
      <c r="AB451" s="523"/>
      <c r="AC451" s="523"/>
    </row>
    <row r="452" spans="1:29">
      <c r="A452" s="523"/>
      <c r="B452" s="523"/>
      <c r="C452" s="523"/>
      <c r="D452" s="523"/>
      <c r="E452" s="523"/>
      <c r="F452" s="523"/>
      <c r="G452" s="523"/>
      <c r="H452" s="523"/>
      <c r="I452" s="523"/>
      <c r="J452" s="523"/>
      <c r="K452" s="538"/>
      <c r="L452" s="539"/>
      <c r="M452" s="523"/>
      <c r="N452" s="523"/>
      <c r="O452" s="523"/>
      <c r="P452" s="1789"/>
      <c r="Q452" s="523"/>
      <c r="R452" s="523"/>
      <c r="S452" s="523"/>
      <c r="T452" s="523"/>
      <c r="U452" s="523"/>
      <c r="V452" s="523"/>
      <c r="W452" s="523"/>
      <c r="X452" s="523"/>
      <c r="Y452" s="523"/>
      <c r="Z452" s="523"/>
      <c r="AA452" s="523"/>
      <c r="AB452" s="523"/>
      <c r="AC452" s="523"/>
    </row>
    <row r="453" spans="1:29">
      <c r="A453" s="523"/>
      <c r="B453" s="523"/>
      <c r="C453" s="523"/>
      <c r="D453" s="523"/>
      <c r="E453" s="523"/>
      <c r="F453" s="523"/>
      <c r="G453" s="523"/>
      <c r="H453" s="523"/>
      <c r="I453" s="523"/>
      <c r="J453" s="523"/>
      <c r="K453" s="538"/>
      <c r="L453" s="539"/>
      <c r="M453" s="523"/>
      <c r="N453" s="523"/>
      <c r="O453" s="523"/>
      <c r="P453" s="1789"/>
      <c r="Q453" s="523"/>
      <c r="R453" s="523"/>
      <c r="S453" s="523"/>
      <c r="T453" s="523"/>
      <c r="U453" s="523"/>
      <c r="V453" s="523"/>
      <c r="W453" s="523"/>
      <c r="X453" s="523"/>
      <c r="Y453" s="523"/>
      <c r="Z453" s="523"/>
      <c r="AA453" s="523"/>
      <c r="AB453" s="523"/>
      <c r="AC453" s="523"/>
    </row>
    <row r="454" spans="1:29">
      <c r="A454" s="523"/>
      <c r="B454" s="523"/>
      <c r="C454" s="523"/>
      <c r="D454" s="523"/>
      <c r="E454" s="523"/>
      <c r="F454" s="523"/>
      <c r="G454" s="523"/>
      <c r="H454" s="523"/>
      <c r="I454" s="523"/>
      <c r="J454" s="523"/>
      <c r="K454" s="538"/>
      <c r="L454" s="539"/>
      <c r="M454" s="523"/>
      <c r="N454" s="523"/>
      <c r="O454" s="523"/>
      <c r="P454" s="1789"/>
      <c r="Q454" s="523"/>
      <c r="R454" s="523"/>
      <c r="S454" s="523"/>
      <c r="T454" s="523"/>
      <c r="U454" s="523"/>
      <c r="V454" s="523"/>
      <c r="W454" s="523"/>
      <c r="X454" s="523"/>
      <c r="Y454" s="523"/>
      <c r="Z454" s="523"/>
      <c r="AA454" s="523"/>
      <c r="AB454" s="523"/>
      <c r="AC454" s="523"/>
    </row>
    <row r="455" spans="1:29">
      <c r="A455" s="523"/>
      <c r="B455" s="523"/>
      <c r="C455" s="523"/>
      <c r="D455" s="523"/>
      <c r="E455" s="523"/>
      <c r="F455" s="523"/>
      <c r="G455" s="523"/>
      <c r="H455" s="523"/>
      <c r="I455" s="523"/>
      <c r="J455" s="523"/>
      <c r="K455" s="538"/>
      <c r="L455" s="539"/>
      <c r="M455" s="523"/>
      <c r="N455" s="523"/>
      <c r="O455" s="523"/>
      <c r="P455" s="1789"/>
      <c r="Q455" s="523"/>
      <c r="R455" s="523"/>
      <c r="S455" s="523"/>
      <c r="T455" s="523"/>
      <c r="U455" s="523"/>
      <c r="V455" s="523"/>
      <c r="W455" s="523"/>
      <c r="X455" s="523"/>
      <c r="Y455" s="523"/>
      <c r="Z455" s="523"/>
      <c r="AA455" s="523"/>
      <c r="AB455" s="523"/>
      <c r="AC455" s="523"/>
    </row>
    <row r="456" spans="1:29">
      <c r="A456" s="523"/>
      <c r="B456" s="523"/>
      <c r="C456" s="523"/>
      <c r="D456" s="523"/>
      <c r="E456" s="523"/>
      <c r="F456" s="523"/>
      <c r="G456" s="523"/>
      <c r="H456" s="523"/>
      <c r="I456" s="523"/>
      <c r="J456" s="523"/>
      <c r="K456" s="538"/>
      <c r="L456" s="539"/>
      <c r="M456" s="523"/>
      <c r="N456" s="523"/>
      <c r="O456" s="523"/>
      <c r="P456" s="1789"/>
      <c r="Q456" s="523"/>
      <c r="R456" s="523"/>
      <c r="S456" s="523"/>
      <c r="T456" s="523"/>
      <c r="U456" s="523"/>
      <c r="V456" s="523"/>
      <c r="W456" s="523"/>
      <c r="X456" s="523"/>
      <c r="Y456" s="523"/>
      <c r="Z456" s="523"/>
      <c r="AA456" s="523"/>
      <c r="AB456" s="523"/>
      <c r="AC456" s="523"/>
    </row>
    <row r="457" spans="1:29">
      <c r="A457" s="523"/>
      <c r="B457" s="523"/>
      <c r="C457" s="523"/>
      <c r="D457" s="523"/>
      <c r="E457" s="523"/>
      <c r="F457" s="523"/>
      <c r="G457" s="523"/>
      <c r="H457" s="523"/>
      <c r="I457" s="523"/>
      <c r="J457" s="523"/>
      <c r="K457" s="538"/>
      <c r="L457" s="539"/>
      <c r="M457" s="523"/>
      <c r="N457" s="523"/>
      <c r="O457" s="523"/>
      <c r="P457" s="1789"/>
      <c r="Q457" s="523"/>
      <c r="R457" s="523"/>
      <c r="S457" s="523"/>
      <c r="T457" s="523"/>
      <c r="U457" s="523"/>
      <c r="V457" s="523"/>
      <c r="W457" s="523"/>
      <c r="X457" s="523"/>
      <c r="Y457" s="523"/>
      <c r="Z457" s="523"/>
      <c r="AA457" s="523"/>
      <c r="AB457" s="523"/>
      <c r="AC457" s="523"/>
    </row>
    <row r="458" spans="1:29">
      <c r="A458" s="523"/>
      <c r="B458" s="523"/>
      <c r="C458" s="523"/>
      <c r="D458" s="523"/>
      <c r="E458" s="523"/>
      <c r="F458" s="523"/>
      <c r="G458" s="523"/>
      <c r="H458" s="523"/>
      <c r="I458" s="523"/>
      <c r="J458" s="523"/>
      <c r="K458" s="538"/>
      <c r="L458" s="539"/>
      <c r="M458" s="523"/>
      <c r="N458" s="523"/>
      <c r="O458" s="523"/>
      <c r="P458" s="1789"/>
      <c r="Q458" s="523"/>
      <c r="R458" s="523"/>
      <c r="S458" s="523"/>
      <c r="T458" s="523"/>
      <c r="U458" s="523"/>
      <c r="V458" s="523"/>
      <c r="W458" s="523"/>
      <c r="X458" s="523"/>
      <c r="Y458" s="523"/>
      <c r="Z458" s="523"/>
      <c r="AA458" s="523"/>
      <c r="AB458" s="523"/>
      <c r="AC458" s="523"/>
    </row>
    <row r="459" spans="1:29">
      <c r="A459" s="523"/>
      <c r="B459" s="523"/>
      <c r="C459" s="523"/>
      <c r="D459" s="523"/>
      <c r="E459" s="523"/>
      <c r="F459" s="523"/>
      <c r="G459" s="523"/>
      <c r="H459" s="523"/>
      <c r="I459" s="523"/>
      <c r="J459" s="523"/>
      <c r="K459" s="538"/>
      <c r="L459" s="539"/>
      <c r="M459" s="523"/>
      <c r="N459" s="523"/>
      <c r="O459" s="523"/>
      <c r="P459" s="1789"/>
      <c r="Q459" s="523"/>
      <c r="R459" s="523"/>
      <c r="S459" s="523"/>
      <c r="T459" s="523"/>
      <c r="U459" s="523"/>
      <c r="V459" s="523"/>
      <c r="W459" s="523"/>
      <c r="X459" s="523"/>
      <c r="Y459" s="523"/>
      <c r="Z459" s="523"/>
      <c r="AA459" s="523"/>
      <c r="AB459" s="523"/>
      <c r="AC459" s="523"/>
    </row>
    <row r="460" spans="1:29">
      <c r="A460" s="523"/>
      <c r="B460" s="523"/>
      <c r="C460" s="523"/>
      <c r="D460" s="523"/>
      <c r="E460" s="523"/>
      <c r="F460" s="523"/>
      <c r="G460" s="523"/>
      <c r="H460" s="523"/>
      <c r="I460" s="523"/>
      <c r="J460" s="523"/>
      <c r="K460" s="538"/>
      <c r="L460" s="539"/>
      <c r="M460" s="523"/>
      <c r="N460" s="523"/>
      <c r="O460" s="523"/>
      <c r="P460" s="1789"/>
      <c r="Q460" s="523"/>
      <c r="R460" s="523"/>
      <c r="S460" s="523"/>
      <c r="T460" s="523"/>
      <c r="U460" s="523"/>
      <c r="V460" s="523"/>
      <c r="W460" s="523"/>
      <c r="X460" s="523"/>
      <c r="Y460" s="523"/>
      <c r="Z460" s="523"/>
      <c r="AA460" s="523"/>
      <c r="AB460" s="523"/>
      <c r="AC460" s="523"/>
    </row>
    <row r="461" spans="1:29">
      <c r="A461" s="523"/>
      <c r="B461" s="523"/>
      <c r="C461" s="523"/>
      <c r="D461" s="523"/>
      <c r="E461" s="523"/>
      <c r="F461" s="523"/>
      <c r="G461" s="523"/>
      <c r="H461" s="523"/>
      <c r="I461" s="523"/>
      <c r="J461" s="523"/>
      <c r="K461" s="538"/>
      <c r="L461" s="539"/>
      <c r="M461" s="523"/>
      <c r="N461" s="523"/>
      <c r="O461" s="523"/>
      <c r="P461" s="1789"/>
      <c r="Q461" s="523"/>
      <c r="R461" s="523"/>
      <c r="S461" s="523"/>
      <c r="T461" s="523"/>
      <c r="U461" s="523"/>
      <c r="V461" s="523"/>
      <c r="W461" s="523"/>
      <c r="X461" s="523"/>
      <c r="Y461" s="523"/>
      <c r="Z461" s="523"/>
      <c r="AA461" s="523"/>
      <c r="AB461" s="523"/>
      <c r="AC461" s="523"/>
    </row>
    <row r="462" spans="1:29">
      <c r="A462" s="523"/>
      <c r="B462" s="523"/>
      <c r="C462" s="523"/>
      <c r="D462" s="523"/>
      <c r="E462" s="523"/>
      <c r="F462" s="523"/>
      <c r="G462" s="523"/>
      <c r="H462" s="523"/>
      <c r="I462" s="523"/>
      <c r="J462" s="523"/>
      <c r="K462" s="538"/>
      <c r="L462" s="539"/>
      <c r="M462" s="523"/>
      <c r="N462" s="523"/>
      <c r="O462" s="523"/>
      <c r="P462" s="1789"/>
      <c r="Q462" s="523"/>
      <c r="R462" s="523"/>
      <c r="S462" s="523"/>
      <c r="T462" s="523"/>
      <c r="U462" s="523"/>
      <c r="V462" s="523"/>
      <c r="W462" s="523"/>
      <c r="X462" s="523"/>
      <c r="Y462" s="523"/>
      <c r="Z462" s="523"/>
      <c r="AA462" s="523"/>
      <c r="AB462" s="523"/>
      <c r="AC462" s="523"/>
    </row>
    <row r="463" spans="1:29">
      <c r="A463" s="523"/>
      <c r="B463" s="523"/>
      <c r="C463" s="523"/>
      <c r="D463" s="523"/>
      <c r="E463" s="523"/>
      <c r="F463" s="523"/>
      <c r="G463" s="523"/>
      <c r="H463" s="523"/>
      <c r="I463" s="523"/>
      <c r="J463" s="523"/>
      <c r="K463" s="538"/>
      <c r="L463" s="539"/>
      <c r="M463" s="523"/>
      <c r="N463" s="523"/>
      <c r="O463" s="523"/>
      <c r="P463" s="1789"/>
      <c r="Q463" s="523"/>
      <c r="R463" s="523"/>
      <c r="S463" s="523"/>
      <c r="T463" s="523"/>
      <c r="U463" s="523"/>
      <c r="V463" s="523"/>
      <c r="W463" s="523"/>
      <c r="X463" s="523"/>
      <c r="Y463" s="523"/>
      <c r="Z463" s="523"/>
      <c r="AA463" s="523"/>
      <c r="AB463" s="523"/>
      <c r="AC463" s="523"/>
    </row>
    <row r="464" spans="1:29">
      <c r="A464" s="523"/>
      <c r="B464" s="523"/>
      <c r="C464" s="523"/>
      <c r="D464" s="523"/>
      <c r="E464" s="523"/>
      <c r="F464" s="523"/>
      <c r="G464" s="523"/>
      <c r="H464" s="523"/>
      <c r="I464" s="523"/>
      <c r="J464" s="523"/>
      <c r="K464" s="538"/>
      <c r="L464" s="539"/>
      <c r="M464" s="523"/>
      <c r="N464" s="523"/>
      <c r="O464" s="523"/>
      <c r="P464" s="1789"/>
      <c r="Q464" s="523"/>
      <c r="R464" s="523"/>
      <c r="S464" s="523"/>
      <c r="T464" s="523"/>
      <c r="U464" s="523"/>
      <c r="V464" s="523"/>
      <c r="W464" s="523"/>
      <c r="X464" s="523"/>
      <c r="Y464" s="523"/>
      <c r="Z464" s="523"/>
      <c r="AA464" s="523"/>
      <c r="AB464" s="523"/>
      <c r="AC464" s="523"/>
    </row>
    <row r="465" spans="1:29">
      <c r="A465" s="523"/>
      <c r="B465" s="523"/>
      <c r="C465" s="523"/>
      <c r="D465" s="523"/>
      <c r="E465" s="523"/>
      <c r="F465" s="523"/>
      <c r="G465" s="523"/>
      <c r="H465" s="523"/>
      <c r="I465" s="523"/>
      <c r="J465" s="523"/>
      <c r="K465" s="538"/>
      <c r="L465" s="539"/>
      <c r="M465" s="523"/>
      <c r="N465" s="523"/>
      <c r="O465" s="523"/>
      <c r="P465" s="1789"/>
      <c r="Q465" s="523"/>
      <c r="R465" s="523"/>
      <c r="S465" s="523"/>
      <c r="T465" s="523"/>
      <c r="U465" s="523"/>
      <c r="V465" s="523"/>
      <c r="W465" s="523"/>
      <c r="X465" s="523"/>
      <c r="Y465" s="523"/>
      <c r="Z465" s="523"/>
      <c r="AA465" s="523"/>
      <c r="AB465" s="523"/>
      <c r="AC465" s="523"/>
    </row>
    <row r="466" spans="1:29">
      <c r="A466" s="523"/>
      <c r="B466" s="523"/>
      <c r="C466" s="523"/>
      <c r="D466" s="523"/>
      <c r="E466" s="523"/>
      <c r="F466" s="523"/>
      <c r="G466" s="523"/>
      <c r="H466" s="523"/>
      <c r="I466" s="523"/>
      <c r="J466" s="523"/>
      <c r="K466" s="538"/>
      <c r="L466" s="539"/>
      <c r="M466" s="523"/>
      <c r="N466" s="523"/>
      <c r="O466" s="523"/>
      <c r="P466" s="1789"/>
      <c r="Q466" s="523"/>
      <c r="R466" s="523"/>
      <c r="S466" s="523"/>
      <c r="T466" s="523"/>
      <c r="U466" s="523"/>
      <c r="V466" s="523"/>
      <c r="W466" s="523"/>
      <c r="X466" s="523"/>
      <c r="Y466" s="523"/>
      <c r="Z466" s="523"/>
      <c r="AA466" s="523"/>
      <c r="AB466" s="523"/>
      <c r="AC466" s="523"/>
    </row>
    <row r="467" spans="1:29">
      <c r="A467" s="523"/>
      <c r="B467" s="523"/>
      <c r="C467" s="523"/>
      <c r="D467" s="523"/>
      <c r="E467" s="523"/>
      <c r="F467" s="523"/>
      <c r="G467" s="523"/>
      <c r="H467" s="523"/>
      <c r="I467" s="523"/>
      <c r="J467" s="523"/>
      <c r="K467" s="538"/>
      <c r="L467" s="539"/>
      <c r="M467" s="523"/>
      <c r="N467" s="523"/>
      <c r="O467" s="523"/>
      <c r="P467" s="1789"/>
      <c r="Q467" s="523"/>
      <c r="R467" s="523"/>
      <c r="S467" s="523"/>
      <c r="T467" s="523"/>
      <c r="U467" s="523"/>
      <c r="V467" s="523"/>
      <c r="W467" s="523"/>
      <c r="X467" s="523"/>
      <c r="Y467" s="523"/>
      <c r="Z467" s="523"/>
      <c r="AA467" s="523"/>
      <c r="AB467" s="523"/>
      <c r="AC467" s="523"/>
    </row>
    <row r="468" spans="1:29">
      <c r="A468" s="523"/>
      <c r="B468" s="523"/>
      <c r="C468" s="523"/>
      <c r="D468" s="523"/>
      <c r="E468" s="523"/>
      <c r="F468" s="523"/>
      <c r="G468" s="523"/>
      <c r="H468" s="523"/>
      <c r="I468" s="523"/>
      <c r="J468" s="523"/>
      <c r="K468" s="538"/>
      <c r="L468" s="539"/>
      <c r="M468" s="523"/>
      <c r="N468" s="523"/>
      <c r="O468" s="523"/>
      <c r="P468" s="1789"/>
      <c r="Q468" s="523"/>
      <c r="R468" s="523"/>
      <c r="S468" s="523"/>
      <c r="T468" s="523"/>
      <c r="U468" s="523"/>
      <c r="V468" s="523"/>
      <c r="W468" s="523"/>
      <c r="X468" s="523"/>
      <c r="Y468" s="523"/>
      <c r="Z468" s="523"/>
      <c r="AA468" s="523"/>
      <c r="AB468" s="523"/>
      <c r="AC468" s="523"/>
    </row>
    <row r="469" spans="1:29">
      <c r="A469" s="523"/>
      <c r="B469" s="523"/>
      <c r="C469" s="523"/>
      <c r="D469" s="523"/>
      <c r="E469" s="523"/>
      <c r="F469" s="523"/>
      <c r="G469" s="523"/>
      <c r="H469" s="523"/>
      <c r="I469" s="523"/>
      <c r="J469" s="523"/>
      <c r="K469" s="538"/>
      <c r="L469" s="539"/>
      <c r="M469" s="523"/>
      <c r="N469" s="523"/>
      <c r="O469" s="523"/>
      <c r="P469" s="1789"/>
      <c r="Q469" s="523"/>
      <c r="R469" s="523"/>
      <c r="S469" s="523"/>
      <c r="T469" s="523"/>
      <c r="U469" s="523"/>
      <c r="V469" s="523"/>
      <c r="W469" s="523"/>
      <c r="X469" s="523"/>
      <c r="Y469" s="523"/>
      <c r="Z469" s="523"/>
      <c r="AA469" s="523"/>
      <c r="AB469" s="523"/>
      <c r="AC469" s="523"/>
    </row>
    <row r="470" spans="1:29">
      <c r="A470" s="523"/>
      <c r="B470" s="523"/>
      <c r="C470" s="523"/>
      <c r="D470" s="523"/>
      <c r="E470" s="523"/>
      <c r="F470" s="523"/>
      <c r="G470" s="523"/>
      <c r="H470" s="523"/>
      <c r="I470" s="523"/>
      <c r="J470" s="523"/>
      <c r="K470" s="538"/>
      <c r="L470" s="539"/>
      <c r="M470" s="523"/>
      <c r="N470" s="523"/>
      <c r="O470" s="523"/>
      <c r="P470" s="1789"/>
      <c r="Q470" s="523"/>
      <c r="R470" s="523"/>
      <c r="S470" s="523"/>
      <c r="T470" s="523"/>
      <c r="U470" s="523"/>
      <c r="V470" s="523"/>
      <c r="W470" s="523"/>
      <c r="X470" s="523"/>
      <c r="Y470" s="523"/>
      <c r="Z470" s="523"/>
      <c r="AA470" s="523"/>
      <c r="AB470" s="523"/>
      <c r="AC470" s="523"/>
    </row>
    <row r="471" spans="1:29">
      <c r="A471" s="523"/>
      <c r="B471" s="523"/>
      <c r="C471" s="523"/>
      <c r="D471" s="523"/>
      <c r="E471" s="523"/>
      <c r="F471" s="523"/>
      <c r="G471" s="523"/>
      <c r="H471" s="523"/>
      <c r="I471" s="523"/>
      <c r="J471" s="523"/>
      <c r="K471" s="538"/>
      <c r="L471" s="539"/>
      <c r="M471" s="523"/>
      <c r="N471" s="523"/>
      <c r="O471" s="523"/>
      <c r="P471" s="1789"/>
      <c r="Q471" s="523"/>
      <c r="R471" s="523"/>
      <c r="S471" s="523"/>
      <c r="T471" s="523"/>
      <c r="U471" s="523"/>
      <c r="V471" s="523"/>
      <c r="W471" s="523"/>
      <c r="X471" s="523"/>
      <c r="Y471" s="523"/>
      <c r="Z471" s="523"/>
      <c r="AA471" s="523"/>
      <c r="AB471" s="523"/>
      <c r="AC471" s="523"/>
    </row>
    <row r="472" spans="1:29">
      <c r="A472" s="523"/>
      <c r="B472" s="523"/>
      <c r="C472" s="523"/>
      <c r="D472" s="523"/>
      <c r="E472" s="523"/>
      <c r="F472" s="523"/>
      <c r="G472" s="523"/>
      <c r="H472" s="523"/>
      <c r="I472" s="523"/>
      <c r="J472" s="523"/>
      <c r="K472" s="538"/>
      <c r="L472" s="539"/>
      <c r="M472" s="523"/>
      <c r="N472" s="523"/>
      <c r="O472" s="523"/>
      <c r="P472" s="1789"/>
      <c r="Q472" s="523"/>
      <c r="R472" s="523"/>
      <c r="S472" s="523"/>
      <c r="T472" s="523"/>
      <c r="U472" s="523"/>
      <c r="V472" s="523"/>
      <c r="W472" s="523"/>
      <c r="X472" s="523"/>
      <c r="Y472" s="523"/>
      <c r="Z472" s="523"/>
      <c r="AA472" s="523"/>
      <c r="AB472" s="523"/>
      <c r="AC472" s="523"/>
    </row>
    <row r="473" spans="1:29">
      <c r="A473" s="523"/>
      <c r="B473" s="523"/>
      <c r="C473" s="523"/>
      <c r="D473" s="523"/>
      <c r="E473" s="523"/>
      <c r="F473" s="523"/>
      <c r="G473" s="523"/>
      <c r="H473" s="523"/>
      <c r="I473" s="523"/>
      <c r="J473" s="523"/>
      <c r="K473" s="538"/>
      <c r="L473" s="539"/>
      <c r="M473" s="523"/>
      <c r="N473" s="523"/>
      <c r="O473" s="523"/>
      <c r="P473" s="1789"/>
      <c r="Q473" s="523"/>
      <c r="R473" s="523"/>
      <c r="S473" s="523"/>
      <c r="T473" s="523"/>
      <c r="U473" s="523"/>
      <c r="V473" s="523"/>
      <c r="W473" s="523"/>
      <c r="X473" s="523"/>
      <c r="Y473" s="523"/>
      <c r="Z473" s="523"/>
      <c r="AA473" s="523"/>
      <c r="AB473" s="523"/>
      <c r="AC473" s="523"/>
    </row>
    <row r="474" spans="1:29">
      <c r="A474" s="523"/>
      <c r="B474" s="523"/>
      <c r="C474" s="523"/>
      <c r="D474" s="523"/>
      <c r="E474" s="523"/>
      <c r="F474" s="523"/>
      <c r="G474" s="523"/>
      <c r="H474" s="523"/>
      <c r="I474" s="523"/>
      <c r="J474" s="523"/>
      <c r="K474" s="538"/>
      <c r="L474" s="539"/>
      <c r="M474" s="523"/>
      <c r="N474" s="523"/>
      <c r="O474" s="523"/>
      <c r="P474" s="1789"/>
      <c r="Q474" s="523"/>
      <c r="R474" s="523"/>
      <c r="S474" s="523"/>
      <c r="T474" s="523"/>
      <c r="U474" s="523"/>
      <c r="V474" s="523"/>
      <c r="W474" s="523"/>
      <c r="X474" s="523"/>
      <c r="Y474" s="523"/>
      <c r="Z474" s="523"/>
      <c r="AA474" s="523"/>
      <c r="AB474" s="523"/>
      <c r="AC474" s="523"/>
    </row>
    <row r="475" spans="1:29">
      <c r="A475" s="523"/>
      <c r="B475" s="523"/>
      <c r="C475" s="523"/>
      <c r="D475" s="523"/>
      <c r="E475" s="523"/>
      <c r="F475" s="523"/>
      <c r="G475" s="523"/>
      <c r="H475" s="523"/>
      <c r="I475" s="523"/>
      <c r="J475" s="523"/>
      <c r="K475" s="538"/>
      <c r="L475" s="539"/>
      <c r="M475" s="523"/>
      <c r="N475" s="523"/>
      <c r="O475" s="523"/>
      <c r="P475" s="1789"/>
      <c r="Q475" s="523"/>
      <c r="R475" s="523"/>
      <c r="S475" s="523"/>
      <c r="T475" s="523"/>
      <c r="U475" s="523"/>
      <c r="V475" s="523"/>
      <c r="W475" s="523"/>
      <c r="X475" s="523"/>
      <c r="Y475" s="523"/>
      <c r="Z475" s="523"/>
      <c r="AA475" s="523"/>
      <c r="AB475" s="523"/>
      <c r="AC475" s="523"/>
    </row>
    <row r="476" spans="1:29">
      <c r="A476" s="523"/>
      <c r="B476" s="523"/>
      <c r="C476" s="523"/>
      <c r="D476" s="523"/>
      <c r="E476" s="523"/>
      <c r="F476" s="523"/>
      <c r="G476" s="523"/>
      <c r="H476" s="523"/>
      <c r="I476" s="523"/>
      <c r="J476" s="523"/>
      <c r="K476" s="538"/>
      <c r="L476" s="539"/>
      <c r="M476" s="523"/>
      <c r="N476" s="523"/>
      <c r="O476" s="523"/>
      <c r="P476" s="1789"/>
      <c r="Q476" s="523"/>
      <c r="R476" s="523"/>
      <c r="S476" s="523"/>
      <c r="T476" s="523"/>
      <c r="U476" s="523"/>
      <c r="V476" s="523"/>
      <c r="W476" s="523"/>
      <c r="X476" s="523"/>
      <c r="Y476" s="523"/>
      <c r="Z476" s="523"/>
      <c r="AA476" s="523"/>
      <c r="AB476" s="523"/>
      <c r="AC476" s="523"/>
    </row>
    <row r="477" spans="1:29">
      <c r="A477" s="523"/>
      <c r="B477" s="523"/>
      <c r="C477" s="523"/>
      <c r="D477" s="523"/>
      <c r="E477" s="523"/>
      <c r="F477" s="523"/>
      <c r="G477" s="523"/>
      <c r="H477" s="523"/>
      <c r="I477" s="523"/>
      <c r="J477" s="523"/>
      <c r="K477" s="538"/>
      <c r="L477" s="539"/>
      <c r="M477" s="523"/>
      <c r="N477" s="523"/>
      <c r="O477" s="523"/>
      <c r="P477" s="1789"/>
      <c r="Q477" s="523"/>
      <c r="R477" s="523"/>
      <c r="S477" s="523"/>
      <c r="T477" s="523"/>
      <c r="U477" s="523"/>
      <c r="V477" s="523"/>
      <c r="W477" s="523"/>
      <c r="X477" s="523"/>
      <c r="Y477" s="523"/>
      <c r="Z477" s="523"/>
      <c r="AA477" s="523"/>
      <c r="AB477" s="523"/>
      <c r="AC477" s="523"/>
    </row>
    <row r="478" spans="1:29">
      <c r="A478" s="523"/>
      <c r="B478" s="523"/>
      <c r="C478" s="523"/>
      <c r="D478" s="523"/>
      <c r="E478" s="523"/>
      <c r="F478" s="523"/>
      <c r="G478" s="523"/>
      <c r="H478" s="523"/>
      <c r="I478" s="523"/>
      <c r="J478" s="523"/>
      <c r="K478" s="538"/>
      <c r="L478" s="539"/>
      <c r="M478" s="523"/>
      <c r="N478" s="523"/>
      <c r="O478" s="523"/>
      <c r="P478" s="1789"/>
      <c r="Q478" s="523"/>
      <c r="R478" s="523"/>
      <c r="S478" s="523"/>
      <c r="T478" s="523"/>
      <c r="U478" s="523"/>
      <c r="V478" s="523"/>
      <c r="W478" s="523"/>
      <c r="X478" s="523"/>
      <c r="Y478" s="523"/>
      <c r="Z478" s="523"/>
      <c r="AA478" s="523"/>
      <c r="AB478" s="523"/>
      <c r="AC478" s="523"/>
    </row>
    <row r="479" spans="1:29">
      <c r="A479" s="523"/>
      <c r="B479" s="523"/>
      <c r="C479" s="523"/>
      <c r="D479" s="523"/>
      <c r="E479" s="523"/>
      <c r="F479" s="523"/>
      <c r="G479" s="523"/>
      <c r="H479" s="523"/>
      <c r="I479" s="523"/>
      <c r="J479" s="523"/>
      <c r="K479" s="538"/>
      <c r="L479" s="539"/>
      <c r="M479" s="523"/>
      <c r="N479" s="523"/>
      <c r="O479" s="523"/>
      <c r="P479" s="1789"/>
      <c r="Q479" s="523"/>
      <c r="R479" s="523"/>
      <c r="S479" s="523"/>
      <c r="T479" s="523"/>
      <c r="U479" s="523"/>
      <c r="V479" s="523"/>
      <c r="W479" s="523"/>
      <c r="X479" s="523"/>
      <c r="Y479" s="523"/>
      <c r="Z479" s="523"/>
      <c r="AA479" s="523"/>
      <c r="AB479" s="523"/>
      <c r="AC479" s="523"/>
    </row>
    <row r="480" spans="1:29">
      <c r="A480" s="523"/>
      <c r="B480" s="523"/>
      <c r="C480" s="523"/>
      <c r="D480" s="523"/>
      <c r="E480" s="523"/>
      <c r="F480" s="523"/>
      <c r="G480" s="523"/>
      <c r="H480" s="523"/>
      <c r="I480" s="523"/>
      <c r="J480" s="523"/>
      <c r="K480" s="538"/>
      <c r="L480" s="539"/>
      <c r="M480" s="523"/>
      <c r="N480" s="523"/>
      <c r="O480" s="523"/>
      <c r="P480" s="1789"/>
      <c r="Q480" s="523"/>
      <c r="R480" s="523"/>
      <c r="S480" s="523"/>
      <c r="T480" s="523"/>
      <c r="U480" s="523"/>
      <c r="V480" s="523"/>
      <c r="W480" s="523"/>
      <c r="X480" s="523"/>
      <c r="Y480" s="523"/>
      <c r="Z480" s="523"/>
      <c r="AA480" s="523"/>
      <c r="AB480" s="523"/>
      <c r="AC480" s="523"/>
    </row>
    <row r="481" spans="1:29">
      <c r="A481" s="523"/>
      <c r="B481" s="523"/>
      <c r="C481" s="523"/>
      <c r="D481" s="523"/>
      <c r="E481" s="523"/>
      <c r="F481" s="523"/>
      <c r="G481" s="523"/>
      <c r="H481" s="523"/>
      <c r="I481" s="523"/>
      <c r="J481" s="523"/>
      <c r="K481" s="538"/>
      <c r="L481" s="539"/>
      <c r="M481" s="523"/>
      <c r="N481" s="523"/>
      <c r="O481" s="523"/>
      <c r="P481" s="1789"/>
      <c r="Q481" s="523"/>
      <c r="R481" s="523"/>
      <c r="S481" s="523"/>
      <c r="T481" s="523"/>
      <c r="U481" s="523"/>
      <c r="V481" s="523"/>
      <c r="W481" s="523"/>
      <c r="X481" s="523"/>
      <c r="Y481" s="523"/>
      <c r="Z481" s="523"/>
      <c r="AA481" s="523"/>
      <c r="AB481" s="523"/>
      <c r="AC481" s="523"/>
    </row>
    <row r="482" spans="1:29">
      <c r="A482" s="523"/>
      <c r="B482" s="523"/>
      <c r="C482" s="523"/>
      <c r="D482" s="523"/>
      <c r="E482" s="523"/>
      <c r="F482" s="523"/>
      <c r="G482" s="523"/>
      <c r="H482" s="523"/>
      <c r="I482" s="523"/>
      <c r="J482" s="523"/>
      <c r="K482" s="538"/>
      <c r="L482" s="539"/>
      <c r="M482" s="523"/>
      <c r="N482" s="523"/>
      <c r="O482" s="523"/>
      <c r="P482" s="1789"/>
      <c r="Q482" s="523"/>
      <c r="R482" s="523"/>
      <c r="S482" s="523"/>
      <c r="T482" s="523"/>
      <c r="U482" s="523"/>
      <c r="V482" s="523"/>
      <c r="W482" s="523"/>
      <c r="X482" s="523"/>
      <c r="Y482" s="523"/>
      <c r="Z482" s="523"/>
      <c r="AA482" s="523"/>
      <c r="AB482" s="523"/>
      <c r="AC482" s="523"/>
    </row>
    <row r="483" spans="1:29">
      <c r="A483" s="523"/>
      <c r="B483" s="523"/>
      <c r="C483" s="523"/>
      <c r="D483" s="523"/>
      <c r="E483" s="523"/>
      <c r="F483" s="523"/>
      <c r="G483" s="523"/>
      <c r="H483" s="523"/>
      <c r="I483" s="523"/>
      <c r="J483" s="523"/>
      <c r="K483" s="538"/>
      <c r="L483" s="539"/>
      <c r="M483" s="523"/>
      <c r="N483" s="523"/>
      <c r="O483" s="523"/>
      <c r="P483" s="1789"/>
      <c r="Q483" s="523"/>
      <c r="R483" s="523"/>
      <c r="S483" s="523"/>
      <c r="T483" s="523"/>
      <c r="U483" s="523"/>
      <c r="V483" s="523"/>
      <c r="W483" s="523"/>
      <c r="X483" s="523"/>
      <c r="Y483" s="523"/>
      <c r="Z483" s="523"/>
      <c r="AA483" s="523"/>
      <c r="AB483" s="523"/>
      <c r="AC483" s="523"/>
    </row>
    <row r="484" spans="1:29">
      <c r="A484" s="523"/>
      <c r="B484" s="523"/>
      <c r="C484" s="523"/>
      <c r="D484" s="523"/>
      <c r="E484" s="523"/>
      <c r="F484" s="523"/>
      <c r="G484" s="523"/>
      <c r="H484" s="523"/>
      <c r="I484" s="523"/>
      <c r="J484" s="523"/>
      <c r="K484" s="538"/>
      <c r="L484" s="539"/>
      <c r="M484" s="523"/>
      <c r="N484" s="523"/>
      <c r="O484" s="523"/>
      <c r="P484" s="1789"/>
      <c r="Q484" s="523"/>
      <c r="R484" s="523"/>
      <c r="S484" s="523"/>
      <c r="T484" s="523"/>
      <c r="U484" s="523"/>
      <c r="V484" s="523"/>
      <c r="W484" s="523"/>
      <c r="X484" s="523"/>
      <c r="Y484" s="523"/>
      <c r="Z484" s="523"/>
      <c r="AA484" s="523"/>
      <c r="AB484" s="523"/>
      <c r="AC484" s="523"/>
    </row>
    <row r="485" spans="1:29">
      <c r="A485" s="523"/>
      <c r="B485" s="523"/>
      <c r="C485" s="523"/>
      <c r="D485" s="523"/>
      <c r="E485" s="523"/>
      <c r="F485" s="523"/>
      <c r="G485" s="523"/>
      <c r="H485" s="523"/>
      <c r="I485" s="523"/>
      <c r="J485" s="523"/>
      <c r="K485" s="538"/>
      <c r="L485" s="539"/>
      <c r="M485" s="523"/>
      <c r="N485" s="523"/>
      <c r="O485" s="523"/>
      <c r="P485" s="1789"/>
      <c r="Q485" s="523"/>
      <c r="R485" s="523"/>
      <c r="S485" s="523"/>
      <c r="T485" s="523"/>
      <c r="U485" s="523"/>
      <c r="V485" s="523"/>
      <c r="W485" s="523"/>
      <c r="X485" s="523"/>
      <c r="Y485" s="523"/>
      <c r="Z485" s="523"/>
      <c r="AA485" s="523"/>
      <c r="AB485" s="523"/>
      <c r="AC485" s="523"/>
    </row>
    <row r="486" spans="1:29">
      <c r="A486" s="523"/>
      <c r="B486" s="523"/>
      <c r="C486" s="523"/>
      <c r="D486" s="523"/>
      <c r="E486" s="523"/>
      <c r="F486" s="523"/>
      <c r="G486" s="523"/>
      <c r="H486" s="523"/>
      <c r="I486" s="523"/>
      <c r="J486" s="523"/>
      <c r="K486" s="538"/>
      <c r="L486" s="539"/>
      <c r="M486" s="523"/>
      <c r="N486" s="523"/>
      <c r="O486" s="523"/>
      <c r="P486" s="1789"/>
      <c r="Q486" s="523"/>
      <c r="R486" s="523"/>
      <c r="S486" s="523"/>
      <c r="T486" s="523"/>
      <c r="U486" s="523"/>
      <c r="V486" s="523"/>
      <c r="W486" s="523"/>
      <c r="X486" s="523"/>
      <c r="Y486" s="523"/>
      <c r="Z486" s="523"/>
      <c r="AA486" s="523"/>
      <c r="AB486" s="523"/>
      <c r="AC486" s="523"/>
    </row>
    <row r="487" spans="1:29">
      <c r="A487" s="523"/>
      <c r="B487" s="523"/>
      <c r="C487" s="523"/>
      <c r="D487" s="523"/>
      <c r="E487" s="523"/>
      <c r="F487" s="523"/>
      <c r="G487" s="523"/>
      <c r="H487" s="523"/>
      <c r="I487" s="523"/>
      <c r="J487" s="523"/>
      <c r="K487" s="538"/>
      <c r="L487" s="539"/>
      <c r="M487" s="523"/>
      <c r="N487" s="523"/>
      <c r="O487" s="523"/>
      <c r="P487" s="1789"/>
      <c r="Q487" s="523"/>
      <c r="R487" s="523"/>
      <c r="S487" s="523"/>
      <c r="T487" s="523"/>
      <c r="U487" s="523"/>
      <c r="V487" s="523"/>
      <c r="W487" s="523"/>
      <c r="X487" s="523"/>
      <c r="Y487" s="523"/>
      <c r="Z487" s="523"/>
      <c r="AA487" s="523"/>
      <c r="AB487" s="523"/>
      <c r="AC487" s="523"/>
    </row>
    <row r="488" spans="1:29">
      <c r="A488" s="523"/>
      <c r="B488" s="523"/>
      <c r="C488" s="523"/>
      <c r="D488" s="523"/>
      <c r="E488" s="523"/>
      <c r="F488" s="523"/>
      <c r="G488" s="523"/>
      <c r="H488" s="523"/>
      <c r="I488" s="523"/>
      <c r="J488" s="523"/>
      <c r="K488" s="538"/>
      <c r="L488" s="539"/>
      <c r="M488" s="523"/>
      <c r="N488" s="523"/>
      <c r="O488" s="523"/>
      <c r="P488" s="1789"/>
      <c r="Q488" s="523"/>
      <c r="R488" s="523"/>
      <c r="S488" s="523"/>
      <c r="T488" s="523"/>
      <c r="U488" s="523"/>
      <c r="V488" s="523"/>
      <c r="W488" s="523"/>
      <c r="X488" s="523"/>
      <c r="Y488" s="523"/>
      <c r="Z488" s="523"/>
      <c r="AA488" s="523"/>
      <c r="AB488" s="523"/>
      <c r="AC488" s="523"/>
    </row>
    <row r="489" spans="1:29">
      <c r="A489" s="523"/>
      <c r="B489" s="523"/>
      <c r="C489" s="523"/>
      <c r="D489" s="523"/>
      <c r="E489" s="523"/>
      <c r="F489" s="523"/>
      <c r="G489" s="523"/>
      <c r="H489" s="523"/>
      <c r="I489" s="523"/>
      <c r="J489" s="523"/>
      <c r="K489" s="538"/>
      <c r="L489" s="539"/>
      <c r="M489" s="523"/>
      <c r="N489" s="523"/>
      <c r="O489" s="523"/>
      <c r="P489" s="1789"/>
      <c r="Q489" s="523"/>
      <c r="R489" s="523"/>
      <c r="S489" s="523"/>
      <c r="T489" s="523"/>
      <c r="U489" s="523"/>
      <c r="V489" s="523"/>
      <c r="W489" s="523"/>
      <c r="X489" s="523"/>
      <c r="Y489" s="523"/>
      <c r="Z489" s="523"/>
      <c r="AA489" s="523"/>
      <c r="AB489" s="523"/>
      <c r="AC489" s="523"/>
    </row>
    <row r="490" spans="1:29">
      <c r="A490" s="523"/>
      <c r="B490" s="523"/>
      <c r="C490" s="523"/>
      <c r="D490" s="523"/>
      <c r="E490" s="523"/>
      <c r="F490" s="523"/>
      <c r="G490" s="523"/>
      <c r="H490" s="523"/>
      <c r="I490" s="523"/>
      <c r="J490" s="523"/>
      <c r="K490" s="538"/>
      <c r="L490" s="539"/>
      <c r="M490" s="523"/>
      <c r="N490" s="523"/>
      <c r="O490" s="523"/>
      <c r="P490" s="1789"/>
      <c r="Q490" s="523"/>
      <c r="R490" s="523"/>
      <c r="S490" s="523"/>
      <c r="T490" s="523"/>
      <c r="U490" s="523"/>
      <c r="V490" s="523"/>
      <c r="W490" s="523"/>
      <c r="X490" s="523"/>
      <c r="Y490" s="523"/>
      <c r="Z490" s="523"/>
      <c r="AA490" s="523"/>
      <c r="AB490" s="523"/>
      <c r="AC490" s="523"/>
    </row>
    <row r="491" spans="1:29">
      <c r="A491" s="523"/>
      <c r="B491" s="523"/>
      <c r="C491" s="523"/>
      <c r="D491" s="523"/>
      <c r="E491" s="523"/>
      <c r="F491" s="523"/>
      <c r="G491" s="523"/>
      <c r="H491" s="523"/>
      <c r="I491" s="523"/>
      <c r="J491" s="523"/>
      <c r="K491" s="538"/>
      <c r="L491" s="539"/>
      <c r="M491" s="523"/>
      <c r="N491" s="523"/>
      <c r="O491" s="523"/>
      <c r="P491" s="1789"/>
      <c r="Q491" s="523"/>
      <c r="R491" s="523"/>
      <c r="S491" s="523"/>
      <c r="T491" s="523"/>
      <c r="U491" s="523"/>
      <c r="V491" s="523"/>
      <c r="W491" s="523"/>
      <c r="X491" s="523"/>
      <c r="Y491" s="523"/>
      <c r="Z491" s="523"/>
      <c r="AA491" s="523"/>
      <c r="AB491" s="523"/>
      <c r="AC491" s="523"/>
    </row>
    <row r="492" spans="1:29">
      <c r="A492" s="523"/>
      <c r="B492" s="523"/>
      <c r="C492" s="523"/>
      <c r="D492" s="523"/>
      <c r="E492" s="523"/>
      <c r="F492" s="523"/>
      <c r="G492" s="523"/>
      <c r="H492" s="523"/>
      <c r="I492" s="523"/>
      <c r="J492" s="523"/>
      <c r="K492" s="538"/>
      <c r="L492" s="539"/>
      <c r="M492" s="523"/>
      <c r="N492" s="523"/>
      <c r="O492" s="523"/>
      <c r="P492" s="1789"/>
      <c r="Q492" s="523"/>
      <c r="R492" s="523"/>
      <c r="S492" s="523"/>
      <c r="T492" s="523"/>
      <c r="U492" s="523"/>
      <c r="V492" s="523"/>
      <c r="W492" s="523"/>
      <c r="X492" s="523"/>
      <c r="Y492" s="523"/>
      <c r="Z492" s="523"/>
      <c r="AA492" s="523"/>
      <c r="AB492" s="523"/>
      <c r="AC492" s="523"/>
    </row>
    <row r="493" spans="1:29">
      <c r="A493" s="523"/>
      <c r="B493" s="523"/>
      <c r="C493" s="523"/>
      <c r="D493" s="523"/>
      <c r="E493" s="523"/>
      <c r="F493" s="523"/>
      <c r="G493" s="523"/>
      <c r="H493" s="523"/>
      <c r="I493" s="523"/>
      <c r="J493" s="523"/>
      <c r="K493" s="538"/>
      <c r="L493" s="539"/>
      <c r="M493" s="523"/>
      <c r="N493" s="523"/>
      <c r="O493" s="523"/>
      <c r="P493" s="1789"/>
      <c r="Q493" s="523"/>
      <c r="R493" s="523"/>
      <c r="S493" s="523"/>
      <c r="T493" s="523"/>
      <c r="U493" s="523"/>
      <c r="V493" s="523"/>
      <c r="W493" s="523"/>
      <c r="X493" s="523"/>
      <c r="Y493" s="523"/>
      <c r="Z493" s="523"/>
      <c r="AA493" s="523"/>
      <c r="AB493" s="523"/>
      <c r="AC493" s="523"/>
    </row>
    <row r="494" spans="1:29">
      <c r="A494" s="523"/>
      <c r="B494" s="523"/>
      <c r="C494" s="523"/>
      <c r="D494" s="523"/>
      <c r="E494" s="523"/>
      <c r="F494" s="523"/>
      <c r="G494" s="523"/>
      <c r="H494" s="523"/>
      <c r="I494" s="523"/>
      <c r="J494" s="523"/>
      <c r="K494" s="538"/>
      <c r="L494" s="539"/>
      <c r="M494" s="523"/>
      <c r="N494" s="523"/>
      <c r="O494" s="523"/>
      <c r="P494" s="1789"/>
      <c r="Q494" s="523"/>
      <c r="R494" s="523"/>
      <c r="S494" s="523"/>
      <c r="T494" s="523"/>
      <c r="U494" s="523"/>
      <c r="V494" s="523"/>
      <c r="W494" s="523"/>
      <c r="X494" s="523"/>
      <c r="Y494" s="523"/>
      <c r="Z494" s="523"/>
      <c r="AA494" s="523"/>
      <c r="AB494" s="523"/>
      <c r="AC494" s="523"/>
    </row>
    <row r="495" spans="1:29">
      <c r="A495" s="523"/>
      <c r="B495" s="523"/>
      <c r="C495" s="523"/>
      <c r="D495" s="523"/>
      <c r="E495" s="523"/>
      <c r="F495" s="523"/>
      <c r="G495" s="523"/>
      <c r="H495" s="523"/>
      <c r="I495" s="523"/>
      <c r="J495" s="523"/>
      <c r="K495" s="538"/>
      <c r="L495" s="539"/>
      <c r="M495" s="523"/>
      <c r="N495" s="523"/>
      <c r="O495" s="523"/>
      <c r="P495" s="1789"/>
      <c r="Q495" s="523"/>
      <c r="R495" s="523"/>
      <c r="S495" s="523"/>
      <c r="T495" s="523"/>
      <c r="U495" s="523"/>
      <c r="V495" s="523"/>
      <c r="W495" s="523"/>
      <c r="X495" s="523"/>
      <c r="Y495" s="523"/>
      <c r="Z495" s="523"/>
      <c r="AA495" s="523"/>
      <c r="AB495" s="523"/>
      <c r="AC495" s="523"/>
    </row>
    <row r="496" spans="1:29">
      <c r="A496" s="523"/>
      <c r="B496" s="523"/>
      <c r="C496" s="523"/>
      <c r="D496" s="523"/>
      <c r="E496" s="523"/>
      <c r="F496" s="523"/>
      <c r="G496" s="523"/>
      <c r="H496" s="523"/>
      <c r="I496" s="523"/>
      <c r="J496" s="523"/>
      <c r="K496" s="538"/>
      <c r="L496" s="539"/>
      <c r="M496" s="523"/>
      <c r="N496" s="523"/>
      <c r="O496" s="523"/>
      <c r="P496" s="1789"/>
      <c r="Q496" s="523"/>
      <c r="R496" s="523"/>
      <c r="S496" s="523"/>
      <c r="T496" s="523"/>
      <c r="U496" s="523"/>
      <c r="V496" s="523"/>
      <c r="W496" s="523"/>
      <c r="X496" s="523"/>
      <c r="Y496" s="523"/>
      <c r="Z496" s="523"/>
      <c r="AA496" s="523"/>
      <c r="AB496" s="523"/>
      <c r="AC496" s="523"/>
    </row>
    <row r="497" spans="1:29">
      <c r="A497" s="523"/>
      <c r="B497" s="523"/>
      <c r="C497" s="523"/>
      <c r="D497" s="523"/>
      <c r="E497" s="523"/>
      <c r="F497" s="523"/>
      <c r="G497" s="523"/>
      <c r="H497" s="523"/>
      <c r="I497" s="523"/>
      <c r="J497" s="523"/>
      <c r="K497" s="538"/>
      <c r="L497" s="539"/>
      <c r="M497" s="523"/>
      <c r="N497" s="523"/>
      <c r="O497" s="523"/>
      <c r="P497" s="1789"/>
      <c r="Q497" s="523"/>
      <c r="R497" s="523"/>
      <c r="S497" s="523"/>
      <c r="T497" s="523"/>
      <c r="U497" s="523"/>
      <c r="V497" s="523"/>
      <c r="W497" s="523"/>
      <c r="X497" s="523"/>
      <c r="Y497" s="523"/>
      <c r="Z497" s="523"/>
      <c r="AA497" s="523"/>
      <c r="AB497" s="523"/>
      <c r="AC497" s="523"/>
    </row>
    <row r="498" spans="1:29">
      <c r="A498" s="523"/>
      <c r="B498" s="523"/>
      <c r="C498" s="523"/>
      <c r="D498" s="523"/>
      <c r="E498" s="523"/>
      <c r="F498" s="523"/>
      <c r="G498" s="523"/>
      <c r="H498" s="523"/>
      <c r="I498" s="523"/>
      <c r="J498" s="523"/>
      <c r="K498" s="538"/>
      <c r="L498" s="539"/>
      <c r="M498" s="523"/>
      <c r="N498" s="523"/>
      <c r="O498" s="523"/>
      <c r="P498" s="1789"/>
      <c r="Q498" s="523"/>
      <c r="R498" s="523"/>
      <c r="S498" s="523"/>
      <c r="T498" s="523"/>
      <c r="U498" s="523"/>
      <c r="V498" s="523"/>
      <c r="W498" s="523"/>
      <c r="X498" s="523"/>
      <c r="Y498" s="523"/>
      <c r="Z498" s="523"/>
      <c r="AA498" s="523"/>
      <c r="AB498" s="523"/>
      <c r="AC498" s="523"/>
    </row>
    <row r="499" spans="1:29">
      <c r="A499" s="523"/>
      <c r="B499" s="523"/>
      <c r="C499" s="523"/>
      <c r="D499" s="523"/>
      <c r="E499" s="523"/>
      <c r="F499" s="523"/>
      <c r="G499" s="523"/>
      <c r="H499" s="523"/>
      <c r="I499" s="523"/>
      <c r="J499" s="523"/>
      <c r="K499" s="538"/>
      <c r="L499" s="539"/>
      <c r="M499" s="523"/>
      <c r="N499" s="523"/>
      <c r="O499" s="523"/>
      <c r="P499" s="1789"/>
      <c r="Q499" s="523"/>
      <c r="R499" s="523"/>
      <c r="S499" s="523"/>
      <c r="T499" s="523"/>
      <c r="U499" s="523"/>
      <c r="V499" s="523"/>
      <c r="W499" s="523"/>
      <c r="X499" s="523"/>
      <c r="Y499" s="523"/>
      <c r="Z499" s="523"/>
      <c r="AA499" s="523"/>
      <c r="AB499" s="523"/>
      <c r="AC499" s="523"/>
    </row>
    <row r="500" spans="1:29">
      <c r="A500" s="523"/>
      <c r="B500" s="523"/>
      <c r="C500" s="523"/>
      <c r="D500" s="523"/>
      <c r="E500" s="523"/>
      <c r="F500" s="523"/>
      <c r="G500" s="523"/>
      <c r="H500" s="523"/>
      <c r="I500" s="523"/>
      <c r="J500" s="523"/>
      <c r="K500" s="538"/>
      <c r="L500" s="539"/>
      <c r="M500" s="523"/>
      <c r="N500" s="523"/>
      <c r="O500" s="523"/>
      <c r="P500" s="1789"/>
      <c r="Q500" s="523"/>
      <c r="R500" s="523"/>
      <c r="S500" s="523"/>
      <c r="T500" s="523"/>
      <c r="U500" s="523"/>
      <c r="V500" s="523"/>
      <c r="W500" s="523"/>
      <c r="X500" s="523"/>
      <c r="Y500" s="523"/>
      <c r="Z500" s="523"/>
      <c r="AA500" s="523"/>
      <c r="AB500" s="523"/>
      <c r="AC500" s="523"/>
    </row>
    <row r="501" spans="1:29">
      <c r="A501" s="523"/>
      <c r="B501" s="523"/>
      <c r="C501" s="523"/>
      <c r="D501" s="523"/>
      <c r="E501" s="523"/>
      <c r="F501" s="523"/>
      <c r="G501" s="523"/>
      <c r="H501" s="523"/>
      <c r="I501" s="523"/>
      <c r="J501" s="523"/>
      <c r="K501" s="538"/>
      <c r="L501" s="539"/>
      <c r="M501" s="523"/>
      <c r="N501" s="523"/>
      <c r="O501" s="523"/>
      <c r="P501" s="1789"/>
      <c r="Q501" s="523"/>
      <c r="R501" s="523"/>
      <c r="S501" s="523"/>
      <c r="T501" s="523"/>
      <c r="U501" s="523"/>
      <c r="V501" s="523"/>
      <c r="W501" s="523"/>
      <c r="X501" s="523"/>
      <c r="Y501" s="523"/>
      <c r="Z501" s="523"/>
      <c r="AA501" s="523"/>
      <c r="AB501" s="523"/>
      <c r="AC501" s="523"/>
    </row>
    <row r="502" spans="1:29">
      <c r="A502" s="523"/>
      <c r="B502" s="523"/>
      <c r="C502" s="523"/>
      <c r="D502" s="523"/>
      <c r="E502" s="523"/>
      <c r="F502" s="523"/>
      <c r="G502" s="523"/>
      <c r="H502" s="523"/>
      <c r="I502" s="523"/>
      <c r="J502" s="523"/>
      <c r="K502" s="538"/>
      <c r="L502" s="539"/>
      <c r="M502" s="523"/>
      <c r="N502" s="523"/>
      <c r="O502" s="523"/>
      <c r="P502" s="1789"/>
      <c r="Q502" s="523"/>
      <c r="R502" s="523"/>
      <c r="S502" s="523"/>
      <c r="T502" s="523"/>
      <c r="U502" s="523"/>
      <c r="V502" s="523"/>
      <c r="W502" s="523"/>
      <c r="X502" s="523"/>
      <c r="Y502" s="523"/>
      <c r="Z502" s="523"/>
      <c r="AA502" s="523"/>
      <c r="AB502" s="523"/>
      <c r="AC502" s="523"/>
    </row>
    <row r="503" spans="1:29">
      <c r="A503" s="523"/>
      <c r="B503" s="523"/>
      <c r="C503" s="523"/>
      <c r="D503" s="523"/>
      <c r="E503" s="523"/>
      <c r="F503" s="523"/>
      <c r="G503" s="523"/>
      <c r="H503" s="523"/>
      <c r="I503" s="523"/>
      <c r="J503" s="523"/>
      <c r="K503" s="538"/>
      <c r="L503" s="539"/>
      <c r="M503" s="523"/>
      <c r="N503" s="523"/>
      <c r="O503" s="523"/>
      <c r="P503" s="1789"/>
      <c r="Q503" s="523"/>
      <c r="R503" s="523"/>
      <c r="S503" s="523"/>
      <c r="T503" s="523"/>
      <c r="U503" s="523"/>
      <c r="V503" s="523"/>
      <c r="W503" s="523"/>
      <c r="X503" s="523"/>
      <c r="Y503" s="523"/>
      <c r="Z503" s="523"/>
      <c r="AA503" s="523"/>
      <c r="AB503" s="523"/>
      <c r="AC503" s="523"/>
    </row>
    <row r="504" spans="1:29">
      <c r="A504" s="523"/>
      <c r="B504" s="523"/>
      <c r="C504" s="523"/>
      <c r="D504" s="523"/>
      <c r="E504" s="523"/>
      <c r="F504" s="523"/>
      <c r="G504" s="523"/>
      <c r="H504" s="523"/>
      <c r="I504" s="523"/>
      <c r="J504" s="523"/>
      <c r="K504" s="538"/>
      <c r="L504" s="539"/>
      <c r="M504" s="523"/>
      <c r="N504" s="523"/>
      <c r="O504" s="523"/>
      <c r="P504" s="1789"/>
      <c r="Q504" s="523"/>
      <c r="R504" s="523"/>
      <c r="S504" s="523"/>
      <c r="T504" s="523"/>
      <c r="U504" s="523"/>
      <c r="V504" s="523"/>
      <c r="W504" s="523"/>
      <c r="X504" s="523"/>
      <c r="Y504" s="523"/>
      <c r="Z504" s="523"/>
      <c r="AA504" s="523"/>
      <c r="AB504" s="523"/>
      <c r="AC504" s="523"/>
    </row>
    <row r="505" spans="1:29">
      <c r="A505" s="523"/>
      <c r="B505" s="523"/>
      <c r="C505" s="523"/>
      <c r="D505" s="523"/>
      <c r="E505" s="523"/>
      <c r="F505" s="523"/>
      <c r="G505" s="523"/>
      <c r="H505" s="523"/>
      <c r="I505" s="523"/>
      <c r="J505" s="523"/>
      <c r="K505" s="538"/>
      <c r="L505" s="539"/>
      <c r="M505" s="523"/>
      <c r="N505" s="523"/>
      <c r="O505" s="523"/>
      <c r="P505" s="1789"/>
      <c r="Q505" s="523"/>
      <c r="R505" s="523"/>
      <c r="S505" s="523"/>
      <c r="T505" s="523"/>
      <c r="U505" s="523"/>
      <c r="V505" s="523"/>
      <c r="W505" s="523"/>
      <c r="X505" s="523"/>
      <c r="Y505" s="523"/>
      <c r="Z505" s="523"/>
      <c r="AA505" s="523"/>
      <c r="AB505" s="523"/>
      <c r="AC505" s="523"/>
    </row>
    <row r="506" spans="1:29">
      <c r="A506" s="523"/>
      <c r="B506" s="523"/>
      <c r="C506" s="523"/>
      <c r="D506" s="523"/>
      <c r="E506" s="523"/>
      <c r="F506" s="523"/>
      <c r="G506" s="523"/>
      <c r="H506" s="523"/>
      <c r="I506" s="523"/>
      <c r="J506" s="523"/>
      <c r="K506" s="538"/>
      <c r="L506" s="539"/>
      <c r="M506" s="523"/>
      <c r="N506" s="523"/>
      <c r="O506" s="523"/>
      <c r="P506" s="1789"/>
      <c r="Q506" s="523"/>
      <c r="R506" s="523"/>
      <c r="S506" s="523"/>
      <c r="T506" s="523"/>
      <c r="U506" s="523"/>
      <c r="V506" s="523"/>
      <c r="W506" s="523"/>
      <c r="X506" s="523"/>
      <c r="Y506" s="523"/>
      <c r="Z506" s="523"/>
      <c r="AA506" s="523"/>
      <c r="AB506" s="523"/>
      <c r="AC506" s="523"/>
    </row>
    <row r="507" spans="1:29">
      <c r="A507" s="523"/>
      <c r="B507" s="523"/>
      <c r="C507" s="523"/>
      <c r="D507" s="523"/>
      <c r="E507" s="523"/>
      <c r="F507" s="523"/>
      <c r="G507" s="523"/>
      <c r="H507" s="523"/>
      <c r="I507" s="523"/>
      <c r="J507" s="523"/>
      <c r="K507" s="538"/>
      <c r="L507" s="539"/>
      <c r="M507" s="523"/>
      <c r="N507" s="523"/>
      <c r="O507" s="523"/>
      <c r="P507" s="1789"/>
      <c r="Q507" s="523"/>
      <c r="R507" s="523"/>
      <c r="S507" s="523"/>
      <c r="T507" s="523"/>
      <c r="U507" s="523"/>
      <c r="V507" s="523"/>
      <c r="W507" s="523"/>
      <c r="X507" s="523"/>
      <c r="Y507" s="523"/>
      <c r="Z507" s="523"/>
      <c r="AA507" s="523"/>
      <c r="AB507" s="523"/>
      <c r="AC507" s="523"/>
    </row>
    <row r="508" spans="1:29">
      <c r="A508" s="523"/>
      <c r="B508" s="523"/>
      <c r="C508" s="523"/>
      <c r="D508" s="523"/>
      <c r="E508" s="523"/>
      <c r="F508" s="523"/>
      <c r="G508" s="523"/>
      <c r="H508" s="523"/>
      <c r="I508" s="523"/>
      <c r="J508" s="523"/>
      <c r="K508" s="538"/>
      <c r="L508" s="539"/>
      <c r="M508" s="523"/>
      <c r="N508" s="523"/>
      <c r="O508" s="523"/>
      <c r="P508" s="1789"/>
      <c r="Q508" s="523"/>
      <c r="R508" s="523"/>
      <c r="S508" s="523"/>
      <c r="T508" s="523"/>
      <c r="U508" s="523"/>
      <c r="V508" s="523"/>
      <c r="W508" s="523"/>
      <c r="X508" s="523"/>
      <c r="Y508" s="523"/>
      <c r="Z508" s="523"/>
      <c r="AA508" s="523"/>
      <c r="AB508" s="523"/>
      <c r="AC508" s="523"/>
    </row>
    <row r="509" spans="1:29">
      <c r="A509" s="523"/>
      <c r="B509" s="523"/>
      <c r="C509" s="523"/>
      <c r="D509" s="523"/>
      <c r="E509" s="523"/>
      <c r="F509" s="523"/>
      <c r="G509" s="523"/>
      <c r="H509" s="523"/>
      <c r="I509" s="523"/>
      <c r="J509" s="523"/>
      <c r="K509" s="538"/>
      <c r="L509" s="539"/>
      <c r="M509" s="523"/>
      <c r="N509" s="523"/>
      <c r="O509" s="523"/>
      <c r="P509" s="1789"/>
      <c r="Q509" s="523"/>
      <c r="R509" s="523"/>
      <c r="S509" s="523"/>
      <c r="T509" s="523"/>
      <c r="U509" s="523"/>
      <c r="V509" s="523"/>
      <c r="W509" s="523"/>
      <c r="X509" s="523"/>
      <c r="Y509" s="523"/>
      <c r="Z509" s="523"/>
      <c r="AA509" s="523"/>
      <c r="AB509" s="523"/>
      <c r="AC509" s="523"/>
    </row>
    <row r="510" spans="1:29">
      <c r="A510" s="523"/>
      <c r="B510" s="523"/>
      <c r="C510" s="523"/>
      <c r="D510" s="523"/>
      <c r="E510" s="523"/>
      <c r="F510" s="523"/>
      <c r="G510" s="523"/>
      <c r="H510" s="523"/>
      <c r="I510" s="523"/>
      <c r="J510" s="523"/>
      <c r="K510" s="538"/>
      <c r="L510" s="539"/>
      <c r="M510" s="523"/>
      <c r="N510" s="523"/>
      <c r="O510" s="523"/>
      <c r="P510" s="1789"/>
      <c r="Q510" s="523"/>
      <c r="R510" s="523"/>
      <c r="S510" s="523"/>
      <c r="T510" s="523"/>
      <c r="U510" s="523"/>
      <c r="V510" s="523"/>
      <c r="W510" s="523"/>
      <c r="X510" s="523"/>
      <c r="Y510" s="523"/>
      <c r="Z510" s="523"/>
      <c r="AA510" s="523"/>
      <c r="AB510" s="523"/>
      <c r="AC510" s="523"/>
    </row>
    <row r="511" spans="1:29">
      <c r="A511" s="523"/>
      <c r="B511" s="523"/>
      <c r="C511" s="523"/>
      <c r="D511" s="523"/>
      <c r="E511" s="523"/>
      <c r="F511" s="523"/>
      <c r="G511" s="523"/>
      <c r="H511" s="523"/>
      <c r="I511" s="523"/>
      <c r="J511" s="523"/>
      <c r="K511" s="538"/>
      <c r="L511" s="539"/>
      <c r="M511" s="523"/>
      <c r="N511" s="523"/>
      <c r="O511" s="523"/>
      <c r="P511" s="1789"/>
      <c r="Q511" s="523"/>
      <c r="R511" s="523"/>
      <c r="S511" s="523"/>
      <c r="T511" s="523"/>
      <c r="U511" s="523"/>
      <c r="V511" s="523"/>
      <c r="W511" s="523"/>
      <c r="X511" s="523"/>
      <c r="Y511" s="523"/>
      <c r="Z511" s="523"/>
      <c r="AA511" s="523"/>
      <c r="AB511" s="523"/>
      <c r="AC511" s="523"/>
    </row>
    <row r="512" spans="1:29">
      <c r="A512" s="523"/>
      <c r="B512" s="523"/>
      <c r="C512" s="523"/>
      <c r="D512" s="523"/>
      <c r="E512" s="523"/>
      <c r="F512" s="523"/>
      <c r="G512" s="523"/>
      <c r="H512" s="523"/>
      <c r="I512" s="523"/>
      <c r="J512" s="523"/>
      <c r="K512" s="538"/>
      <c r="L512" s="539"/>
      <c r="M512" s="523"/>
      <c r="N512" s="523"/>
      <c r="O512" s="523"/>
      <c r="P512" s="1789"/>
      <c r="Q512" s="523"/>
      <c r="R512" s="523"/>
      <c r="S512" s="523"/>
      <c r="T512" s="523"/>
      <c r="U512" s="523"/>
      <c r="V512" s="523"/>
      <c r="W512" s="523"/>
      <c r="X512" s="523"/>
      <c r="Y512" s="523"/>
      <c r="Z512" s="523"/>
      <c r="AA512" s="523"/>
      <c r="AB512" s="523"/>
      <c r="AC512" s="523"/>
    </row>
    <row r="513" spans="1:29">
      <c r="A513" s="523"/>
      <c r="B513" s="523"/>
      <c r="C513" s="523"/>
      <c r="D513" s="523"/>
      <c r="E513" s="523"/>
      <c r="F513" s="523"/>
      <c r="G513" s="523"/>
      <c r="H513" s="523"/>
      <c r="I513" s="523"/>
      <c r="J513" s="523"/>
      <c r="K513" s="538"/>
      <c r="L513" s="539"/>
      <c r="M513" s="523"/>
      <c r="N513" s="523"/>
      <c r="O513" s="523"/>
      <c r="P513" s="1789"/>
      <c r="Q513" s="523"/>
      <c r="R513" s="523"/>
      <c r="S513" s="523"/>
      <c r="T513" s="523"/>
      <c r="U513" s="523"/>
      <c r="V513" s="523"/>
      <c r="W513" s="523"/>
      <c r="X513" s="523"/>
      <c r="Y513" s="523"/>
      <c r="Z513" s="523"/>
      <c r="AA513" s="523"/>
      <c r="AB513" s="523"/>
      <c r="AC513" s="523"/>
    </row>
    <row r="514" spans="1:29">
      <c r="A514" s="523"/>
      <c r="B514" s="523"/>
      <c r="C514" s="523"/>
      <c r="D514" s="523"/>
      <c r="E514" s="523"/>
      <c r="F514" s="523"/>
      <c r="G514" s="523"/>
      <c r="H514" s="523"/>
      <c r="I514" s="523"/>
      <c r="J514" s="523"/>
      <c r="K514" s="538"/>
      <c r="L514" s="539"/>
      <c r="M514" s="523"/>
      <c r="N514" s="523"/>
      <c r="O514" s="523"/>
      <c r="P514" s="1789"/>
      <c r="Q514" s="523"/>
      <c r="R514" s="523"/>
      <c r="S514" s="523"/>
      <c r="T514" s="523"/>
      <c r="U514" s="523"/>
      <c r="V514" s="523"/>
      <c r="W514" s="523"/>
      <c r="X514" s="523"/>
      <c r="Y514" s="523"/>
      <c r="Z514" s="523"/>
      <c r="AA514" s="523"/>
      <c r="AB514" s="523"/>
      <c r="AC514" s="523"/>
    </row>
    <row r="515" spans="1:29">
      <c r="A515" s="523"/>
      <c r="B515" s="523"/>
      <c r="C515" s="523"/>
      <c r="D515" s="523"/>
      <c r="E515" s="523"/>
      <c r="F515" s="523"/>
      <c r="G515" s="523"/>
      <c r="H515" s="523"/>
      <c r="I515" s="523"/>
      <c r="J515" s="523"/>
      <c r="K515" s="538"/>
      <c r="L515" s="539"/>
      <c r="M515" s="523"/>
      <c r="N515" s="523"/>
      <c r="O515" s="523"/>
      <c r="P515" s="1789"/>
      <c r="Q515" s="523"/>
      <c r="R515" s="523"/>
      <c r="S515" s="523"/>
      <c r="T515" s="523"/>
      <c r="U515" s="523"/>
      <c r="V515" s="523"/>
      <c r="W515" s="523"/>
      <c r="X515" s="523"/>
      <c r="Y515" s="523"/>
      <c r="Z515" s="523"/>
      <c r="AA515" s="523"/>
      <c r="AB515" s="523"/>
      <c r="AC515" s="523"/>
    </row>
    <row r="516" spans="1:29">
      <c r="A516" s="523"/>
      <c r="B516" s="523"/>
      <c r="C516" s="523"/>
      <c r="D516" s="523"/>
      <c r="E516" s="523"/>
      <c r="F516" s="523"/>
      <c r="G516" s="523"/>
      <c r="H516" s="523"/>
      <c r="I516" s="523"/>
      <c r="J516" s="523"/>
      <c r="K516" s="538"/>
      <c r="L516" s="539"/>
      <c r="M516" s="523"/>
      <c r="N516" s="523"/>
      <c r="O516" s="523"/>
      <c r="P516" s="1789"/>
      <c r="Q516" s="523"/>
      <c r="R516" s="523"/>
      <c r="S516" s="523"/>
      <c r="T516" s="523"/>
      <c r="U516" s="523"/>
      <c r="V516" s="523"/>
      <c r="W516" s="523"/>
      <c r="X516" s="523"/>
      <c r="Y516" s="523"/>
      <c r="Z516" s="523"/>
      <c r="AA516" s="523"/>
      <c r="AB516" s="523"/>
      <c r="AC516" s="523"/>
    </row>
    <row r="517" spans="1:29">
      <c r="A517" s="523"/>
      <c r="B517" s="523"/>
      <c r="C517" s="523"/>
      <c r="D517" s="523"/>
      <c r="E517" s="523"/>
      <c r="F517" s="523"/>
      <c r="G517" s="523"/>
      <c r="H517" s="523"/>
      <c r="I517" s="523"/>
      <c r="J517" s="523"/>
      <c r="K517" s="538"/>
      <c r="L517" s="539"/>
      <c r="M517" s="523"/>
      <c r="N517" s="523"/>
      <c r="O517" s="523"/>
      <c r="P517" s="1789"/>
      <c r="Q517" s="523"/>
      <c r="R517" s="523"/>
      <c r="S517" s="523"/>
      <c r="T517" s="523"/>
      <c r="U517" s="523"/>
      <c r="V517" s="523"/>
      <c r="W517" s="523"/>
      <c r="X517" s="523"/>
      <c r="Y517" s="523"/>
      <c r="Z517" s="523"/>
      <c r="AA517" s="523"/>
      <c r="AB517" s="523"/>
      <c r="AC517" s="523"/>
    </row>
    <row r="518" spans="1:29">
      <c r="A518" s="523"/>
      <c r="B518" s="523"/>
      <c r="C518" s="523"/>
      <c r="D518" s="523"/>
      <c r="E518" s="523"/>
      <c r="F518" s="523"/>
      <c r="G518" s="523"/>
      <c r="H518" s="523"/>
      <c r="I518" s="523"/>
      <c r="J518" s="523"/>
      <c r="K518" s="538"/>
      <c r="L518" s="539"/>
      <c r="M518" s="523"/>
      <c r="N518" s="523"/>
      <c r="O518" s="523"/>
      <c r="P518" s="1789"/>
      <c r="Q518" s="523"/>
      <c r="R518" s="523"/>
      <c r="S518" s="523"/>
      <c r="T518" s="523"/>
      <c r="U518" s="523"/>
      <c r="V518" s="523"/>
      <c r="W518" s="523"/>
      <c r="X518" s="523"/>
      <c r="Y518" s="523"/>
      <c r="Z518" s="523"/>
      <c r="AA518" s="523"/>
      <c r="AB518" s="523"/>
      <c r="AC518" s="523"/>
    </row>
    <row r="519" spans="1:29">
      <c r="A519" s="523"/>
      <c r="B519" s="523"/>
      <c r="C519" s="523"/>
      <c r="D519" s="523"/>
      <c r="E519" s="523"/>
      <c r="F519" s="523"/>
      <c r="G519" s="523"/>
      <c r="H519" s="523"/>
      <c r="I519" s="523"/>
      <c r="J519" s="523"/>
      <c r="K519" s="538"/>
      <c r="L519" s="539"/>
      <c r="M519" s="523"/>
      <c r="N519" s="523"/>
      <c r="O519" s="523"/>
      <c r="P519" s="1789"/>
      <c r="Q519" s="523"/>
      <c r="R519" s="523"/>
      <c r="S519" s="523"/>
      <c r="T519" s="523"/>
      <c r="U519" s="523"/>
      <c r="V519" s="523"/>
      <c r="W519" s="523"/>
      <c r="X519" s="523"/>
      <c r="Y519" s="523"/>
      <c r="Z519" s="523"/>
      <c r="AA519" s="523"/>
      <c r="AB519" s="523"/>
      <c r="AC519" s="523"/>
    </row>
    <row r="520" spans="1:29">
      <c r="A520" s="523"/>
      <c r="B520" s="523"/>
      <c r="C520" s="523"/>
      <c r="D520" s="523"/>
      <c r="E520" s="523"/>
      <c r="F520" s="523"/>
      <c r="G520" s="523"/>
      <c r="H520" s="523"/>
      <c r="I520" s="523"/>
      <c r="J520" s="523"/>
      <c r="K520" s="538"/>
      <c r="L520" s="539"/>
      <c r="M520" s="523"/>
      <c r="N520" s="523"/>
      <c r="O520" s="523"/>
      <c r="P520" s="1789"/>
      <c r="Q520" s="523"/>
      <c r="R520" s="523"/>
      <c r="S520" s="523"/>
      <c r="T520" s="523"/>
      <c r="U520" s="523"/>
      <c r="V520" s="523"/>
      <c r="W520" s="523"/>
      <c r="X520" s="523"/>
      <c r="Y520" s="523"/>
      <c r="Z520" s="523"/>
      <c r="AA520" s="523"/>
      <c r="AB520" s="523"/>
      <c r="AC520" s="523"/>
    </row>
    <row r="521" spans="1:29">
      <c r="A521" s="523"/>
      <c r="B521" s="523"/>
      <c r="C521" s="523"/>
      <c r="D521" s="523"/>
      <c r="E521" s="523"/>
      <c r="F521" s="523"/>
      <c r="G521" s="523"/>
      <c r="H521" s="523"/>
      <c r="I521" s="523"/>
      <c r="J521" s="523"/>
      <c r="K521" s="538"/>
      <c r="L521" s="539"/>
      <c r="M521" s="523"/>
      <c r="N521" s="523"/>
      <c r="O521" s="523"/>
      <c r="P521" s="1789"/>
      <c r="Q521" s="523"/>
      <c r="R521" s="523"/>
      <c r="S521" s="523"/>
      <c r="T521" s="523"/>
      <c r="U521" s="523"/>
      <c r="V521" s="523"/>
      <c r="W521" s="523"/>
      <c r="X521" s="523"/>
      <c r="Y521" s="523"/>
      <c r="Z521" s="523"/>
      <c r="AA521" s="523"/>
      <c r="AB521" s="523"/>
      <c r="AC521" s="523"/>
    </row>
    <row r="522" spans="1:29">
      <c r="A522" s="523"/>
      <c r="B522" s="523"/>
      <c r="C522" s="523"/>
      <c r="D522" s="523"/>
      <c r="E522" s="523"/>
      <c r="F522" s="523"/>
      <c r="G522" s="523"/>
      <c r="H522" s="523"/>
      <c r="I522" s="523"/>
      <c r="J522" s="523"/>
      <c r="K522" s="538"/>
      <c r="L522" s="539"/>
      <c r="M522" s="523"/>
      <c r="N522" s="523"/>
      <c r="O522" s="523"/>
      <c r="P522" s="1789"/>
      <c r="Q522" s="523"/>
      <c r="R522" s="523"/>
      <c r="S522" s="523"/>
      <c r="T522" s="523"/>
      <c r="U522" s="523"/>
      <c r="V522" s="523"/>
      <c r="W522" s="523"/>
      <c r="X522" s="523"/>
      <c r="Y522" s="523"/>
      <c r="Z522" s="523"/>
      <c r="AA522" s="523"/>
      <c r="AB522" s="523"/>
      <c r="AC522" s="523"/>
    </row>
    <row r="523" spans="1:29">
      <c r="A523" s="523"/>
      <c r="B523" s="523"/>
      <c r="C523" s="523"/>
      <c r="D523" s="523"/>
      <c r="E523" s="523"/>
      <c r="F523" s="523"/>
      <c r="G523" s="523"/>
      <c r="H523" s="523"/>
      <c r="I523" s="523"/>
      <c r="J523" s="523"/>
      <c r="K523" s="538"/>
      <c r="L523" s="539"/>
      <c r="M523" s="523"/>
      <c r="N523" s="523"/>
      <c r="O523" s="523"/>
      <c r="P523" s="1789"/>
      <c r="Q523" s="523"/>
      <c r="R523" s="523"/>
      <c r="S523" s="523"/>
      <c r="T523" s="523"/>
      <c r="U523" s="523"/>
      <c r="V523" s="523"/>
      <c r="W523" s="523"/>
      <c r="X523" s="523"/>
      <c r="Y523" s="523"/>
      <c r="Z523" s="523"/>
      <c r="AA523" s="523"/>
      <c r="AB523" s="523"/>
      <c r="AC523" s="523"/>
    </row>
    <row r="524" spans="1:29">
      <c r="A524" s="523"/>
      <c r="B524" s="523"/>
      <c r="C524" s="523"/>
      <c r="D524" s="523"/>
      <c r="E524" s="523"/>
      <c r="F524" s="523"/>
      <c r="G524" s="523"/>
      <c r="H524" s="523"/>
      <c r="I524" s="523"/>
      <c r="J524" s="523"/>
      <c r="K524" s="538"/>
      <c r="L524" s="539"/>
      <c r="M524" s="523"/>
      <c r="N524" s="523"/>
      <c r="O524" s="523"/>
      <c r="P524" s="1789"/>
      <c r="Q524" s="523"/>
      <c r="R524" s="523"/>
      <c r="S524" s="523"/>
      <c r="T524" s="523"/>
      <c r="U524" s="523"/>
      <c r="V524" s="523"/>
      <c r="W524" s="523"/>
      <c r="X524" s="523"/>
      <c r="Y524" s="523"/>
      <c r="Z524" s="523"/>
      <c r="AA524" s="523"/>
      <c r="AB524" s="523"/>
      <c r="AC524" s="523"/>
    </row>
    <row r="525" spans="1:29">
      <c r="A525" s="523"/>
      <c r="B525" s="523"/>
      <c r="C525" s="523"/>
      <c r="D525" s="523"/>
      <c r="E525" s="523"/>
      <c r="F525" s="523"/>
      <c r="G525" s="523"/>
      <c r="H525" s="523"/>
      <c r="I525" s="523"/>
      <c r="J525" s="523"/>
      <c r="K525" s="538"/>
      <c r="L525" s="539"/>
      <c r="M525" s="523"/>
      <c r="N525" s="523"/>
      <c r="O525" s="523"/>
      <c r="P525" s="1789"/>
      <c r="Q525" s="523"/>
      <c r="R525" s="523"/>
      <c r="S525" s="523"/>
      <c r="T525" s="523"/>
      <c r="U525" s="523"/>
      <c r="V525" s="523"/>
      <c r="W525" s="523"/>
      <c r="X525" s="523"/>
      <c r="Y525" s="523"/>
      <c r="Z525" s="523"/>
      <c r="AA525" s="523"/>
      <c r="AB525" s="523"/>
      <c r="AC525" s="523"/>
    </row>
    <row r="526" spans="1:29">
      <c r="A526" s="523"/>
      <c r="B526" s="523"/>
      <c r="C526" s="523"/>
      <c r="D526" s="523"/>
      <c r="E526" s="523"/>
      <c r="F526" s="523"/>
      <c r="G526" s="523"/>
      <c r="H526" s="523"/>
      <c r="I526" s="523"/>
      <c r="J526" s="523"/>
      <c r="K526" s="538"/>
      <c r="L526" s="539"/>
      <c r="M526" s="523"/>
      <c r="N526" s="523"/>
      <c r="O526" s="523"/>
      <c r="P526" s="1789"/>
      <c r="Q526" s="523"/>
      <c r="R526" s="523"/>
      <c r="S526" s="523"/>
      <c r="T526" s="523"/>
      <c r="U526" s="523"/>
      <c r="V526" s="523"/>
      <c r="W526" s="523"/>
      <c r="X526" s="523"/>
      <c r="Y526" s="523"/>
      <c r="Z526" s="523"/>
      <c r="AA526" s="523"/>
      <c r="AB526" s="523"/>
      <c r="AC526" s="523"/>
    </row>
    <row r="527" spans="1:29">
      <c r="A527" s="523"/>
      <c r="B527" s="523"/>
      <c r="C527" s="523"/>
      <c r="D527" s="523"/>
      <c r="E527" s="523"/>
      <c r="F527" s="523"/>
      <c r="G527" s="523"/>
      <c r="H527" s="523"/>
      <c r="I527" s="523"/>
      <c r="J527" s="523"/>
      <c r="K527" s="538"/>
      <c r="L527" s="539"/>
      <c r="M527" s="523"/>
      <c r="N527" s="523"/>
      <c r="O527" s="523"/>
      <c r="P527" s="1789"/>
      <c r="Q527" s="523"/>
      <c r="R527" s="523"/>
      <c r="S527" s="523"/>
      <c r="T527" s="523"/>
      <c r="U527" s="523"/>
      <c r="V527" s="523"/>
      <c r="W527" s="523"/>
      <c r="X527" s="523"/>
      <c r="Y527" s="523"/>
      <c r="Z527" s="523"/>
      <c r="AA527" s="523"/>
      <c r="AB527" s="523"/>
      <c r="AC527" s="523"/>
    </row>
    <row r="528" spans="1:29">
      <c r="A528" s="523"/>
      <c r="B528" s="523"/>
      <c r="C528" s="523"/>
      <c r="D528" s="523"/>
      <c r="E528" s="523"/>
      <c r="F528" s="523"/>
      <c r="G528" s="523"/>
      <c r="H528" s="523"/>
      <c r="I528" s="523"/>
      <c r="J528" s="523"/>
      <c r="K528" s="538"/>
      <c r="L528" s="539"/>
      <c r="M528" s="523"/>
      <c r="N528" s="523"/>
      <c r="O528" s="523"/>
      <c r="P528" s="1789"/>
      <c r="Q528" s="523"/>
      <c r="R528" s="523"/>
      <c r="S528" s="523"/>
      <c r="T528" s="523"/>
      <c r="U528" s="523"/>
      <c r="V528" s="523"/>
      <c r="W528" s="523"/>
      <c r="X528" s="523"/>
      <c r="Y528" s="523"/>
      <c r="Z528" s="523"/>
      <c r="AA528" s="523"/>
      <c r="AB528" s="523"/>
      <c r="AC528" s="523"/>
    </row>
    <row r="529" spans="1:29">
      <c r="A529" s="523"/>
      <c r="B529" s="523"/>
      <c r="C529" s="523"/>
      <c r="D529" s="523"/>
      <c r="E529" s="523"/>
      <c r="F529" s="523"/>
      <c r="G529" s="523"/>
      <c r="H529" s="523"/>
      <c r="I529" s="523"/>
      <c r="J529" s="523"/>
      <c r="K529" s="538"/>
      <c r="L529" s="539"/>
      <c r="M529" s="523"/>
      <c r="N529" s="523"/>
      <c r="O529" s="523"/>
      <c r="P529" s="1789"/>
      <c r="Q529" s="523"/>
      <c r="R529" s="523"/>
      <c r="S529" s="523"/>
      <c r="T529" s="523"/>
      <c r="U529" s="523"/>
      <c r="V529" s="523"/>
      <c r="W529" s="523"/>
      <c r="X529" s="523"/>
      <c r="Y529" s="523"/>
      <c r="Z529" s="523"/>
      <c r="AA529" s="523"/>
      <c r="AB529" s="523"/>
      <c r="AC529" s="523"/>
    </row>
    <row r="530" spans="1:29">
      <c r="A530" s="523"/>
      <c r="B530" s="523"/>
      <c r="C530" s="523"/>
      <c r="D530" s="523"/>
      <c r="E530" s="523"/>
      <c r="F530" s="523"/>
      <c r="G530" s="523"/>
      <c r="H530" s="523"/>
      <c r="I530" s="523"/>
      <c r="J530" s="523"/>
      <c r="K530" s="538"/>
      <c r="L530" s="539"/>
      <c r="M530" s="523"/>
      <c r="N530" s="523"/>
      <c r="O530" s="523"/>
      <c r="P530" s="1789"/>
      <c r="Q530" s="523"/>
      <c r="R530" s="523"/>
      <c r="S530" s="523"/>
      <c r="T530" s="523"/>
      <c r="U530" s="523"/>
      <c r="V530" s="523"/>
      <c r="W530" s="523"/>
      <c r="X530" s="523"/>
      <c r="Y530" s="523"/>
      <c r="Z530" s="523"/>
      <c r="AA530" s="523"/>
      <c r="AB530" s="523"/>
      <c r="AC530" s="523"/>
    </row>
    <row r="531" spans="1:29">
      <c r="A531" s="523"/>
      <c r="B531" s="523"/>
      <c r="C531" s="523"/>
      <c r="D531" s="523"/>
      <c r="E531" s="523"/>
      <c r="F531" s="523"/>
      <c r="G531" s="523"/>
      <c r="H531" s="523"/>
      <c r="I531" s="523"/>
      <c r="J531" s="523"/>
      <c r="K531" s="538"/>
      <c r="L531" s="539"/>
      <c r="M531" s="523"/>
      <c r="N531" s="523"/>
      <c r="O531" s="523"/>
      <c r="P531" s="1789"/>
      <c r="Q531" s="523"/>
      <c r="R531" s="523"/>
      <c r="S531" s="523"/>
      <c r="T531" s="523"/>
      <c r="U531" s="523"/>
      <c r="V531" s="523"/>
      <c r="W531" s="523"/>
      <c r="X531" s="523"/>
      <c r="Y531" s="523"/>
      <c r="Z531" s="523"/>
      <c r="AA531" s="523"/>
      <c r="AB531" s="523"/>
      <c r="AC531" s="523"/>
    </row>
    <row r="532" spans="1:29">
      <c r="A532" s="523"/>
      <c r="B532" s="523"/>
      <c r="C532" s="523"/>
      <c r="D532" s="523"/>
      <c r="E532" s="523"/>
      <c r="F532" s="523"/>
      <c r="G532" s="523"/>
      <c r="H532" s="523"/>
      <c r="I532" s="523"/>
      <c r="J532" s="523"/>
      <c r="K532" s="538"/>
      <c r="L532" s="539"/>
      <c r="M532" s="523"/>
      <c r="N532" s="523"/>
      <c r="O532" s="523"/>
      <c r="P532" s="1789"/>
      <c r="Q532" s="523"/>
      <c r="R532" s="523"/>
      <c r="S532" s="523"/>
      <c r="T532" s="523"/>
      <c r="U532" s="523"/>
      <c r="V532" s="523"/>
      <c r="W532" s="523"/>
      <c r="X532" s="523"/>
      <c r="Y532" s="523"/>
      <c r="Z532" s="523"/>
      <c r="AA532" s="523"/>
      <c r="AB532" s="523"/>
      <c r="AC532" s="523"/>
    </row>
    <row r="533" spans="1:29">
      <c r="A533" s="523"/>
      <c r="B533" s="523"/>
      <c r="C533" s="523"/>
      <c r="D533" s="523"/>
      <c r="E533" s="523"/>
      <c r="F533" s="523"/>
      <c r="G533" s="523"/>
      <c r="H533" s="523"/>
      <c r="I533" s="523"/>
      <c r="J533" s="523"/>
      <c r="K533" s="538"/>
      <c r="L533" s="539"/>
      <c r="M533" s="523"/>
      <c r="N533" s="523"/>
      <c r="O533" s="523"/>
      <c r="P533" s="1789"/>
      <c r="Q533" s="523"/>
      <c r="R533" s="523"/>
      <c r="S533" s="523"/>
      <c r="T533" s="523"/>
      <c r="U533" s="523"/>
      <c r="V533" s="523"/>
      <c r="W533" s="523"/>
      <c r="X533" s="523"/>
      <c r="Y533" s="523"/>
      <c r="Z533" s="523"/>
      <c r="AA533" s="523"/>
      <c r="AB533" s="523"/>
      <c r="AC533" s="523"/>
    </row>
    <row r="534" spans="1:29">
      <c r="A534" s="523"/>
      <c r="B534" s="523"/>
      <c r="C534" s="523"/>
      <c r="D534" s="523"/>
      <c r="E534" s="523"/>
      <c r="F534" s="523"/>
      <c r="G534" s="523"/>
      <c r="H534" s="523"/>
      <c r="I534" s="523"/>
      <c r="J534" s="523"/>
      <c r="K534" s="538"/>
      <c r="L534" s="539"/>
      <c r="M534" s="523"/>
      <c r="N534" s="523"/>
      <c r="O534" s="523"/>
      <c r="P534" s="1789"/>
      <c r="Q534" s="523"/>
      <c r="R534" s="523"/>
      <c r="S534" s="523"/>
      <c r="T534" s="523"/>
      <c r="U534" s="523"/>
      <c r="V534" s="523"/>
      <c r="W534" s="523"/>
      <c r="X534" s="523"/>
      <c r="Y534" s="523"/>
      <c r="Z534" s="523"/>
      <c r="AA534" s="523"/>
      <c r="AB534" s="523"/>
      <c r="AC534" s="523"/>
    </row>
    <row r="535" spans="1:29">
      <c r="A535" s="523"/>
      <c r="B535" s="523"/>
      <c r="C535" s="523"/>
      <c r="D535" s="523"/>
      <c r="E535" s="523"/>
      <c r="F535" s="523"/>
      <c r="G535" s="523"/>
      <c r="H535" s="523"/>
      <c r="I535" s="523"/>
      <c r="J535" s="523"/>
      <c r="K535" s="538"/>
      <c r="L535" s="539"/>
      <c r="M535" s="523"/>
      <c r="N535" s="523"/>
      <c r="O535" s="523"/>
      <c r="P535" s="1789"/>
      <c r="Q535" s="523"/>
      <c r="R535" s="523"/>
      <c r="S535" s="523"/>
      <c r="T535" s="523"/>
      <c r="U535" s="523"/>
      <c r="V535" s="523"/>
      <c r="W535" s="523"/>
      <c r="X535" s="523"/>
      <c r="Y535" s="523"/>
      <c r="Z535" s="523"/>
      <c r="AA535" s="523"/>
      <c r="AB535" s="523"/>
      <c r="AC535" s="523"/>
    </row>
    <row r="536" spans="1:29">
      <c r="A536" s="523"/>
      <c r="B536" s="523"/>
      <c r="C536" s="523"/>
      <c r="D536" s="523"/>
      <c r="E536" s="523"/>
      <c r="F536" s="523"/>
      <c r="G536" s="523"/>
      <c r="H536" s="523"/>
      <c r="I536" s="523"/>
      <c r="J536" s="523"/>
      <c r="K536" s="538"/>
      <c r="L536" s="539"/>
      <c r="M536" s="523"/>
      <c r="N536" s="523"/>
      <c r="O536" s="523"/>
      <c r="P536" s="1789"/>
      <c r="Q536" s="523"/>
      <c r="R536" s="523"/>
      <c r="S536" s="523"/>
      <c r="T536" s="523"/>
      <c r="U536" s="523"/>
      <c r="V536" s="523"/>
      <c r="W536" s="523"/>
      <c r="X536" s="523"/>
      <c r="Y536" s="523"/>
      <c r="Z536" s="523"/>
      <c r="AA536" s="523"/>
      <c r="AB536" s="523"/>
      <c r="AC536" s="523"/>
    </row>
    <row r="537" spans="1:29">
      <c r="A537" s="523"/>
      <c r="B537" s="523"/>
      <c r="C537" s="523"/>
      <c r="D537" s="523"/>
      <c r="E537" s="523"/>
      <c r="F537" s="523"/>
      <c r="G537" s="523"/>
      <c r="H537" s="523"/>
      <c r="I537" s="523"/>
      <c r="J537" s="523"/>
      <c r="K537" s="538"/>
      <c r="L537" s="539"/>
      <c r="M537" s="523"/>
      <c r="N537" s="523"/>
      <c r="O537" s="523"/>
      <c r="P537" s="1789"/>
      <c r="Q537" s="523"/>
      <c r="R537" s="523"/>
      <c r="S537" s="523"/>
      <c r="T537" s="523"/>
      <c r="U537" s="523"/>
      <c r="V537" s="523"/>
      <c r="W537" s="523"/>
      <c r="X537" s="523"/>
      <c r="Y537" s="523"/>
      <c r="Z537" s="523"/>
      <c r="AA537" s="523"/>
      <c r="AB537" s="523"/>
      <c r="AC537" s="523"/>
    </row>
    <row r="538" spans="1:29">
      <c r="A538" s="523"/>
      <c r="B538" s="523"/>
      <c r="C538" s="523"/>
      <c r="D538" s="523"/>
      <c r="E538" s="523"/>
      <c r="F538" s="523"/>
      <c r="G538" s="523"/>
      <c r="H538" s="523"/>
      <c r="I538" s="523"/>
      <c r="J538" s="523"/>
      <c r="K538" s="538"/>
      <c r="L538" s="539"/>
      <c r="M538" s="523"/>
      <c r="N538" s="523"/>
      <c r="O538" s="523"/>
      <c r="P538" s="1789"/>
      <c r="Q538" s="523"/>
      <c r="R538" s="523"/>
      <c r="S538" s="523"/>
      <c r="T538" s="523"/>
      <c r="U538" s="523"/>
      <c r="V538" s="523"/>
      <c r="W538" s="523"/>
      <c r="X538" s="523"/>
      <c r="Y538" s="523"/>
      <c r="Z538" s="523"/>
      <c r="AA538" s="523"/>
      <c r="AB538" s="523"/>
      <c r="AC538" s="523"/>
    </row>
    <row r="539" spans="1:29">
      <c r="A539" s="523"/>
      <c r="B539" s="523"/>
      <c r="C539" s="523"/>
      <c r="D539" s="523"/>
      <c r="E539" s="523"/>
      <c r="F539" s="523"/>
      <c r="G539" s="523"/>
      <c r="H539" s="523"/>
      <c r="I539" s="523"/>
      <c r="J539" s="523"/>
      <c r="K539" s="538"/>
      <c r="L539" s="539"/>
      <c r="M539" s="523"/>
      <c r="N539" s="523"/>
      <c r="O539" s="523"/>
      <c r="P539" s="1789"/>
      <c r="Q539" s="523"/>
      <c r="R539" s="523"/>
      <c r="S539" s="523"/>
      <c r="T539" s="523"/>
      <c r="U539" s="523"/>
      <c r="V539" s="523"/>
      <c r="W539" s="523"/>
      <c r="X539" s="523"/>
      <c r="Y539" s="523"/>
      <c r="Z539" s="523"/>
      <c r="AA539" s="523"/>
      <c r="AB539" s="523"/>
      <c r="AC539" s="523"/>
    </row>
    <row r="540" spans="1:29">
      <c r="A540" s="523"/>
      <c r="B540" s="523"/>
      <c r="C540" s="523"/>
      <c r="D540" s="523"/>
      <c r="E540" s="523"/>
      <c r="F540" s="523"/>
      <c r="G540" s="523"/>
      <c r="H540" s="523"/>
      <c r="I540" s="523"/>
      <c r="J540" s="523"/>
      <c r="K540" s="538"/>
      <c r="L540" s="539"/>
      <c r="M540" s="523"/>
      <c r="N540" s="523"/>
      <c r="O540" s="523"/>
      <c r="P540" s="1789"/>
      <c r="Q540" s="523"/>
      <c r="R540" s="523"/>
      <c r="S540" s="523"/>
      <c r="T540" s="523"/>
      <c r="U540" s="523"/>
      <c r="V540" s="523"/>
      <c r="W540" s="523"/>
      <c r="X540" s="523"/>
      <c r="Y540" s="523"/>
      <c r="Z540" s="523"/>
      <c r="AA540" s="523"/>
      <c r="AB540" s="523"/>
      <c r="AC540" s="523"/>
    </row>
    <row r="541" spans="1:29">
      <c r="A541" s="523"/>
      <c r="B541" s="523"/>
      <c r="C541" s="523"/>
      <c r="D541" s="523"/>
      <c r="E541" s="523"/>
      <c r="F541" s="523"/>
      <c r="G541" s="523"/>
      <c r="H541" s="523"/>
      <c r="I541" s="523"/>
      <c r="J541" s="523"/>
      <c r="K541" s="538"/>
      <c r="L541" s="539"/>
      <c r="M541" s="523"/>
      <c r="N541" s="523"/>
      <c r="O541" s="523"/>
      <c r="P541" s="1789"/>
      <c r="Q541" s="523"/>
      <c r="R541" s="523"/>
      <c r="S541" s="523"/>
      <c r="T541" s="523"/>
      <c r="U541" s="523"/>
      <c r="V541" s="523"/>
      <c r="W541" s="523"/>
      <c r="X541" s="523"/>
      <c r="Y541" s="523"/>
      <c r="Z541" s="523"/>
      <c r="AA541" s="523"/>
      <c r="AB541" s="523"/>
      <c r="AC541" s="523"/>
    </row>
    <row r="542" spans="1:29">
      <c r="A542" s="523"/>
      <c r="B542" s="523"/>
      <c r="C542" s="523"/>
      <c r="D542" s="523"/>
      <c r="E542" s="523"/>
      <c r="F542" s="523"/>
      <c r="G542" s="523"/>
      <c r="H542" s="523"/>
      <c r="I542" s="523"/>
      <c r="J542" s="523"/>
      <c r="K542" s="538"/>
      <c r="L542" s="539"/>
      <c r="M542" s="523"/>
      <c r="N542" s="523"/>
      <c r="O542" s="523"/>
      <c r="P542" s="1789"/>
      <c r="Q542" s="523"/>
      <c r="R542" s="523"/>
      <c r="S542" s="523"/>
      <c r="T542" s="523"/>
      <c r="U542" s="523"/>
      <c r="V542" s="523"/>
      <c r="W542" s="523"/>
      <c r="X542" s="523"/>
      <c r="Y542" s="523"/>
      <c r="Z542" s="523"/>
      <c r="AA542" s="523"/>
      <c r="AB542" s="523"/>
      <c r="AC542" s="523"/>
    </row>
    <row r="543" spans="1:29">
      <c r="A543" s="523"/>
      <c r="B543" s="523"/>
      <c r="C543" s="523"/>
      <c r="D543" s="523"/>
      <c r="E543" s="523"/>
      <c r="F543" s="523"/>
      <c r="G543" s="523"/>
      <c r="H543" s="523"/>
      <c r="I543" s="523"/>
      <c r="J543" s="523"/>
      <c r="K543" s="538"/>
      <c r="L543" s="539"/>
      <c r="M543" s="523"/>
      <c r="N543" s="523"/>
      <c r="O543" s="523"/>
      <c r="P543" s="1789"/>
      <c r="Q543" s="523"/>
      <c r="R543" s="523"/>
      <c r="S543" s="523"/>
      <c r="T543" s="523"/>
      <c r="U543" s="523"/>
      <c r="V543" s="523"/>
      <c r="W543" s="523"/>
      <c r="X543" s="523"/>
      <c r="Y543" s="523"/>
      <c r="Z543" s="523"/>
      <c r="AA543" s="523"/>
      <c r="AB543" s="523"/>
      <c r="AC543" s="523"/>
    </row>
    <row r="544" spans="1:29">
      <c r="A544" s="523"/>
      <c r="B544" s="523"/>
      <c r="C544" s="523"/>
      <c r="D544" s="523"/>
      <c r="E544" s="523"/>
      <c r="F544" s="523"/>
      <c r="G544" s="523"/>
      <c r="H544" s="523"/>
      <c r="I544" s="523"/>
      <c r="J544" s="523"/>
      <c r="K544" s="538"/>
      <c r="L544" s="539"/>
      <c r="M544" s="523"/>
      <c r="N544" s="523"/>
      <c r="O544" s="523"/>
      <c r="P544" s="1789"/>
      <c r="Q544" s="523"/>
      <c r="R544" s="523"/>
      <c r="S544" s="523"/>
      <c r="T544" s="523"/>
      <c r="U544" s="523"/>
      <c r="V544" s="523"/>
      <c r="W544" s="523"/>
      <c r="X544" s="523"/>
      <c r="Y544" s="523"/>
      <c r="Z544" s="523"/>
      <c r="AA544" s="523"/>
      <c r="AB544" s="523"/>
      <c r="AC544" s="523"/>
    </row>
    <row r="545" spans="1:29">
      <c r="A545" s="523"/>
      <c r="B545" s="523"/>
      <c r="C545" s="523"/>
      <c r="D545" s="523"/>
      <c r="E545" s="523"/>
      <c r="F545" s="523"/>
      <c r="G545" s="523"/>
      <c r="H545" s="523"/>
      <c r="I545" s="523"/>
      <c r="J545" s="523"/>
      <c r="K545" s="538"/>
      <c r="L545" s="539"/>
      <c r="M545" s="523"/>
      <c r="N545" s="523"/>
      <c r="O545" s="523"/>
      <c r="P545" s="1789"/>
      <c r="Q545" s="523"/>
      <c r="R545" s="523"/>
      <c r="S545" s="523"/>
      <c r="T545" s="523"/>
      <c r="U545" s="523"/>
      <c r="V545" s="523"/>
      <c r="W545" s="523"/>
      <c r="X545" s="523"/>
      <c r="Y545" s="523"/>
      <c r="Z545" s="523"/>
      <c r="AA545" s="523"/>
      <c r="AB545" s="523"/>
      <c r="AC545" s="523"/>
    </row>
    <row r="546" spans="1:29">
      <c r="A546" s="523"/>
      <c r="B546" s="523"/>
      <c r="C546" s="523"/>
      <c r="D546" s="523"/>
      <c r="E546" s="523"/>
      <c r="F546" s="523"/>
      <c r="G546" s="523"/>
      <c r="H546" s="523"/>
      <c r="I546" s="523"/>
      <c r="J546" s="523"/>
      <c r="K546" s="538"/>
      <c r="L546" s="539"/>
      <c r="M546" s="523"/>
      <c r="N546" s="523"/>
      <c r="O546" s="523"/>
      <c r="P546" s="1789"/>
      <c r="Q546" s="523"/>
      <c r="R546" s="523"/>
      <c r="S546" s="523"/>
      <c r="T546" s="523"/>
      <c r="U546" s="523"/>
      <c r="V546" s="523"/>
      <c r="W546" s="523"/>
      <c r="X546" s="523"/>
      <c r="Y546" s="523"/>
      <c r="Z546" s="523"/>
      <c r="AA546" s="523"/>
      <c r="AB546" s="523"/>
      <c r="AC546" s="523"/>
    </row>
    <row r="547" spans="1:29">
      <c r="A547" s="523"/>
      <c r="B547" s="523"/>
      <c r="C547" s="523"/>
      <c r="D547" s="523"/>
      <c r="E547" s="523"/>
      <c r="F547" s="523"/>
      <c r="G547" s="523"/>
      <c r="H547" s="523"/>
      <c r="I547" s="523"/>
      <c r="J547" s="523"/>
      <c r="K547" s="538"/>
      <c r="L547" s="539"/>
      <c r="M547" s="523"/>
      <c r="N547" s="523"/>
      <c r="O547" s="523"/>
      <c r="P547" s="1789"/>
      <c r="Q547" s="523"/>
      <c r="R547" s="523"/>
      <c r="S547" s="523"/>
      <c r="T547" s="523"/>
      <c r="U547" s="523"/>
      <c r="V547" s="523"/>
      <c r="W547" s="523"/>
      <c r="X547" s="523"/>
      <c r="Y547" s="523"/>
      <c r="Z547" s="523"/>
      <c r="AA547" s="523"/>
      <c r="AB547" s="523"/>
      <c r="AC547" s="523"/>
    </row>
    <row r="548" spans="1:29">
      <c r="A548" s="523"/>
      <c r="B548" s="523"/>
      <c r="C548" s="523"/>
      <c r="D548" s="523"/>
      <c r="E548" s="523"/>
      <c r="F548" s="523"/>
      <c r="G548" s="523"/>
      <c r="H548" s="523"/>
      <c r="I548" s="523"/>
      <c r="J548" s="523"/>
      <c r="K548" s="538"/>
      <c r="L548" s="539"/>
      <c r="M548" s="523"/>
      <c r="N548" s="523"/>
      <c r="O548" s="523"/>
      <c r="P548" s="1789"/>
      <c r="Q548" s="523"/>
      <c r="R548" s="523"/>
      <c r="S548" s="523"/>
      <c r="T548" s="523"/>
      <c r="U548" s="523"/>
      <c r="V548" s="523"/>
      <c r="W548" s="523"/>
      <c r="X548" s="523"/>
      <c r="Y548" s="523"/>
      <c r="Z548" s="523"/>
      <c r="AA548" s="523"/>
      <c r="AB548" s="523"/>
      <c r="AC548" s="523"/>
    </row>
    <row r="549" spans="1:29">
      <c r="A549" s="523"/>
      <c r="B549" s="523"/>
      <c r="C549" s="523"/>
      <c r="D549" s="523"/>
      <c r="E549" s="523"/>
      <c r="F549" s="523"/>
      <c r="G549" s="523"/>
      <c r="H549" s="523"/>
      <c r="I549" s="523"/>
      <c r="J549" s="523"/>
      <c r="K549" s="538"/>
      <c r="L549" s="539"/>
      <c r="M549" s="523"/>
      <c r="N549" s="523"/>
      <c r="O549" s="523"/>
      <c r="P549" s="1789"/>
      <c r="Q549" s="523"/>
      <c r="R549" s="523"/>
      <c r="S549" s="523"/>
      <c r="T549" s="523"/>
      <c r="U549" s="523"/>
      <c r="V549" s="523"/>
      <c r="W549" s="523"/>
      <c r="X549" s="523"/>
      <c r="Y549" s="523"/>
      <c r="Z549" s="523"/>
      <c r="AA549" s="523"/>
      <c r="AB549" s="523"/>
      <c r="AC549" s="523"/>
    </row>
    <row r="550" spans="1:29">
      <c r="A550" s="523"/>
      <c r="B550" s="523"/>
      <c r="C550" s="523"/>
      <c r="D550" s="523"/>
      <c r="E550" s="523"/>
      <c r="F550" s="523"/>
      <c r="G550" s="523"/>
      <c r="H550" s="523"/>
      <c r="I550" s="523"/>
      <c r="J550" s="523"/>
      <c r="K550" s="538"/>
      <c r="L550" s="539"/>
      <c r="M550" s="523"/>
      <c r="N550" s="523"/>
      <c r="O550" s="523"/>
      <c r="P550" s="1789"/>
      <c r="Q550" s="523"/>
      <c r="R550" s="523"/>
      <c r="S550" s="523"/>
      <c r="T550" s="523"/>
      <c r="U550" s="523"/>
      <c r="V550" s="523"/>
      <c r="W550" s="523"/>
      <c r="X550" s="523"/>
      <c r="Y550" s="523"/>
      <c r="Z550" s="523"/>
      <c r="AA550" s="523"/>
      <c r="AB550" s="523"/>
      <c r="AC550" s="523"/>
    </row>
    <row r="551" spans="1:29">
      <c r="A551" s="523"/>
      <c r="B551" s="523"/>
      <c r="C551" s="523"/>
      <c r="D551" s="523"/>
      <c r="E551" s="523"/>
      <c r="F551" s="523"/>
      <c r="G551" s="523"/>
      <c r="H551" s="523"/>
      <c r="I551" s="523"/>
      <c r="J551" s="523"/>
      <c r="K551" s="538"/>
      <c r="L551" s="539"/>
      <c r="M551" s="523"/>
      <c r="N551" s="523"/>
      <c r="O551" s="523"/>
      <c r="P551" s="1789"/>
      <c r="Q551" s="523"/>
      <c r="R551" s="523"/>
      <c r="S551" s="523"/>
      <c r="T551" s="523"/>
      <c r="U551" s="523"/>
      <c r="V551" s="523"/>
      <c r="W551" s="523"/>
      <c r="X551" s="523"/>
      <c r="Y551" s="523"/>
      <c r="Z551" s="523"/>
      <c r="AA551" s="523"/>
      <c r="AB551" s="523"/>
      <c r="AC551" s="523"/>
    </row>
    <row r="552" spans="1:29">
      <c r="A552" s="523"/>
      <c r="B552" s="523"/>
      <c r="C552" s="523"/>
      <c r="D552" s="523"/>
      <c r="E552" s="523"/>
      <c r="F552" s="523"/>
      <c r="G552" s="523"/>
      <c r="H552" s="523"/>
      <c r="I552" s="523"/>
      <c r="J552" s="523"/>
      <c r="K552" s="538"/>
      <c r="L552" s="539"/>
      <c r="M552" s="523"/>
      <c r="N552" s="523"/>
      <c r="O552" s="523"/>
      <c r="P552" s="1789"/>
      <c r="Q552" s="523"/>
      <c r="R552" s="523"/>
      <c r="S552" s="523"/>
      <c r="T552" s="523"/>
      <c r="U552" s="523"/>
      <c r="V552" s="523"/>
      <c r="W552" s="523"/>
      <c r="X552" s="523"/>
      <c r="Y552" s="523"/>
      <c r="Z552" s="523"/>
      <c r="AA552" s="523"/>
      <c r="AB552" s="523"/>
      <c r="AC552" s="523"/>
    </row>
    <row r="553" spans="1:29">
      <c r="A553" s="523"/>
      <c r="B553" s="523"/>
      <c r="C553" s="523"/>
      <c r="D553" s="523"/>
      <c r="E553" s="523"/>
      <c r="F553" s="523"/>
      <c r="G553" s="523"/>
      <c r="H553" s="523"/>
      <c r="I553" s="523"/>
      <c r="J553" s="523"/>
      <c r="K553" s="538"/>
      <c r="L553" s="539"/>
      <c r="M553" s="523"/>
      <c r="N553" s="523"/>
      <c r="O553" s="523"/>
      <c r="P553" s="1789"/>
      <c r="Q553" s="523"/>
      <c r="R553" s="523"/>
      <c r="S553" s="523"/>
      <c r="T553" s="523"/>
      <c r="U553" s="523"/>
      <c r="V553" s="523"/>
      <c r="W553" s="523"/>
      <c r="X553" s="523"/>
      <c r="Y553" s="523"/>
      <c r="Z553" s="523"/>
      <c r="AA553" s="523"/>
      <c r="AB553" s="523"/>
      <c r="AC553" s="523"/>
    </row>
    <row r="554" spans="1:29">
      <c r="A554" s="523"/>
      <c r="B554" s="523"/>
      <c r="C554" s="523"/>
      <c r="D554" s="523"/>
      <c r="E554" s="523"/>
      <c r="F554" s="523"/>
      <c r="G554" s="523"/>
      <c r="H554" s="523"/>
      <c r="I554" s="523"/>
      <c r="J554" s="523"/>
      <c r="K554" s="538"/>
      <c r="L554" s="539"/>
      <c r="M554" s="523"/>
      <c r="N554" s="523"/>
      <c r="O554" s="523"/>
      <c r="P554" s="1789"/>
      <c r="Q554" s="523"/>
      <c r="R554" s="523"/>
      <c r="S554" s="523"/>
      <c r="T554" s="523"/>
      <c r="U554" s="523"/>
      <c r="V554" s="523"/>
      <c r="W554" s="523"/>
      <c r="X554" s="523"/>
      <c r="Y554" s="523"/>
      <c r="Z554" s="523"/>
      <c r="AA554" s="523"/>
      <c r="AB554" s="523"/>
      <c r="AC554" s="523"/>
    </row>
    <row r="555" spans="1:29">
      <c r="A555" s="523"/>
      <c r="B555" s="523"/>
      <c r="C555" s="523"/>
      <c r="D555" s="523"/>
      <c r="E555" s="523"/>
      <c r="F555" s="523"/>
      <c r="G555" s="523"/>
      <c r="H555" s="523"/>
      <c r="I555" s="523"/>
      <c r="J555" s="523"/>
      <c r="K555" s="538"/>
      <c r="L555" s="539"/>
      <c r="M555" s="523"/>
      <c r="N555" s="523"/>
      <c r="O555" s="523"/>
      <c r="P555" s="1789"/>
      <c r="Q555" s="523"/>
      <c r="R555" s="523"/>
      <c r="S555" s="523"/>
      <c r="T555" s="523"/>
      <c r="U555" s="523"/>
      <c r="V555" s="523"/>
      <c r="W555" s="523"/>
      <c r="X555" s="523"/>
      <c r="Y555" s="523"/>
      <c r="Z555" s="523"/>
      <c r="AA555" s="523"/>
      <c r="AB555" s="523"/>
      <c r="AC555" s="523"/>
    </row>
    <row r="556" spans="1:29">
      <c r="A556" s="523"/>
      <c r="B556" s="523"/>
      <c r="C556" s="523"/>
      <c r="D556" s="523"/>
      <c r="E556" s="523"/>
      <c r="F556" s="523"/>
      <c r="G556" s="523"/>
      <c r="H556" s="523"/>
      <c r="I556" s="523"/>
      <c r="J556" s="523"/>
      <c r="K556" s="538"/>
      <c r="L556" s="539"/>
      <c r="M556" s="523"/>
      <c r="N556" s="523"/>
      <c r="O556" s="523"/>
      <c r="P556" s="1789"/>
      <c r="Q556" s="523"/>
      <c r="R556" s="523"/>
      <c r="S556" s="523"/>
      <c r="T556" s="523"/>
      <c r="U556" s="523"/>
      <c r="V556" s="523"/>
      <c r="W556" s="523"/>
      <c r="X556" s="523"/>
      <c r="Y556" s="523"/>
      <c r="Z556" s="523"/>
      <c r="AA556" s="523"/>
      <c r="AB556" s="523"/>
      <c r="AC556" s="523"/>
    </row>
    <row r="557" spans="1:29">
      <c r="A557" s="523"/>
      <c r="B557" s="523"/>
      <c r="C557" s="523"/>
      <c r="D557" s="523"/>
      <c r="E557" s="523"/>
      <c r="F557" s="523"/>
      <c r="G557" s="523"/>
      <c r="H557" s="523"/>
      <c r="I557" s="523"/>
      <c r="J557" s="523"/>
      <c r="K557" s="538"/>
      <c r="L557" s="539"/>
      <c r="M557" s="523"/>
      <c r="N557" s="523"/>
      <c r="O557" s="523"/>
      <c r="P557" s="1789"/>
      <c r="Q557" s="523"/>
      <c r="R557" s="523"/>
      <c r="S557" s="523"/>
      <c r="T557" s="523"/>
      <c r="U557" s="523"/>
      <c r="V557" s="523"/>
      <c r="W557" s="523"/>
      <c r="X557" s="523"/>
      <c r="Y557" s="523"/>
      <c r="Z557" s="523"/>
      <c r="AA557" s="523"/>
      <c r="AB557" s="523"/>
      <c r="AC557" s="523"/>
    </row>
    <row r="558" spans="1:29">
      <c r="A558" s="523"/>
      <c r="B558" s="523"/>
      <c r="C558" s="523"/>
      <c r="D558" s="523"/>
      <c r="E558" s="523"/>
      <c r="F558" s="523"/>
      <c r="G558" s="523"/>
      <c r="H558" s="523"/>
      <c r="I558" s="523"/>
      <c r="J558" s="523"/>
      <c r="K558" s="538"/>
      <c r="L558" s="539"/>
      <c r="M558" s="523"/>
      <c r="N558" s="523"/>
      <c r="O558" s="523"/>
      <c r="P558" s="1789"/>
      <c r="Q558" s="523"/>
      <c r="R558" s="523"/>
      <c r="S558" s="523"/>
      <c r="T558" s="523"/>
      <c r="U558" s="523"/>
      <c r="V558" s="523"/>
      <c r="W558" s="523"/>
      <c r="X558" s="523"/>
      <c r="Y558" s="523"/>
      <c r="Z558" s="523"/>
      <c r="AA558" s="523"/>
      <c r="AB558" s="523"/>
      <c r="AC558" s="523"/>
    </row>
    <row r="559" spans="1:29">
      <c r="A559" s="523"/>
      <c r="B559" s="523"/>
      <c r="C559" s="523"/>
      <c r="D559" s="523"/>
      <c r="E559" s="523"/>
      <c r="F559" s="523"/>
      <c r="G559" s="523"/>
      <c r="H559" s="523"/>
      <c r="I559" s="523"/>
      <c r="J559" s="523"/>
      <c r="K559" s="538"/>
      <c r="L559" s="539"/>
      <c r="M559" s="523"/>
      <c r="N559" s="523"/>
      <c r="O559" s="523"/>
      <c r="P559" s="1789"/>
      <c r="Q559" s="523"/>
      <c r="R559" s="523"/>
      <c r="S559" s="523"/>
      <c r="T559" s="523"/>
      <c r="U559" s="523"/>
      <c r="V559" s="523"/>
      <c r="W559" s="523"/>
      <c r="X559" s="523"/>
      <c r="Y559" s="523"/>
      <c r="Z559" s="523"/>
      <c r="AA559" s="523"/>
      <c r="AB559" s="523"/>
      <c r="AC559" s="523"/>
    </row>
    <row r="560" spans="1:29">
      <c r="A560" s="523"/>
      <c r="B560" s="523"/>
      <c r="C560" s="523"/>
      <c r="D560" s="523"/>
      <c r="E560" s="523"/>
      <c r="F560" s="523"/>
      <c r="G560" s="523"/>
      <c r="H560" s="523"/>
      <c r="I560" s="523"/>
      <c r="J560" s="523"/>
      <c r="K560" s="538"/>
      <c r="L560" s="539"/>
      <c r="M560" s="523"/>
      <c r="N560" s="523"/>
      <c r="O560" s="523"/>
      <c r="P560" s="1789"/>
      <c r="Q560" s="523"/>
      <c r="R560" s="523"/>
      <c r="S560" s="523"/>
      <c r="T560" s="523"/>
      <c r="U560" s="523"/>
      <c r="V560" s="523"/>
      <c r="W560" s="523"/>
      <c r="X560" s="523"/>
      <c r="Y560" s="523"/>
      <c r="Z560" s="523"/>
      <c r="AA560" s="523"/>
      <c r="AB560" s="523"/>
      <c r="AC560" s="523"/>
    </row>
    <row r="561" spans="1:29">
      <c r="A561" s="523"/>
      <c r="B561" s="523"/>
      <c r="C561" s="523"/>
      <c r="D561" s="523"/>
      <c r="E561" s="523"/>
      <c r="F561" s="523"/>
      <c r="G561" s="523"/>
      <c r="H561" s="523"/>
      <c r="I561" s="523"/>
      <c r="J561" s="523"/>
      <c r="K561" s="538"/>
      <c r="L561" s="539"/>
      <c r="M561" s="523"/>
      <c r="N561" s="523"/>
      <c r="O561" s="523"/>
      <c r="P561" s="1789"/>
      <c r="Q561" s="523"/>
      <c r="R561" s="523"/>
      <c r="S561" s="523"/>
      <c r="T561" s="523"/>
      <c r="U561" s="523"/>
      <c r="V561" s="523"/>
      <c r="W561" s="523"/>
      <c r="X561" s="523"/>
      <c r="Y561" s="523"/>
      <c r="Z561" s="523"/>
      <c r="AA561" s="523"/>
      <c r="AB561" s="523"/>
      <c r="AC561" s="523"/>
    </row>
    <row r="562" spans="1:29">
      <c r="A562" s="523"/>
      <c r="B562" s="523"/>
      <c r="C562" s="523"/>
      <c r="D562" s="523"/>
      <c r="E562" s="523"/>
      <c r="F562" s="523"/>
      <c r="G562" s="523"/>
      <c r="H562" s="523"/>
      <c r="I562" s="523"/>
      <c r="J562" s="523"/>
      <c r="K562" s="538"/>
      <c r="L562" s="539"/>
      <c r="M562" s="523"/>
      <c r="N562" s="523"/>
      <c r="O562" s="523"/>
      <c r="P562" s="1789"/>
      <c r="Q562" s="523"/>
      <c r="R562" s="523"/>
      <c r="S562" s="523"/>
      <c r="T562" s="523"/>
      <c r="U562" s="523"/>
      <c r="V562" s="523"/>
      <c r="W562" s="523"/>
      <c r="X562" s="523"/>
      <c r="Y562" s="523"/>
      <c r="Z562" s="523"/>
      <c r="AA562" s="523"/>
      <c r="AB562" s="523"/>
      <c r="AC562" s="523"/>
    </row>
    <row r="563" spans="1:29">
      <c r="A563" s="523"/>
      <c r="B563" s="523"/>
      <c r="C563" s="523"/>
      <c r="D563" s="523"/>
      <c r="E563" s="523"/>
      <c r="F563" s="523"/>
      <c r="G563" s="523"/>
      <c r="H563" s="523"/>
      <c r="I563" s="523"/>
      <c r="J563" s="523"/>
      <c r="K563" s="538"/>
      <c r="L563" s="539"/>
      <c r="M563" s="523"/>
      <c r="N563" s="523"/>
      <c r="O563" s="523"/>
      <c r="P563" s="1789"/>
      <c r="Q563" s="523"/>
      <c r="R563" s="523"/>
      <c r="S563" s="523"/>
      <c r="T563" s="523"/>
      <c r="U563" s="523"/>
      <c r="V563" s="523"/>
      <c r="W563" s="523"/>
      <c r="X563" s="523"/>
      <c r="Y563" s="523"/>
      <c r="Z563" s="523"/>
      <c r="AA563" s="523"/>
      <c r="AB563" s="523"/>
      <c r="AC563" s="523"/>
    </row>
    <row r="564" spans="1:29">
      <c r="A564" s="523"/>
      <c r="B564" s="523"/>
      <c r="C564" s="523"/>
      <c r="D564" s="523"/>
      <c r="E564" s="523"/>
      <c r="F564" s="523"/>
      <c r="G564" s="523"/>
      <c r="H564" s="523"/>
      <c r="I564" s="523"/>
      <c r="J564" s="523"/>
      <c r="K564" s="538"/>
      <c r="L564" s="539"/>
      <c r="M564" s="523"/>
      <c r="N564" s="523"/>
      <c r="O564" s="523"/>
      <c r="P564" s="1789"/>
      <c r="Q564" s="523"/>
      <c r="R564" s="523"/>
      <c r="S564" s="523"/>
      <c r="T564" s="523"/>
      <c r="U564" s="523"/>
      <c r="V564" s="523"/>
      <c r="W564" s="523"/>
      <c r="X564" s="523"/>
      <c r="Y564" s="523"/>
      <c r="Z564" s="523"/>
      <c r="AA564" s="523"/>
      <c r="AB564" s="523"/>
      <c r="AC564" s="523"/>
    </row>
    <row r="565" spans="1:29">
      <c r="A565" s="523"/>
      <c r="B565" s="523"/>
      <c r="C565" s="523"/>
      <c r="D565" s="523"/>
      <c r="E565" s="523"/>
      <c r="F565" s="523"/>
      <c r="G565" s="523"/>
      <c r="H565" s="523"/>
      <c r="I565" s="523"/>
      <c r="J565" s="523"/>
      <c r="K565" s="538"/>
      <c r="L565" s="539"/>
      <c r="M565" s="523"/>
      <c r="N565" s="523"/>
      <c r="O565" s="523"/>
      <c r="P565" s="1789"/>
      <c r="Q565" s="523"/>
      <c r="R565" s="523"/>
      <c r="S565" s="523"/>
      <c r="T565" s="523"/>
      <c r="U565" s="523"/>
      <c r="V565" s="523"/>
      <c r="W565" s="523"/>
      <c r="X565" s="523"/>
      <c r="Y565" s="523"/>
      <c r="Z565" s="523"/>
      <c r="AA565" s="523"/>
      <c r="AB565" s="523"/>
      <c r="AC565" s="523"/>
    </row>
    <row r="566" spans="1:29">
      <c r="A566" s="523"/>
      <c r="B566" s="523"/>
      <c r="C566" s="523"/>
      <c r="D566" s="523"/>
      <c r="E566" s="523"/>
      <c r="F566" s="523"/>
      <c r="G566" s="523"/>
      <c r="H566" s="523"/>
      <c r="I566" s="523"/>
      <c r="J566" s="523"/>
      <c r="K566" s="538"/>
      <c r="L566" s="539"/>
      <c r="M566" s="523"/>
      <c r="N566" s="523"/>
      <c r="O566" s="523"/>
      <c r="P566" s="1789"/>
      <c r="Q566" s="523"/>
      <c r="R566" s="523"/>
      <c r="S566" s="523"/>
      <c r="T566" s="523"/>
      <c r="U566" s="523"/>
      <c r="V566" s="523"/>
      <c r="W566" s="523"/>
      <c r="X566" s="523"/>
      <c r="Y566" s="523"/>
      <c r="Z566" s="523"/>
      <c r="AA566" s="523"/>
      <c r="AB566" s="523"/>
      <c r="AC566" s="523"/>
    </row>
    <row r="567" spans="1:29">
      <c r="A567" s="523"/>
      <c r="B567" s="523"/>
      <c r="C567" s="523"/>
      <c r="D567" s="523"/>
      <c r="E567" s="523"/>
      <c r="F567" s="523"/>
      <c r="G567" s="523"/>
      <c r="H567" s="523"/>
      <c r="I567" s="523"/>
      <c r="J567" s="523"/>
      <c r="K567" s="538"/>
      <c r="L567" s="539"/>
      <c r="M567" s="523"/>
      <c r="N567" s="523"/>
      <c r="O567" s="523"/>
      <c r="P567" s="1789"/>
      <c r="Q567" s="523"/>
      <c r="R567" s="523"/>
      <c r="S567" s="523"/>
      <c r="T567" s="523"/>
      <c r="U567" s="523"/>
      <c r="V567" s="523"/>
      <c r="W567" s="523"/>
      <c r="X567" s="523"/>
      <c r="Y567" s="523"/>
      <c r="Z567" s="523"/>
      <c r="AA567" s="523"/>
      <c r="AB567" s="523"/>
      <c r="AC567" s="523"/>
    </row>
    <row r="568" spans="1:29">
      <c r="A568" s="523"/>
      <c r="B568" s="523"/>
      <c r="C568" s="523"/>
      <c r="D568" s="523"/>
      <c r="E568" s="523"/>
      <c r="F568" s="523"/>
      <c r="G568" s="523"/>
      <c r="H568" s="523"/>
      <c r="I568" s="523"/>
      <c r="J568" s="523"/>
      <c r="K568" s="538"/>
      <c r="L568" s="539"/>
      <c r="M568" s="523"/>
      <c r="N568" s="523"/>
      <c r="O568" s="523"/>
      <c r="P568" s="1789"/>
      <c r="Q568" s="523"/>
      <c r="R568" s="523"/>
      <c r="S568" s="523"/>
      <c r="T568" s="523"/>
      <c r="U568" s="523"/>
      <c r="V568" s="523"/>
      <c r="W568" s="523"/>
      <c r="X568" s="523"/>
      <c r="Y568" s="523"/>
      <c r="Z568" s="523"/>
      <c r="AA568" s="523"/>
      <c r="AB568" s="523"/>
      <c r="AC568" s="523"/>
    </row>
    <row r="569" spans="1:29">
      <c r="A569" s="523"/>
      <c r="B569" s="523"/>
      <c r="C569" s="523"/>
      <c r="D569" s="523"/>
      <c r="E569" s="523"/>
      <c r="F569" s="523"/>
      <c r="G569" s="523"/>
      <c r="H569" s="523"/>
      <c r="I569" s="523"/>
      <c r="J569" s="523"/>
      <c r="K569" s="538"/>
      <c r="L569" s="539"/>
      <c r="M569" s="523"/>
      <c r="N569" s="523"/>
      <c r="O569" s="523"/>
      <c r="P569" s="1789"/>
      <c r="Q569" s="523"/>
      <c r="R569" s="523"/>
      <c r="S569" s="523"/>
      <c r="T569" s="523"/>
      <c r="U569" s="523"/>
      <c r="V569" s="523"/>
      <c r="W569" s="523"/>
      <c r="X569" s="523"/>
      <c r="Y569" s="523"/>
      <c r="Z569" s="523"/>
      <c r="AA569" s="523"/>
      <c r="AB569" s="523"/>
      <c r="AC569" s="523"/>
    </row>
    <row r="570" spans="1:29">
      <c r="A570" s="523"/>
      <c r="B570" s="523"/>
      <c r="C570" s="523"/>
      <c r="D570" s="523"/>
      <c r="E570" s="523"/>
      <c r="F570" s="523"/>
      <c r="G570" s="523"/>
      <c r="H570" s="523"/>
      <c r="I570" s="523"/>
      <c r="J570" s="523"/>
      <c r="K570" s="538"/>
      <c r="L570" s="539"/>
      <c r="M570" s="523"/>
      <c r="N570" s="523"/>
      <c r="O570" s="523"/>
      <c r="P570" s="1789"/>
      <c r="Q570" s="523"/>
      <c r="R570" s="523"/>
      <c r="S570" s="523"/>
      <c r="T570" s="523"/>
      <c r="U570" s="523"/>
      <c r="V570" s="523"/>
      <c r="W570" s="523"/>
      <c r="X570" s="523"/>
      <c r="Y570" s="523"/>
      <c r="Z570" s="523"/>
      <c r="AA570" s="523"/>
      <c r="AB570" s="523"/>
      <c r="AC570" s="523"/>
    </row>
    <row r="571" spans="1:29">
      <c r="A571" s="523"/>
      <c r="B571" s="523"/>
      <c r="C571" s="523"/>
      <c r="D571" s="523"/>
      <c r="E571" s="523"/>
      <c r="F571" s="523"/>
      <c r="G571" s="523"/>
      <c r="H571" s="523"/>
      <c r="I571" s="523"/>
      <c r="J571" s="523"/>
      <c r="K571" s="538"/>
      <c r="L571" s="539"/>
      <c r="M571" s="523"/>
      <c r="N571" s="523"/>
      <c r="O571" s="523"/>
      <c r="P571" s="1789"/>
      <c r="Q571" s="523"/>
      <c r="R571" s="523"/>
      <c r="S571" s="523"/>
      <c r="T571" s="523"/>
      <c r="U571" s="523"/>
      <c r="V571" s="523"/>
      <c r="W571" s="523"/>
      <c r="X571" s="523"/>
      <c r="Y571" s="523"/>
      <c r="Z571" s="523"/>
      <c r="AA571" s="523"/>
      <c r="AB571" s="523"/>
      <c r="AC571" s="523"/>
    </row>
    <row r="572" spans="1:29">
      <c r="A572" s="523"/>
      <c r="B572" s="523"/>
      <c r="C572" s="523"/>
      <c r="D572" s="523"/>
      <c r="E572" s="523"/>
      <c r="F572" s="523"/>
      <c r="G572" s="523"/>
      <c r="H572" s="523"/>
      <c r="I572" s="523"/>
      <c r="J572" s="523"/>
      <c r="K572" s="538"/>
      <c r="L572" s="539"/>
      <c r="M572" s="523"/>
      <c r="N572" s="523"/>
      <c r="O572" s="523"/>
      <c r="P572" s="1789"/>
      <c r="Q572" s="523"/>
      <c r="R572" s="523"/>
      <c r="S572" s="523"/>
      <c r="T572" s="523"/>
      <c r="U572" s="523"/>
      <c r="V572" s="523"/>
      <c r="W572" s="523"/>
      <c r="X572" s="523"/>
      <c r="Y572" s="523"/>
      <c r="Z572" s="523"/>
      <c r="AA572" s="523"/>
      <c r="AB572" s="523"/>
      <c r="AC572" s="523"/>
    </row>
    <row r="573" spans="1:29">
      <c r="A573" s="523"/>
      <c r="B573" s="523"/>
      <c r="C573" s="523"/>
      <c r="D573" s="523"/>
      <c r="E573" s="523"/>
      <c r="F573" s="523"/>
      <c r="G573" s="523"/>
      <c r="H573" s="523"/>
      <c r="I573" s="523"/>
      <c r="J573" s="523"/>
      <c r="K573" s="538"/>
      <c r="L573" s="539"/>
      <c r="M573" s="523"/>
      <c r="N573" s="523"/>
      <c r="O573" s="523"/>
      <c r="P573" s="1789"/>
      <c r="Q573" s="523"/>
      <c r="R573" s="523"/>
      <c r="S573" s="523"/>
      <c r="T573" s="523"/>
      <c r="U573" s="523"/>
      <c r="V573" s="523"/>
      <c r="W573" s="523"/>
      <c r="X573" s="523"/>
      <c r="Y573" s="523"/>
      <c r="Z573" s="523"/>
      <c r="AA573" s="523"/>
      <c r="AB573" s="523"/>
      <c r="AC573" s="523"/>
    </row>
    <row r="574" spans="1:29">
      <c r="A574" s="523"/>
      <c r="B574" s="523"/>
      <c r="C574" s="523"/>
      <c r="D574" s="523"/>
      <c r="E574" s="523"/>
      <c r="F574" s="523"/>
      <c r="G574" s="523"/>
      <c r="H574" s="523"/>
      <c r="I574" s="523"/>
      <c r="J574" s="523"/>
      <c r="K574" s="538"/>
      <c r="L574" s="539"/>
      <c r="M574" s="523"/>
      <c r="N574" s="523"/>
      <c r="O574" s="523"/>
      <c r="P574" s="1789"/>
      <c r="Q574" s="523"/>
      <c r="R574" s="523"/>
      <c r="S574" s="523"/>
      <c r="T574" s="523"/>
      <c r="U574" s="523"/>
      <c r="V574" s="523"/>
      <c r="W574" s="523"/>
      <c r="X574" s="523"/>
      <c r="Y574" s="523"/>
      <c r="Z574" s="523"/>
      <c r="AA574" s="523"/>
      <c r="AB574" s="523"/>
      <c r="AC574" s="523"/>
    </row>
    <row r="575" spans="1:29">
      <c r="A575" s="523"/>
      <c r="B575" s="523"/>
      <c r="C575" s="523"/>
      <c r="D575" s="523"/>
      <c r="E575" s="523"/>
      <c r="F575" s="523"/>
      <c r="G575" s="523"/>
      <c r="H575" s="523"/>
      <c r="I575" s="523"/>
      <c r="J575" s="523"/>
      <c r="K575" s="538"/>
      <c r="L575" s="539"/>
      <c r="M575" s="523"/>
      <c r="N575" s="523"/>
      <c r="O575" s="523"/>
      <c r="P575" s="1789"/>
      <c r="Q575" s="523"/>
      <c r="R575" s="523"/>
      <c r="S575" s="523"/>
      <c r="T575" s="523"/>
      <c r="U575" s="523"/>
      <c r="V575" s="523"/>
      <c r="W575" s="523"/>
      <c r="X575" s="523"/>
      <c r="Y575" s="523"/>
      <c r="Z575" s="523"/>
      <c r="AA575" s="523"/>
      <c r="AB575" s="523"/>
      <c r="AC575" s="523"/>
    </row>
    <row r="576" spans="1:29">
      <c r="A576" s="523"/>
      <c r="B576" s="523"/>
      <c r="C576" s="523"/>
      <c r="D576" s="523"/>
      <c r="E576" s="523"/>
      <c r="F576" s="523"/>
      <c r="G576" s="523"/>
      <c r="H576" s="523"/>
      <c r="I576" s="523"/>
      <c r="J576" s="523"/>
      <c r="K576" s="538"/>
      <c r="L576" s="539"/>
      <c r="M576" s="523"/>
      <c r="N576" s="523"/>
      <c r="O576" s="523"/>
      <c r="P576" s="1789"/>
      <c r="Q576" s="523"/>
      <c r="R576" s="523"/>
      <c r="S576" s="523"/>
      <c r="T576" s="523"/>
      <c r="U576" s="523"/>
      <c r="V576" s="523"/>
      <c r="W576" s="523"/>
      <c r="X576" s="523"/>
      <c r="Y576" s="523"/>
      <c r="Z576" s="523"/>
      <c r="AA576" s="523"/>
      <c r="AB576" s="523"/>
      <c r="AC576" s="523"/>
    </row>
    <row r="577" spans="1:29">
      <c r="A577" s="523"/>
      <c r="B577" s="523"/>
      <c r="C577" s="523"/>
      <c r="D577" s="523"/>
      <c r="E577" s="523"/>
      <c r="F577" s="523"/>
      <c r="G577" s="523"/>
      <c r="H577" s="523"/>
      <c r="I577" s="523"/>
      <c r="J577" s="523"/>
      <c r="K577" s="538"/>
      <c r="L577" s="539"/>
      <c r="M577" s="523"/>
      <c r="N577" s="523"/>
      <c r="O577" s="523"/>
      <c r="P577" s="1789"/>
      <c r="Q577" s="523"/>
      <c r="R577" s="523"/>
      <c r="S577" s="523"/>
      <c r="T577" s="523"/>
      <c r="U577" s="523"/>
      <c r="V577" s="523"/>
      <c r="W577" s="523"/>
      <c r="X577" s="523"/>
      <c r="Y577" s="523"/>
      <c r="Z577" s="523"/>
      <c r="AA577" s="523"/>
      <c r="AB577" s="523"/>
      <c r="AC577" s="523"/>
    </row>
    <row r="578" spans="1:29">
      <c r="A578" s="523"/>
      <c r="B578" s="523"/>
      <c r="C578" s="523"/>
      <c r="D578" s="523"/>
      <c r="E578" s="523"/>
      <c r="F578" s="523"/>
      <c r="G578" s="523"/>
      <c r="H578" s="523"/>
      <c r="I578" s="523"/>
      <c r="J578" s="523"/>
      <c r="K578" s="538"/>
      <c r="L578" s="539"/>
      <c r="M578" s="523"/>
      <c r="N578" s="523"/>
      <c r="O578" s="523"/>
      <c r="P578" s="1789"/>
      <c r="Q578" s="523"/>
      <c r="R578" s="523"/>
      <c r="S578" s="523"/>
      <c r="T578" s="523"/>
      <c r="U578" s="523"/>
      <c r="V578" s="523"/>
      <c r="W578" s="523"/>
      <c r="X578" s="523"/>
      <c r="Y578" s="523"/>
      <c r="Z578" s="523"/>
      <c r="AA578" s="523"/>
      <c r="AB578" s="523"/>
      <c r="AC578" s="523"/>
    </row>
    <row r="579" spans="1:29">
      <c r="A579" s="523"/>
      <c r="B579" s="523"/>
      <c r="C579" s="523"/>
      <c r="D579" s="523"/>
      <c r="E579" s="523"/>
      <c r="F579" s="523"/>
      <c r="G579" s="523"/>
      <c r="H579" s="523"/>
      <c r="I579" s="523"/>
      <c r="J579" s="523"/>
      <c r="K579" s="538"/>
      <c r="L579" s="539"/>
      <c r="M579" s="523"/>
      <c r="N579" s="523"/>
      <c r="O579" s="523"/>
      <c r="P579" s="1789"/>
      <c r="Q579" s="523"/>
      <c r="R579" s="523"/>
      <c r="S579" s="523"/>
      <c r="T579" s="523"/>
      <c r="U579" s="523"/>
      <c r="V579" s="523"/>
      <c r="W579" s="523"/>
      <c r="X579" s="523"/>
      <c r="Y579" s="523"/>
      <c r="Z579" s="523"/>
      <c r="AA579" s="523"/>
      <c r="AB579" s="523"/>
      <c r="AC579" s="523"/>
    </row>
    <row r="580" spans="1:29">
      <c r="A580" s="523"/>
      <c r="B580" s="523"/>
      <c r="C580" s="523"/>
      <c r="D580" s="523"/>
      <c r="E580" s="523"/>
      <c r="F580" s="523"/>
      <c r="G580" s="523"/>
      <c r="H580" s="523"/>
      <c r="I580" s="523"/>
      <c r="J580" s="523"/>
      <c r="K580" s="538"/>
      <c r="L580" s="539"/>
      <c r="M580" s="523"/>
      <c r="N580" s="523"/>
      <c r="O580" s="523"/>
      <c r="P580" s="1789"/>
      <c r="Q580" s="523"/>
      <c r="R580" s="523"/>
      <c r="S580" s="523"/>
      <c r="T580" s="523"/>
      <c r="U580" s="523"/>
      <c r="V580" s="523"/>
      <c r="W580" s="523"/>
      <c r="X580" s="523"/>
      <c r="Y580" s="523"/>
      <c r="Z580" s="523"/>
      <c r="AA580" s="523"/>
      <c r="AB580" s="523"/>
      <c r="AC580" s="523"/>
    </row>
    <row r="581" spans="1:29">
      <c r="A581" s="523"/>
      <c r="B581" s="523"/>
      <c r="C581" s="523"/>
      <c r="D581" s="523"/>
      <c r="E581" s="523"/>
      <c r="F581" s="523"/>
      <c r="G581" s="523"/>
      <c r="H581" s="523"/>
      <c r="I581" s="523"/>
      <c r="J581" s="523"/>
      <c r="K581" s="538"/>
      <c r="L581" s="539"/>
      <c r="M581" s="523"/>
      <c r="N581" s="523"/>
      <c r="O581" s="523"/>
      <c r="P581" s="1789"/>
      <c r="Q581" s="523"/>
      <c r="R581" s="523"/>
      <c r="S581" s="523"/>
      <c r="T581" s="523"/>
      <c r="U581" s="523"/>
      <c r="V581" s="523"/>
      <c r="W581" s="523"/>
      <c r="X581" s="523"/>
      <c r="Y581" s="523"/>
      <c r="Z581" s="523"/>
      <c r="AA581" s="523"/>
      <c r="AB581" s="523"/>
      <c r="AC581" s="523"/>
    </row>
    <row r="582" spans="1:29">
      <c r="A582" s="523"/>
      <c r="B582" s="523"/>
      <c r="C582" s="523"/>
      <c r="D582" s="523"/>
      <c r="E582" s="523"/>
      <c r="F582" s="523"/>
      <c r="G582" s="523"/>
      <c r="H582" s="523"/>
      <c r="I582" s="523"/>
      <c r="J582" s="523"/>
      <c r="K582" s="538"/>
      <c r="L582" s="539"/>
      <c r="M582" s="523"/>
      <c r="N582" s="523"/>
      <c r="O582" s="523"/>
      <c r="P582" s="1789"/>
      <c r="Q582" s="523"/>
      <c r="R582" s="523"/>
      <c r="S582" s="523"/>
      <c r="T582" s="523"/>
      <c r="U582" s="523"/>
      <c r="V582" s="523"/>
      <c r="W582" s="523"/>
      <c r="X582" s="523"/>
      <c r="Y582" s="523"/>
      <c r="Z582" s="523"/>
      <c r="AA582" s="523"/>
      <c r="AB582" s="523"/>
      <c r="AC582" s="523"/>
    </row>
    <row r="583" spans="1:29">
      <c r="A583" s="523"/>
      <c r="B583" s="523"/>
      <c r="C583" s="523"/>
      <c r="D583" s="523"/>
      <c r="E583" s="523"/>
      <c r="F583" s="523"/>
      <c r="G583" s="523"/>
      <c r="H583" s="523"/>
      <c r="I583" s="523"/>
      <c r="J583" s="523"/>
      <c r="K583" s="538"/>
      <c r="L583" s="539"/>
      <c r="M583" s="523"/>
      <c r="N583" s="523"/>
      <c r="O583" s="523"/>
      <c r="P583" s="1789"/>
      <c r="Q583" s="523"/>
      <c r="R583" s="523"/>
      <c r="S583" s="523"/>
      <c r="T583" s="523"/>
      <c r="U583" s="523"/>
      <c r="V583" s="523"/>
      <c r="W583" s="523"/>
      <c r="X583" s="523"/>
      <c r="Y583" s="523"/>
      <c r="Z583" s="523"/>
      <c r="AA583" s="523"/>
      <c r="AB583" s="523"/>
      <c r="AC583" s="523"/>
    </row>
    <row r="584" spans="1:29">
      <c r="A584" s="523"/>
      <c r="B584" s="523"/>
      <c r="C584" s="523"/>
      <c r="D584" s="523"/>
      <c r="E584" s="523"/>
      <c r="F584" s="523"/>
      <c r="G584" s="523"/>
      <c r="H584" s="523"/>
      <c r="I584" s="523"/>
      <c r="J584" s="523"/>
      <c r="K584" s="538"/>
      <c r="L584" s="539"/>
      <c r="M584" s="523"/>
      <c r="N584" s="523"/>
      <c r="O584" s="523"/>
      <c r="P584" s="1789"/>
      <c r="Q584" s="523"/>
      <c r="R584" s="523"/>
      <c r="S584" s="523"/>
      <c r="T584" s="523"/>
      <c r="U584" s="523"/>
      <c r="V584" s="523"/>
      <c r="W584" s="523"/>
      <c r="X584" s="523"/>
      <c r="Y584" s="523"/>
      <c r="Z584" s="523"/>
      <c r="AA584" s="523"/>
      <c r="AB584" s="523"/>
      <c r="AC584" s="523"/>
    </row>
    <row r="585" spans="1:29">
      <c r="A585" s="523"/>
      <c r="B585" s="523"/>
      <c r="C585" s="523"/>
      <c r="D585" s="523"/>
      <c r="E585" s="523"/>
      <c r="F585" s="523"/>
      <c r="G585" s="523"/>
      <c r="H585" s="523"/>
      <c r="I585" s="523"/>
      <c r="J585" s="523"/>
      <c r="K585" s="538"/>
      <c r="L585" s="539"/>
      <c r="M585" s="523"/>
      <c r="N585" s="523"/>
      <c r="O585" s="523"/>
      <c r="P585" s="1789"/>
      <c r="Q585" s="523"/>
      <c r="R585" s="523"/>
      <c r="S585" s="523"/>
      <c r="T585" s="523"/>
      <c r="U585" s="523"/>
      <c r="V585" s="523"/>
      <c r="W585" s="523"/>
      <c r="X585" s="523"/>
      <c r="Y585" s="523"/>
      <c r="Z585" s="523"/>
      <c r="AA585" s="523"/>
      <c r="AB585" s="523"/>
      <c r="AC585" s="523"/>
    </row>
    <row r="586" spans="1:29">
      <c r="A586" s="523"/>
      <c r="B586" s="523"/>
      <c r="C586" s="523"/>
      <c r="D586" s="523"/>
      <c r="E586" s="523"/>
      <c r="F586" s="523"/>
      <c r="G586" s="523"/>
      <c r="H586" s="523"/>
      <c r="I586" s="523"/>
      <c r="J586" s="523"/>
      <c r="K586" s="538"/>
      <c r="L586" s="539"/>
      <c r="M586" s="523"/>
      <c r="N586" s="523"/>
      <c r="O586" s="523"/>
      <c r="P586" s="1789"/>
      <c r="Q586" s="523"/>
      <c r="R586" s="523"/>
      <c r="S586" s="523"/>
      <c r="T586" s="523"/>
      <c r="U586" s="523"/>
      <c r="V586" s="523"/>
      <c r="W586" s="523"/>
      <c r="X586" s="523"/>
      <c r="Y586" s="523"/>
      <c r="Z586" s="523"/>
      <c r="AA586" s="523"/>
      <c r="AB586" s="523"/>
      <c r="AC586" s="523"/>
    </row>
    <row r="587" spans="1:29">
      <c r="A587" s="523"/>
      <c r="B587" s="523"/>
      <c r="C587" s="523"/>
      <c r="D587" s="523"/>
      <c r="E587" s="523"/>
      <c r="F587" s="523"/>
      <c r="G587" s="523"/>
      <c r="H587" s="523"/>
      <c r="I587" s="523"/>
      <c r="J587" s="523"/>
      <c r="K587" s="538"/>
      <c r="L587" s="539"/>
      <c r="M587" s="523"/>
      <c r="N587" s="523"/>
      <c r="O587" s="523"/>
      <c r="P587" s="1789"/>
      <c r="Q587" s="523"/>
      <c r="R587" s="523"/>
      <c r="S587" s="523"/>
      <c r="T587" s="523"/>
      <c r="U587" s="523"/>
      <c r="V587" s="523"/>
      <c r="W587" s="523"/>
      <c r="X587" s="523"/>
      <c r="Y587" s="523"/>
      <c r="Z587" s="523"/>
      <c r="AA587" s="523"/>
      <c r="AB587" s="523"/>
      <c r="AC587" s="523"/>
    </row>
    <row r="588" spans="1:29">
      <c r="A588" s="523"/>
      <c r="B588" s="523"/>
      <c r="C588" s="523"/>
      <c r="D588" s="523"/>
      <c r="E588" s="523"/>
      <c r="F588" s="523"/>
      <c r="G588" s="523"/>
      <c r="H588" s="523"/>
      <c r="I588" s="523"/>
      <c r="J588" s="523"/>
      <c r="K588" s="538"/>
      <c r="L588" s="539"/>
      <c r="M588" s="523"/>
      <c r="N588" s="523"/>
      <c r="O588" s="523"/>
      <c r="P588" s="1789"/>
      <c r="Q588" s="523"/>
      <c r="R588" s="523"/>
      <c r="S588" s="523"/>
      <c r="T588" s="523"/>
      <c r="U588" s="523"/>
      <c r="V588" s="523"/>
      <c r="W588" s="523"/>
      <c r="X588" s="523"/>
      <c r="Y588" s="523"/>
      <c r="Z588" s="523"/>
      <c r="AA588" s="523"/>
      <c r="AB588" s="523"/>
      <c r="AC588" s="523"/>
    </row>
    <row r="589" spans="1:29">
      <c r="A589" s="523"/>
      <c r="B589" s="523"/>
      <c r="C589" s="523"/>
      <c r="D589" s="523"/>
      <c r="E589" s="523"/>
      <c r="F589" s="523"/>
      <c r="G589" s="523"/>
      <c r="H589" s="523"/>
      <c r="I589" s="523"/>
      <c r="J589" s="523"/>
      <c r="K589" s="538"/>
      <c r="L589" s="539"/>
      <c r="M589" s="523"/>
      <c r="N589" s="523"/>
      <c r="O589" s="523"/>
      <c r="P589" s="1789"/>
      <c r="Q589" s="523"/>
      <c r="R589" s="523"/>
      <c r="S589" s="523"/>
      <c r="T589" s="523"/>
      <c r="U589" s="523"/>
      <c r="V589" s="523"/>
      <c r="W589" s="523"/>
      <c r="X589" s="523"/>
      <c r="Y589" s="523"/>
      <c r="Z589" s="523"/>
      <c r="AA589" s="523"/>
      <c r="AB589" s="523"/>
      <c r="AC589" s="523"/>
    </row>
    <row r="590" spans="1:29">
      <c r="A590" s="523"/>
      <c r="B590" s="523"/>
      <c r="C590" s="523"/>
      <c r="D590" s="523"/>
      <c r="E590" s="523"/>
      <c r="F590" s="523"/>
      <c r="G590" s="523"/>
      <c r="H590" s="523"/>
      <c r="I590" s="523"/>
      <c r="J590" s="523"/>
      <c r="K590" s="538"/>
      <c r="L590" s="539"/>
      <c r="M590" s="523"/>
      <c r="N590" s="523"/>
      <c r="O590" s="523"/>
      <c r="P590" s="1789"/>
      <c r="Q590" s="523"/>
      <c r="R590" s="523"/>
      <c r="S590" s="523"/>
      <c r="T590" s="523"/>
      <c r="U590" s="523"/>
      <c r="V590" s="523"/>
      <c r="W590" s="523"/>
      <c r="X590" s="523"/>
      <c r="Y590" s="523"/>
      <c r="Z590" s="523"/>
      <c r="AA590" s="523"/>
      <c r="AB590" s="523"/>
      <c r="AC590" s="523"/>
    </row>
    <row r="591" spans="1:29">
      <c r="A591" s="523"/>
      <c r="B591" s="523"/>
      <c r="C591" s="523"/>
      <c r="D591" s="523"/>
      <c r="E591" s="523"/>
      <c r="F591" s="523"/>
      <c r="G591" s="523"/>
      <c r="H591" s="523"/>
      <c r="I591" s="523"/>
      <c r="J591" s="523"/>
      <c r="K591" s="538"/>
      <c r="L591" s="539"/>
      <c r="M591" s="523"/>
      <c r="N591" s="523"/>
      <c r="O591" s="523"/>
      <c r="P591" s="1789"/>
      <c r="Q591" s="523"/>
      <c r="R591" s="523"/>
      <c r="S591" s="523"/>
      <c r="T591" s="523"/>
      <c r="U591" s="523"/>
      <c r="V591" s="523"/>
      <c r="W591" s="523"/>
      <c r="X591" s="523"/>
      <c r="Y591" s="523"/>
      <c r="Z591" s="523"/>
      <c r="AA591" s="523"/>
      <c r="AB591" s="523"/>
      <c r="AC591" s="523"/>
    </row>
    <row r="592" spans="1:29">
      <c r="A592" s="523"/>
      <c r="B592" s="523"/>
      <c r="C592" s="523"/>
      <c r="D592" s="523"/>
      <c r="E592" s="523"/>
      <c r="F592" s="523"/>
      <c r="G592" s="523"/>
      <c r="H592" s="523"/>
      <c r="I592" s="523"/>
      <c r="J592" s="523"/>
      <c r="K592" s="538"/>
      <c r="L592" s="539"/>
      <c r="M592" s="523"/>
      <c r="N592" s="523"/>
      <c r="O592" s="523"/>
      <c r="P592" s="1789"/>
      <c r="Q592" s="523"/>
      <c r="R592" s="523"/>
      <c r="S592" s="523"/>
      <c r="T592" s="523"/>
      <c r="U592" s="523"/>
      <c r="V592" s="523"/>
      <c r="W592" s="523"/>
      <c r="X592" s="523"/>
      <c r="Y592" s="523"/>
      <c r="Z592" s="523"/>
      <c r="AA592" s="523"/>
      <c r="AB592" s="523"/>
      <c r="AC592" s="523"/>
    </row>
    <row r="593" spans="1:29">
      <c r="A593" s="523"/>
      <c r="B593" s="523"/>
      <c r="C593" s="523"/>
      <c r="D593" s="523"/>
      <c r="E593" s="523"/>
      <c r="F593" s="523"/>
      <c r="G593" s="523"/>
      <c r="H593" s="523"/>
      <c r="I593" s="523"/>
      <c r="J593" s="523"/>
      <c r="K593" s="538"/>
      <c r="L593" s="539"/>
      <c r="M593" s="523"/>
      <c r="N593" s="523"/>
      <c r="O593" s="523"/>
      <c r="P593" s="1789"/>
      <c r="Q593" s="523"/>
      <c r="R593" s="523"/>
      <c r="S593" s="523"/>
      <c r="T593" s="523"/>
      <c r="U593" s="523"/>
      <c r="V593" s="523"/>
      <c r="W593" s="523"/>
      <c r="X593" s="523"/>
      <c r="Y593" s="523"/>
      <c r="Z593" s="523"/>
      <c r="AA593" s="523"/>
      <c r="AB593" s="523"/>
      <c r="AC593" s="523"/>
    </row>
    <row r="594" spans="1:29">
      <c r="A594" s="523"/>
      <c r="B594" s="523"/>
      <c r="C594" s="523"/>
      <c r="D594" s="523"/>
      <c r="E594" s="523"/>
      <c r="F594" s="523"/>
      <c r="G594" s="523"/>
      <c r="H594" s="523"/>
      <c r="I594" s="523"/>
      <c r="J594" s="523"/>
      <c r="K594" s="538"/>
      <c r="L594" s="539"/>
      <c r="M594" s="523"/>
      <c r="N594" s="523"/>
      <c r="O594" s="523"/>
      <c r="P594" s="1789"/>
      <c r="Q594" s="523"/>
      <c r="R594" s="523"/>
      <c r="S594" s="523"/>
      <c r="T594" s="523"/>
      <c r="U594" s="523"/>
      <c r="V594" s="523"/>
      <c r="W594" s="523"/>
      <c r="X594" s="523"/>
      <c r="Y594" s="523"/>
      <c r="Z594" s="523"/>
      <c r="AA594" s="523"/>
      <c r="AB594" s="523"/>
      <c r="AC594" s="523"/>
    </row>
    <row r="595" spans="1:29">
      <c r="A595" s="523"/>
      <c r="B595" s="523"/>
      <c r="C595" s="523"/>
      <c r="D595" s="523"/>
      <c r="E595" s="523"/>
      <c r="F595" s="523"/>
      <c r="G595" s="523"/>
      <c r="H595" s="523"/>
      <c r="I595" s="523"/>
      <c r="J595" s="523"/>
      <c r="K595" s="538"/>
      <c r="L595" s="539"/>
      <c r="M595" s="523"/>
      <c r="N595" s="523"/>
      <c r="O595" s="523"/>
      <c r="P595" s="1789"/>
      <c r="Q595" s="523"/>
      <c r="R595" s="523"/>
      <c r="S595" s="523"/>
      <c r="T595" s="523"/>
      <c r="U595" s="523"/>
      <c r="V595" s="523"/>
      <c r="W595" s="523"/>
      <c r="X595" s="523"/>
      <c r="Y595" s="523"/>
      <c r="Z595" s="523"/>
      <c r="AA595" s="523"/>
      <c r="AB595" s="523"/>
      <c r="AC595" s="523"/>
    </row>
    <row r="596" spans="1:29">
      <c r="A596" s="523"/>
      <c r="B596" s="523"/>
      <c r="C596" s="523"/>
      <c r="D596" s="523"/>
      <c r="E596" s="523"/>
      <c r="F596" s="523"/>
      <c r="G596" s="523"/>
      <c r="H596" s="523"/>
      <c r="I596" s="523"/>
      <c r="J596" s="523"/>
      <c r="K596" s="538"/>
      <c r="L596" s="539"/>
      <c r="M596" s="523"/>
      <c r="N596" s="523"/>
      <c r="O596" s="523"/>
      <c r="P596" s="1789"/>
      <c r="Q596" s="523"/>
      <c r="R596" s="523"/>
      <c r="S596" s="523"/>
      <c r="T596" s="523"/>
      <c r="U596" s="523"/>
      <c r="V596" s="523"/>
      <c r="W596" s="523"/>
      <c r="X596" s="523"/>
      <c r="Y596" s="523"/>
      <c r="Z596" s="523"/>
      <c r="AA596" s="523"/>
      <c r="AB596" s="523"/>
      <c r="AC596" s="523"/>
    </row>
    <row r="597" spans="1:29">
      <c r="A597" s="523"/>
      <c r="B597" s="523"/>
      <c r="C597" s="523"/>
      <c r="D597" s="523"/>
      <c r="E597" s="523"/>
      <c r="F597" s="523"/>
      <c r="G597" s="523"/>
      <c r="H597" s="523"/>
      <c r="I597" s="523"/>
      <c r="J597" s="523"/>
      <c r="K597" s="538"/>
      <c r="L597" s="539"/>
      <c r="M597" s="523"/>
      <c r="N597" s="523"/>
      <c r="O597" s="523"/>
      <c r="P597" s="1789"/>
      <c r="Q597" s="523"/>
      <c r="R597" s="523"/>
      <c r="S597" s="523"/>
      <c r="T597" s="523"/>
      <c r="U597" s="523"/>
      <c r="V597" s="523"/>
      <c r="W597" s="523"/>
      <c r="X597" s="523"/>
      <c r="Y597" s="523"/>
      <c r="Z597" s="523"/>
      <c r="AA597" s="523"/>
      <c r="AB597" s="523"/>
      <c r="AC597" s="523"/>
    </row>
    <row r="598" spans="1:29">
      <c r="A598" s="523"/>
      <c r="B598" s="523"/>
      <c r="C598" s="523"/>
      <c r="D598" s="523"/>
      <c r="E598" s="523"/>
      <c r="F598" s="523"/>
      <c r="G598" s="523"/>
      <c r="H598" s="523"/>
      <c r="I598" s="523"/>
      <c r="J598" s="523"/>
      <c r="K598" s="538"/>
      <c r="L598" s="539"/>
      <c r="M598" s="523"/>
      <c r="N598" s="523"/>
      <c r="O598" s="523"/>
      <c r="P598" s="1789"/>
      <c r="Q598" s="523"/>
      <c r="R598" s="523"/>
      <c r="S598" s="523"/>
      <c r="T598" s="523"/>
      <c r="U598" s="523"/>
      <c r="V598" s="523"/>
      <c r="W598" s="523"/>
      <c r="X598" s="523"/>
      <c r="Y598" s="523"/>
      <c r="Z598" s="523"/>
      <c r="AA598" s="523"/>
      <c r="AB598" s="523"/>
      <c r="AC598" s="523"/>
    </row>
    <row r="599" spans="1:29">
      <c r="A599" s="523"/>
      <c r="B599" s="523"/>
      <c r="C599" s="523"/>
      <c r="D599" s="523"/>
      <c r="E599" s="523"/>
      <c r="F599" s="523"/>
      <c r="G599" s="523"/>
      <c r="H599" s="523"/>
      <c r="I599" s="523"/>
      <c r="J599" s="523"/>
      <c r="K599" s="538"/>
      <c r="L599" s="539"/>
      <c r="M599" s="523"/>
      <c r="N599" s="523"/>
      <c r="O599" s="523"/>
      <c r="P599" s="1789"/>
      <c r="Q599" s="523"/>
      <c r="R599" s="523"/>
      <c r="S599" s="523"/>
      <c r="T599" s="523"/>
      <c r="U599" s="523"/>
      <c r="V599" s="523"/>
      <c r="W599" s="523"/>
      <c r="X599" s="523"/>
      <c r="Y599" s="523"/>
      <c r="Z599" s="523"/>
      <c r="AA599" s="523"/>
      <c r="AB599" s="523"/>
      <c r="AC599" s="523"/>
    </row>
    <row r="600" spans="1:29">
      <c r="A600" s="523"/>
      <c r="B600" s="523"/>
      <c r="C600" s="523"/>
      <c r="D600" s="523"/>
      <c r="E600" s="523"/>
      <c r="F600" s="523"/>
      <c r="G600" s="523"/>
      <c r="H600" s="523"/>
      <c r="I600" s="523"/>
      <c r="J600" s="523"/>
      <c r="K600" s="538"/>
      <c r="L600" s="539"/>
      <c r="M600" s="523"/>
      <c r="N600" s="523"/>
      <c r="O600" s="523"/>
      <c r="P600" s="1789"/>
      <c r="Q600" s="523"/>
      <c r="R600" s="523"/>
      <c r="S600" s="523"/>
      <c r="T600" s="523"/>
      <c r="U600" s="523"/>
      <c r="V600" s="523"/>
      <c r="W600" s="523"/>
      <c r="X600" s="523"/>
      <c r="Y600" s="523"/>
      <c r="Z600" s="523"/>
      <c r="AA600" s="523"/>
      <c r="AB600" s="523"/>
      <c r="AC600" s="523"/>
    </row>
    <row r="601" spans="1:29">
      <c r="A601" s="523"/>
      <c r="B601" s="523"/>
      <c r="C601" s="523"/>
      <c r="D601" s="523"/>
      <c r="E601" s="523"/>
      <c r="F601" s="523"/>
      <c r="G601" s="523"/>
      <c r="H601" s="523"/>
      <c r="I601" s="523"/>
      <c r="J601" s="523"/>
      <c r="K601" s="538"/>
      <c r="L601" s="539"/>
      <c r="M601" s="523"/>
      <c r="N601" s="523"/>
      <c r="O601" s="523"/>
      <c r="P601" s="1789"/>
      <c r="Q601" s="523"/>
      <c r="R601" s="523"/>
      <c r="S601" s="523"/>
      <c r="T601" s="523"/>
      <c r="U601" s="523"/>
      <c r="V601" s="523"/>
      <c r="W601" s="523"/>
      <c r="X601" s="523"/>
      <c r="Y601" s="523"/>
      <c r="Z601" s="523"/>
      <c r="AA601" s="523"/>
      <c r="AB601" s="523"/>
      <c r="AC601" s="523"/>
    </row>
    <row r="602" spans="1:29">
      <c r="A602" s="523"/>
      <c r="B602" s="523"/>
      <c r="C602" s="523"/>
      <c r="D602" s="523"/>
      <c r="E602" s="523"/>
      <c r="F602" s="523"/>
      <c r="G602" s="523"/>
      <c r="H602" s="523"/>
      <c r="I602" s="523"/>
      <c r="J602" s="523"/>
      <c r="K602" s="538"/>
      <c r="L602" s="539"/>
      <c r="M602" s="523"/>
      <c r="N602" s="523"/>
      <c r="O602" s="523"/>
      <c r="P602" s="1789"/>
      <c r="Q602" s="523"/>
      <c r="R602" s="523"/>
      <c r="S602" s="523"/>
      <c r="T602" s="523"/>
      <c r="U602" s="523"/>
      <c r="V602" s="523"/>
      <c r="W602" s="523"/>
      <c r="X602" s="523"/>
      <c r="Y602" s="523"/>
      <c r="Z602" s="523"/>
      <c r="AA602" s="523"/>
      <c r="AB602" s="523"/>
      <c r="AC602" s="523"/>
    </row>
    <row r="603" spans="1:29">
      <c r="A603" s="523"/>
      <c r="B603" s="523"/>
      <c r="C603" s="523"/>
      <c r="D603" s="523"/>
      <c r="E603" s="523"/>
      <c r="F603" s="523"/>
      <c r="G603" s="523"/>
      <c r="H603" s="523"/>
      <c r="I603" s="523"/>
      <c r="J603" s="523"/>
      <c r="K603" s="538"/>
      <c r="L603" s="539"/>
      <c r="M603" s="523"/>
      <c r="N603" s="523"/>
      <c r="O603" s="523"/>
      <c r="P603" s="1789"/>
      <c r="Q603" s="523"/>
      <c r="R603" s="523"/>
      <c r="S603" s="523"/>
      <c r="T603" s="523"/>
      <c r="U603" s="523"/>
      <c r="V603" s="523"/>
      <c r="W603" s="523"/>
      <c r="X603" s="523"/>
      <c r="Y603" s="523"/>
      <c r="Z603" s="523"/>
      <c r="AA603" s="523"/>
      <c r="AB603" s="523"/>
      <c r="AC603" s="523"/>
    </row>
    <row r="604" spans="1:29">
      <c r="A604" s="523"/>
      <c r="B604" s="523"/>
      <c r="C604" s="523"/>
      <c r="D604" s="523"/>
      <c r="E604" s="523"/>
      <c r="F604" s="523"/>
      <c r="G604" s="523"/>
      <c r="H604" s="523"/>
      <c r="I604" s="523"/>
      <c r="J604" s="523"/>
      <c r="K604" s="538"/>
      <c r="L604" s="539"/>
      <c r="M604" s="523"/>
      <c r="N604" s="523"/>
      <c r="O604" s="523"/>
      <c r="P604" s="1789"/>
      <c r="Q604" s="523"/>
      <c r="R604" s="523"/>
      <c r="S604" s="523"/>
      <c r="T604" s="523"/>
      <c r="U604" s="523"/>
      <c r="V604" s="523"/>
      <c r="W604" s="523"/>
      <c r="X604" s="523"/>
      <c r="Y604" s="523"/>
      <c r="Z604" s="523"/>
      <c r="AA604" s="523"/>
      <c r="AB604" s="523"/>
      <c r="AC604" s="523"/>
    </row>
    <row r="605" spans="1:29">
      <c r="A605" s="523"/>
      <c r="B605" s="523"/>
      <c r="C605" s="523"/>
      <c r="D605" s="523"/>
      <c r="E605" s="523"/>
      <c r="F605" s="523"/>
      <c r="G605" s="523"/>
      <c r="H605" s="523"/>
      <c r="I605" s="523"/>
      <c r="J605" s="523"/>
      <c r="K605" s="538"/>
      <c r="L605" s="539"/>
      <c r="M605" s="523"/>
      <c r="N605" s="523"/>
      <c r="O605" s="523"/>
      <c r="P605" s="1789"/>
      <c r="Q605" s="523"/>
      <c r="R605" s="523"/>
      <c r="S605" s="523"/>
      <c r="T605" s="523"/>
      <c r="U605" s="523"/>
      <c r="V605" s="523"/>
      <c r="W605" s="523"/>
      <c r="X605" s="523"/>
      <c r="Y605" s="523"/>
      <c r="Z605" s="523"/>
      <c r="AA605" s="523"/>
      <c r="AB605" s="523"/>
      <c r="AC605" s="523"/>
    </row>
    <row r="606" spans="1:29">
      <c r="A606" s="523"/>
      <c r="B606" s="523"/>
      <c r="C606" s="523"/>
      <c r="D606" s="523"/>
      <c r="E606" s="523"/>
      <c r="F606" s="523"/>
      <c r="G606" s="523"/>
      <c r="H606" s="523"/>
      <c r="I606" s="523"/>
      <c r="J606" s="523"/>
      <c r="K606" s="538"/>
      <c r="L606" s="539"/>
      <c r="M606" s="523"/>
      <c r="N606" s="523"/>
      <c r="O606" s="523"/>
      <c r="P606" s="1789"/>
      <c r="Q606" s="523"/>
      <c r="R606" s="523"/>
      <c r="S606" s="523"/>
      <c r="T606" s="523"/>
      <c r="U606" s="523"/>
      <c r="V606" s="523"/>
      <c r="W606" s="523"/>
      <c r="X606" s="523"/>
      <c r="Y606" s="523"/>
      <c r="Z606" s="523"/>
      <c r="AA606" s="523"/>
      <c r="AB606" s="523"/>
      <c r="AC606" s="523"/>
    </row>
    <row r="607" spans="1:29">
      <c r="A607" s="523"/>
      <c r="B607" s="523"/>
      <c r="C607" s="523"/>
      <c r="D607" s="523"/>
      <c r="E607" s="523"/>
      <c r="F607" s="523"/>
      <c r="G607" s="523"/>
      <c r="H607" s="523"/>
      <c r="I607" s="523"/>
      <c r="J607" s="523"/>
      <c r="K607" s="538"/>
      <c r="L607" s="539"/>
      <c r="M607" s="523"/>
      <c r="N607" s="523"/>
      <c r="O607" s="523"/>
      <c r="P607" s="1789"/>
      <c r="Q607" s="523"/>
      <c r="R607" s="523"/>
      <c r="S607" s="523"/>
      <c r="T607" s="523"/>
      <c r="U607" s="523"/>
      <c r="V607" s="523"/>
      <c r="W607" s="523"/>
      <c r="X607" s="523"/>
      <c r="Y607" s="523"/>
      <c r="Z607" s="523"/>
      <c r="AA607" s="523"/>
      <c r="AB607" s="523"/>
      <c r="AC607" s="523"/>
    </row>
    <row r="608" spans="1:29">
      <c r="A608" s="523"/>
      <c r="B608" s="523"/>
      <c r="C608" s="523"/>
      <c r="D608" s="523"/>
      <c r="E608" s="523"/>
      <c r="F608" s="523"/>
      <c r="G608" s="523"/>
      <c r="H608" s="523"/>
      <c r="I608" s="523"/>
      <c r="J608" s="523"/>
      <c r="K608" s="538"/>
      <c r="L608" s="539"/>
      <c r="M608" s="523"/>
      <c r="N608" s="523"/>
      <c r="O608" s="523"/>
      <c r="P608" s="1789"/>
      <c r="Q608" s="523"/>
      <c r="R608" s="523"/>
      <c r="S608" s="523"/>
      <c r="T608" s="523"/>
      <c r="U608" s="523"/>
      <c r="V608" s="523"/>
      <c r="W608" s="523"/>
      <c r="X608" s="523"/>
      <c r="Y608" s="523"/>
      <c r="Z608" s="523"/>
      <c r="AA608" s="523"/>
      <c r="AB608" s="523"/>
      <c r="AC608" s="523"/>
    </row>
    <row r="609" spans="1:29">
      <c r="A609" s="523"/>
      <c r="B609" s="523"/>
      <c r="C609" s="523"/>
      <c r="D609" s="523"/>
      <c r="E609" s="523"/>
      <c r="F609" s="523"/>
      <c r="G609" s="523"/>
      <c r="H609" s="523"/>
      <c r="I609" s="523"/>
      <c r="J609" s="523"/>
      <c r="K609" s="538"/>
      <c r="L609" s="539"/>
      <c r="M609" s="523"/>
      <c r="N609" s="523"/>
      <c r="O609" s="523"/>
      <c r="P609" s="1789"/>
      <c r="Q609" s="523"/>
      <c r="R609" s="523"/>
      <c r="S609" s="523"/>
      <c r="T609" s="523"/>
      <c r="U609" s="523"/>
      <c r="V609" s="523"/>
      <c r="W609" s="523"/>
      <c r="X609" s="523"/>
      <c r="Y609" s="523"/>
      <c r="Z609" s="523"/>
      <c r="AA609" s="523"/>
      <c r="AB609" s="523"/>
      <c r="AC609" s="523"/>
    </row>
    <row r="610" spans="1:29">
      <c r="A610" s="523"/>
      <c r="B610" s="523"/>
      <c r="C610" s="523"/>
      <c r="D610" s="523"/>
      <c r="E610" s="523"/>
      <c r="F610" s="523"/>
      <c r="G610" s="523"/>
      <c r="H610" s="523"/>
      <c r="I610" s="523"/>
      <c r="J610" s="523"/>
      <c r="K610" s="538"/>
      <c r="L610" s="539"/>
      <c r="M610" s="523"/>
      <c r="N610" s="523"/>
      <c r="O610" s="523"/>
      <c r="P610" s="1789"/>
      <c r="Q610" s="523"/>
      <c r="R610" s="523"/>
      <c r="S610" s="523"/>
      <c r="T610" s="523"/>
      <c r="U610" s="523"/>
      <c r="V610" s="523"/>
      <c r="W610" s="523"/>
      <c r="X610" s="523"/>
      <c r="Y610" s="523"/>
      <c r="Z610" s="523"/>
      <c r="AA610" s="523"/>
      <c r="AB610" s="523"/>
      <c r="AC610" s="523"/>
    </row>
    <row r="611" spans="1:29">
      <c r="A611" s="523"/>
      <c r="B611" s="523"/>
      <c r="C611" s="523"/>
      <c r="D611" s="523"/>
      <c r="E611" s="523"/>
      <c r="F611" s="523"/>
      <c r="G611" s="523"/>
      <c r="H611" s="523"/>
      <c r="I611" s="523"/>
      <c r="J611" s="523"/>
      <c r="K611" s="538"/>
      <c r="L611" s="539"/>
      <c r="M611" s="523"/>
      <c r="N611" s="523"/>
      <c r="O611" s="523"/>
      <c r="P611" s="1789"/>
      <c r="Q611" s="523"/>
      <c r="R611" s="523"/>
      <c r="S611" s="523"/>
      <c r="T611" s="523"/>
      <c r="U611" s="523"/>
      <c r="V611" s="523"/>
      <c r="W611" s="523"/>
      <c r="X611" s="523"/>
      <c r="Y611" s="523"/>
      <c r="Z611" s="523"/>
      <c r="AA611" s="523"/>
      <c r="AB611" s="523"/>
      <c r="AC611" s="523"/>
    </row>
    <row r="612" spans="1:29">
      <c r="A612" s="523"/>
      <c r="B612" s="523"/>
      <c r="C612" s="523"/>
      <c r="D612" s="523"/>
      <c r="E612" s="523"/>
      <c r="F612" s="523"/>
      <c r="G612" s="523"/>
      <c r="H612" s="523"/>
      <c r="I612" s="523"/>
      <c r="J612" s="523"/>
      <c r="K612" s="538"/>
      <c r="L612" s="539"/>
      <c r="M612" s="523"/>
      <c r="N612" s="523"/>
      <c r="O612" s="523"/>
      <c r="P612" s="1789"/>
      <c r="Q612" s="523"/>
      <c r="R612" s="523"/>
      <c r="S612" s="523"/>
      <c r="T612" s="523"/>
      <c r="U612" s="523"/>
      <c r="V612" s="523"/>
      <c r="W612" s="523"/>
      <c r="X612" s="523"/>
      <c r="Y612" s="523"/>
      <c r="Z612" s="523"/>
      <c r="AA612" s="523"/>
      <c r="AB612" s="523"/>
      <c r="AC612" s="523"/>
    </row>
    <row r="613" spans="1:29">
      <c r="A613" s="523"/>
      <c r="B613" s="523"/>
      <c r="C613" s="523"/>
      <c r="D613" s="523"/>
      <c r="E613" s="523"/>
      <c r="F613" s="523"/>
      <c r="G613" s="523"/>
      <c r="H613" s="523"/>
      <c r="I613" s="523"/>
      <c r="J613" s="523"/>
      <c r="K613" s="538"/>
      <c r="L613" s="539"/>
      <c r="M613" s="523"/>
      <c r="N613" s="523"/>
      <c r="O613" s="523"/>
      <c r="P613" s="1789"/>
      <c r="Q613" s="523"/>
      <c r="R613" s="523"/>
      <c r="S613" s="523"/>
      <c r="T613" s="523"/>
      <c r="U613" s="523"/>
      <c r="V613" s="523"/>
      <c r="W613" s="523"/>
      <c r="X613" s="523"/>
      <c r="Y613" s="523"/>
      <c r="Z613" s="523"/>
      <c r="AA613" s="523"/>
      <c r="AB613" s="523"/>
      <c r="AC613" s="523"/>
    </row>
    <row r="614" spans="1:29">
      <c r="A614" s="523"/>
      <c r="B614" s="523"/>
      <c r="C614" s="523"/>
      <c r="D614" s="523"/>
      <c r="E614" s="523"/>
      <c r="F614" s="523"/>
      <c r="G614" s="523"/>
      <c r="H614" s="523"/>
      <c r="I614" s="523"/>
      <c r="J614" s="523"/>
      <c r="K614" s="538"/>
      <c r="L614" s="539"/>
      <c r="M614" s="523"/>
      <c r="N614" s="523"/>
      <c r="O614" s="523"/>
      <c r="P614" s="1789"/>
      <c r="Q614" s="523"/>
      <c r="R614" s="523"/>
      <c r="S614" s="523"/>
      <c r="T614" s="523"/>
      <c r="U614" s="523"/>
      <c r="V614" s="523"/>
      <c r="W614" s="523"/>
      <c r="X614" s="523"/>
      <c r="Y614" s="523"/>
      <c r="Z614" s="523"/>
      <c r="AA614" s="523"/>
      <c r="AB614" s="523"/>
      <c r="AC614" s="523"/>
    </row>
    <row r="615" spans="1:29">
      <c r="A615" s="523"/>
      <c r="B615" s="523"/>
      <c r="C615" s="523"/>
      <c r="D615" s="523"/>
      <c r="E615" s="523"/>
      <c r="F615" s="523"/>
      <c r="G615" s="523"/>
      <c r="H615" s="523"/>
      <c r="I615" s="523"/>
      <c r="J615" s="523"/>
      <c r="K615" s="538"/>
      <c r="L615" s="539"/>
      <c r="M615" s="523"/>
      <c r="N615" s="523"/>
      <c r="O615" s="523"/>
      <c r="P615" s="1789"/>
      <c r="Q615" s="523"/>
      <c r="R615" s="523"/>
      <c r="S615" s="523"/>
      <c r="T615" s="523"/>
      <c r="U615" s="523"/>
      <c r="V615" s="523"/>
      <c r="W615" s="523"/>
      <c r="X615" s="523"/>
      <c r="Y615" s="523"/>
      <c r="Z615" s="523"/>
      <c r="AA615" s="523"/>
      <c r="AB615" s="523"/>
      <c r="AC615" s="523"/>
    </row>
    <row r="616" spans="1:29">
      <c r="A616" s="523"/>
      <c r="B616" s="523"/>
      <c r="C616" s="523"/>
      <c r="D616" s="523"/>
      <c r="E616" s="523"/>
      <c r="F616" s="523"/>
      <c r="G616" s="523"/>
      <c r="H616" s="523"/>
      <c r="I616" s="523"/>
      <c r="J616" s="523"/>
      <c r="K616" s="538"/>
      <c r="L616" s="539"/>
      <c r="M616" s="523"/>
      <c r="N616" s="523"/>
      <c r="O616" s="523"/>
      <c r="P616" s="1789"/>
      <c r="Q616" s="523"/>
      <c r="R616" s="523"/>
      <c r="S616" s="523"/>
      <c r="T616" s="523"/>
      <c r="U616" s="523"/>
      <c r="V616" s="523"/>
      <c r="W616" s="523"/>
      <c r="X616" s="523"/>
      <c r="Y616" s="523"/>
      <c r="Z616" s="523"/>
      <c r="AA616" s="523"/>
      <c r="AB616" s="523"/>
      <c r="AC616" s="523"/>
    </row>
    <row r="617" spans="1:29">
      <c r="A617" s="523"/>
      <c r="B617" s="523"/>
      <c r="C617" s="523"/>
      <c r="D617" s="523"/>
      <c r="E617" s="523"/>
      <c r="F617" s="523"/>
      <c r="G617" s="523"/>
      <c r="H617" s="523"/>
      <c r="I617" s="523"/>
      <c r="J617" s="523"/>
      <c r="K617" s="538"/>
      <c r="L617" s="539"/>
      <c r="M617" s="523"/>
      <c r="N617" s="523"/>
      <c r="O617" s="523"/>
      <c r="P617" s="1789"/>
      <c r="Q617" s="523"/>
      <c r="R617" s="523"/>
      <c r="S617" s="523"/>
      <c r="T617" s="523"/>
      <c r="U617" s="523"/>
      <c r="V617" s="523"/>
      <c r="W617" s="523"/>
      <c r="X617" s="523"/>
      <c r="Y617" s="523"/>
      <c r="Z617" s="523"/>
      <c r="AA617" s="523"/>
      <c r="AB617" s="523"/>
      <c r="AC617" s="523"/>
    </row>
    <row r="618" spans="1:29">
      <c r="A618" s="523"/>
      <c r="B618" s="523"/>
      <c r="C618" s="523"/>
      <c r="D618" s="523"/>
      <c r="E618" s="523"/>
      <c r="F618" s="523"/>
      <c r="G618" s="523"/>
      <c r="H618" s="523"/>
      <c r="I618" s="523"/>
      <c r="J618" s="523"/>
      <c r="K618" s="538"/>
      <c r="L618" s="539"/>
      <c r="M618" s="523"/>
      <c r="N618" s="523"/>
      <c r="O618" s="523"/>
      <c r="P618" s="1789"/>
      <c r="Q618" s="523"/>
      <c r="R618" s="523"/>
      <c r="S618" s="523"/>
      <c r="T618" s="523"/>
      <c r="U618" s="523"/>
      <c r="V618" s="523"/>
      <c r="W618" s="523"/>
      <c r="X618" s="523"/>
      <c r="Y618" s="523"/>
      <c r="Z618" s="523"/>
      <c r="AA618" s="523"/>
      <c r="AB618" s="523"/>
      <c r="AC618" s="523"/>
    </row>
    <row r="619" spans="1:29">
      <c r="A619" s="523"/>
      <c r="B619" s="523"/>
      <c r="C619" s="523"/>
      <c r="D619" s="523"/>
      <c r="E619" s="523"/>
      <c r="F619" s="523"/>
      <c r="G619" s="523"/>
      <c r="H619" s="523"/>
      <c r="I619" s="523"/>
      <c r="J619" s="523"/>
      <c r="K619" s="538"/>
      <c r="L619" s="539"/>
      <c r="M619" s="523"/>
      <c r="N619" s="523"/>
      <c r="O619" s="523"/>
      <c r="P619" s="1789"/>
      <c r="Q619" s="523"/>
      <c r="R619" s="523"/>
      <c r="S619" s="523"/>
      <c r="T619" s="523"/>
      <c r="U619" s="523"/>
      <c r="V619" s="523"/>
      <c r="W619" s="523"/>
      <c r="X619" s="523"/>
      <c r="Y619" s="523"/>
      <c r="Z619" s="523"/>
      <c r="AA619" s="523"/>
      <c r="AB619" s="523"/>
      <c r="AC619" s="523"/>
    </row>
    <row r="620" spans="1:29">
      <c r="A620" s="523"/>
      <c r="B620" s="523"/>
      <c r="C620" s="523"/>
      <c r="D620" s="523"/>
      <c r="E620" s="523"/>
      <c r="F620" s="523"/>
      <c r="G620" s="523"/>
      <c r="H620" s="523"/>
      <c r="I620" s="523"/>
      <c r="J620" s="523"/>
      <c r="K620" s="538"/>
      <c r="L620" s="539"/>
      <c r="M620" s="523"/>
      <c r="N620" s="523"/>
      <c r="O620" s="523"/>
      <c r="P620" s="1789"/>
      <c r="Q620" s="523"/>
      <c r="R620" s="523"/>
      <c r="S620" s="523"/>
      <c r="T620" s="523"/>
      <c r="U620" s="523"/>
      <c r="V620" s="523"/>
      <c r="W620" s="523"/>
      <c r="X620" s="523"/>
      <c r="Y620" s="523"/>
      <c r="Z620" s="523"/>
      <c r="AA620" s="523"/>
      <c r="AB620" s="523"/>
      <c r="AC620" s="523"/>
    </row>
    <row r="621" spans="1:29">
      <c r="A621" s="523"/>
      <c r="B621" s="523"/>
      <c r="C621" s="523"/>
      <c r="D621" s="523"/>
      <c r="E621" s="523"/>
      <c r="F621" s="523"/>
      <c r="G621" s="523"/>
      <c r="H621" s="523"/>
      <c r="I621" s="523"/>
      <c r="J621" s="523"/>
      <c r="K621" s="538"/>
      <c r="L621" s="539"/>
      <c r="M621" s="523"/>
      <c r="N621" s="523"/>
      <c r="O621" s="523"/>
      <c r="P621" s="1789"/>
      <c r="Q621" s="523"/>
      <c r="R621" s="523"/>
      <c r="S621" s="523"/>
      <c r="T621" s="523"/>
      <c r="U621" s="523"/>
      <c r="V621" s="523"/>
      <c r="W621" s="523"/>
      <c r="X621" s="523"/>
      <c r="Y621" s="523"/>
      <c r="Z621" s="523"/>
      <c r="AA621" s="523"/>
      <c r="AB621" s="523"/>
      <c r="AC621" s="523"/>
    </row>
    <row r="622" spans="1:29">
      <c r="A622" s="523"/>
      <c r="B622" s="523"/>
      <c r="C622" s="523"/>
      <c r="D622" s="523"/>
      <c r="E622" s="523"/>
      <c r="F622" s="523"/>
      <c r="G622" s="523"/>
      <c r="H622" s="523"/>
      <c r="I622" s="523"/>
      <c r="J622" s="523"/>
      <c r="K622" s="538"/>
      <c r="L622" s="539"/>
      <c r="M622" s="523"/>
      <c r="N622" s="523"/>
      <c r="O622" s="523"/>
      <c r="P622" s="1789"/>
      <c r="Q622" s="523"/>
      <c r="R622" s="523"/>
      <c r="S622" s="523"/>
      <c r="T622" s="523"/>
      <c r="U622" s="523"/>
      <c r="V622" s="523"/>
      <c r="W622" s="523"/>
      <c r="X622" s="523"/>
      <c r="Y622" s="523"/>
      <c r="Z622" s="523"/>
      <c r="AA622" s="523"/>
      <c r="AB622" s="523"/>
      <c r="AC622" s="523"/>
    </row>
    <row r="623" spans="1:29">
      <c r="A623" s="523"/>
      <c r="B623" s="523"/>
      <c r="C623" s="523"/>
      <c r="D623" s="523"/>
      <c r="E623" s="523"/>
      <c r="F623" s="523"/>
      <c r="G623" s="523"/>
      <c r="H623" s="523"/>
      <c r="I623" s="523"/>
      <c r="J623" s="523"/>
      <c r="K623" s="538"/>
      <c r="L623" s="539"/>
      <c r="M623" s="523"/>
      <c r="N623" s="523"/>
      <c r="O623" s="523"/>
      <c r="P623" s="1789"/>
      <c r="Q623" s="523"/>
      <c r="R623" s="523"/>
      <c r="S623" s="523"/>
      <c r="T623" s="523"/>
      <c r="U623" s="523"/>
      <c r="V623" s="523"/>
      <c r="W623" s="523"/>
      <c r="X623" s="523"/>
      <c r="Y623" s="523"/>
      <c r="Z623" s="523"/>
      <c r="AA623" s="523"/>
      <c r="AB623" s="523"/>
      <c r="AC623" s="523"/>
    </row>
    <row r="624" spans="1:29">
      <c r="A624" s="523"/>
      <c r="B624" s="523"/>
      <c r="C624" s="523"/>
      <c r="D624" s="523"/>
      <c r="E624" s="523"/>
      <c r="F624" s="523"/>
      <c r="G624" s="523"/>
      <c r="H624" s="523"/>
      <c r="I624" s="523"/>
      <c r="J624" s="523"/>
      <c r="K624" s="538"/>
      <c r="L624" s="539"/>
      <c r="M624" s="523"/>
      <c r="N624" s="523"/>
      <c r="O624" s="523"/>
      <c r="P624" s="1789"/>
      <c r="Q624" s="523"/>
      <c r="R624" s="523"/>
      <c r="S624" s="523"/>
      <c r="T624" s="523"/>
      <c r="U624" s="523"/>
      <c r="V624" s="523"/>
      <c r="W624" s="523"/>
      <c r="X624" s="523"/>
      <c r="Y624" s="523"/>
      <c r="Z624" s="523"/>
      <c r="AA624" s="523"/>
      <c r="AB624" s="523"/>
      <c r="AC624" s="523"/>
    </row>
    <row r="625" spans="1:29">
      <c r="A625" s="523"/>
      <c r="B625" s="523"/>
      <c r="C625" s="523"/>
      <c r="D625" s="523"/>
      <c r="E625" s="523"/>
      <c r="F625" s="523"/>
      <c r="G625" s="523"/>
      <c r="H625" s="523"/>
      <c r="I625" s="523"/>
      <c r="J625" s="523"/>
      <c r="K625" s="538"/>
      <c r="L625" s="539"/>
      <c r="M625" s="523"/>
      <c r="N625" s="523"/>
      <c r="O625" s="523"/>
      <c r="P625" s="1789"/>
      <c r="Q625" s="523"/>
      <c r="R625" s="523"/>
      <c r="S625" s="523"/>
      <c r="T625" s="523"/>
      <c r="U625" s="523"/>
      <c r="V625" s="523"/>
      <c r="W625" s="523"/>
      <c r="X625" s="523"/>
      <c r="Y625" s="523"/>
      <c r="Z625" s="523"/>
      <c r="AA625" s="523"/>
      <c r="AB625" s="523"/>
      <c r="AC625" s="523"/>
    </row>
    <row r="626" spans="1:29">
      <c r="A626" s="523"/>
      <c r="B626" s="523"/>
      <c r="C626" s="523"/>
      <c r="D626" s="523"/>
      <c r="E626" s="523"/>
      <c r="F626" s="523"/>
      <c r="G626" s="523"/>
      <c r="H626" s="523"/>
      <c r="I626" s="523"/>
      <c r="J626" s="523"/>
      <c r="K626" s="538"/>
      <c r="L626" s="539"/>
      <c r="M626" s="523"/>
      <c r="N626" s="523"/>
      <c r="O626" s="523"/>
      <c r="P626" s="1789"/>
      <c r="Q626" s="523"/>
      <c r="R626" s="523"/>
      <c r="S626" s="523"/>
      <c r="T626" s="523"/>
      <c r="U626" s="523"/>
      <c r="V626" s="523"/>
      <c r="W626" s="523"/>
      <c r="X626" s="523"/>
      <c r="Y626" s="523"/>
      <c r="Z626" s="523"/>
      <c r="AA626" s="523"/>
      <c r="AB626" s="523"/>
      <c r="AC626" s="523"/>
    </row>
    <row r="627" spans="1:29">
      <c r="A627" s="523"/>
      <c r="B627" s="523"/>
      <c r="C627" s="523"/>
      <c r="D627" s="523"/>
      <c r="E627" s="523"/>
      <c r="F627" s="523"/>
      <c r="G627" s="523"/>
      <c r="H627" s="523"/>
      <c r="I627" s="523"/>
      <c r="J627" s="523"/>
      <c r="K627" s="538"/>
      <c r="L627" s="539"/>
      <c r="M627" s="523"/>
      <c r="N627" s="523"/>
      <c r="O627" s="523"/>
      <c r="P627" s="1789"/>
      <c r="Q627" s="523"/>
      <c r="R627" s="523"/>
      <c r="S627" s="523"/>
      <c r="T627" s="523"/>
      <c r="U627" s="523"/>
      <c r="V627" s="523"/>
      <c r="W627" s="523"/>
      <c r="X627" s="523"/>
      <c r="Y627" s="523"/>
      <c r="Z627" s="523"/>
      <c r="AA627" s="523"/>
      <c r="AB627" s="523"/>
      <c r="AC627" s="523"/>
    </row>
    <row r="628" spans="1:29">
      <c r="A628" s="523"/>
      <c r="B628" s="523"/>
      <c r="C628" s="523"/>
      <c r="D628" s="523"/>
      <c r="E628" s="523"/>
      <c r="F628" s="523"/>
      <c r="G628" s="523"/>
      <c r="H628" s="523"/>
      <c r="I628" s="523"/>
      <c r="J628" s="523"/>
      <c r="K628" s="538"/>
      <c r="L628" s="539"/>
      <c r="M628" s="523"/>
      <c r="N628" s="523"/>
      <c r="O628" s="523"/>
      <c r="P628" s="1789"/>
      <c r="Q628" s="523"/>
      <c r="R628" s="523"/>
      <c r="S628" s="523"/>
      <c r="T628" s="523"/>
      <c r="U628" s="523"/>
      <c r="V628" s="523"/>
      <c r="W628" s="523"/>
      <c r="X628" s="523"/>
      <c r="Y628" s="523"/>
      <c r="Z628" s="523"/>
      <c r="AA628" s="523"/>
      <c r="AB628" s="523"/>
      <c r="AC628" s="523"/>
    </row>
    <row r="629" spans="1:29">
      <c r="A629" s="523"/>
      <c r="B629" s="523"/>
      <c r="C629" s="523"/>
      <c r="D629" s="523"/>
      <c r="E629" s="523"/>
      <c r="F629" s="523"/>
      <c r="G629" s="523"/>
      <c r="H629" s="523"/>
      <c r="I629" s="523"/>
      <c r="J629" s="523"/>
      <c r="K629" s="538"/>
      <c r="L629" s="539"/>
      <c r="M629" s="523"/>
      <c r="N629" s="523"/>
      <c r="O629" s="523"/>
      <c r="P629" s="1789"/>
      <c r="Q629" s="523"/>
      <c r="R629" s="523"/>
      <c r="S629" s="523"/>
      <c r="T629" s="523"/>
      <c r="U629" s="523"/>
      <c r="V629" s="523"/>
      <c r="W629" s="523"/>
      <c r="X629" s="523"/>
      <c r="Y629" s="523"/>
      <c r="Z629" s="523"/>
      <c r="AA629" s="523"/>
      <c r="AB629" s="523"/>
      <c r="AC629" s="523"/>
    </row>
    <row r="630" spans="1:29">
      <c r="A630" s="523"/>
      <c r="B630" s="523"/>
      <c r="C630" s="523"/>
      <c r="D630" s="523"/>
      <c r="E630" s="523"/>
      <c r="F630" s="523"/>
      <c r="G630" s="523"/>
      <c r="H630" s="523"/>
      <c r="I630" s="523"/>
      <c r="J630" s="523"/>
      <c r="K630" s="538"/>
      <c r="L630" s="539"/>
      <c r="M630" s="523"/>
      <c r="N630" s="523"/>
      <c r="O630" s="523"/>
      <c r="P630" s="1789"/>
      <c r="Q630" s="523"/>
      <c r="R630" s="523"/>
      <c r="S630" s="523"/>
      <c r="T630" s="523"/>
      <c r="U630" s="523"/>
      <c r="V630" s="523"/>
      <c r="W630" s="523"/>
      <c r="X630" s="523"/>
      <c r="Y630" s="523"/>
      <c r="Z630" s="523"/>
      <c r="AA630" s="523"/>
      <c r="AB630" s="523"/>
      <c r="AC630" s="523"/>
    </row>
    <row r="631" spans="1:29">
      <c r="A631" s="523"/>
      <c r="B631" s="523"/>
      <c r="C631" s="523"/>
      <c r="D631" s="523"/>
      <c r="E631" s="523"/>
      <c r="F631" s="523"/>
      <c r="G631" s="523"/>
      <c r="H631" s="523"/>
      <c r="I631" s="523"/>
      <c r="J631" s="523"/>
      <c r="K631" s="538"/>
      <c r="L631" s="539"/>
      <c r="M631" s="523"/>
      <c r="N631" s="523"/>
      <c r="O631" s="523"/>
      <c r="P631" s="1789"/>
      <c r="Q631" s="523"/>
      <c r="R631" s="523"/>
      <c r="S631" s="523"/>
      <c r="T631" s="523"/>
      <c r="U631" s="523"/>
      <c r="V631" s="523"/>
      <c r="W631" s="523"/>
      <c r="X631" s="523"/>
      <c r="Y631" s="523"/>
      <c r="Z631" s="523"/>
      <c r="AA631" s="523"/>
      <c r="AB631" s="523"/>
      <c r="AC631" s="523"/>
    </row>
    <row r="632" spans="1:29">
      <c r="A632" s="523"/>
      <c r="B632" s="523"/>
      <c r="C632" s="523"/>
      <c r="D632" s="523"/>
      <c r="E632" s="523"/>
      <c r="F632" s="523"/>
      <c r="G632" s="523"/>
      <c r="H632" s="523"/>
      <c r="I632" s="523"/>
      <c r="J632" s="523"/>
      <c r="K632" s="538"/>
      <c r="L632" s="539"/>
      <c r="M632" s="523"/>
      <c r="N632" s="523"/>
      <c r="O632" s="523"/>
      <c r="P632" s="1789"/>
      <c r="Q632" s="523"/>
      <c r="R632" s="523"/>
      <c r="S632" s="523"/>
      <c r="T632" s="523"/>
      <c r="U632" s="523"/>
      <c r="V632" s="523"/>
      <c r="W632" s="523"/>
      <c r="X632" s="523"/>
      <c r="Y632" s="523"/>
      <c r="Z632" s="523"/>
      <c r="AA632" s="523"/>
      <c r="AB632" s="523"/>
      <c r="AC632" s="523"/>
    </row>
    <row r="633" spans="1:29">
      <c r="A633" s="523"/>
      <c r="B633" s="523"/>
      <c r="C633" s="523"/>
      <c r="D633" s="523"/>
      <c r="E633" s="523"/>
      <c r="F633" s="523"/>
      <c r="G633" s="523"/>
      <c r="H633" s="523"/>
      <c r="I633" s="523"/>
      <c r="J633" s="523"/>
      <c r="K633" s="538"/>
      <c r="L633" s="539"/>
      <c r="M633" s="523"/>
      <c r="N633" s="523"/>
      <c r="O633" s="523"/>
      <c r="P633" s="1789"/>
      <c r="Q633" s="523"/>
      <c r="R633" s="523"/>
      <c r="S633" s="523"/>
      <c r="T633" s="523"/>
      <c r="U633" s="523"/>
      <c r="V633" s="523"/>
      <c r="W633" s="523"/>
      <c r="X633" s="523"/>
      <c r="Y633" s="523"/>
      <c r="Z633" s="523"/>
      <c r="AA633" s="523"/>
      <c r="AB633" s="523"/>
      <c r="AC633" s="523"/>
    </row>
    <row r="634" spans="1:29">
      <c r="A634" s="523"/>
      <c r="B634" s="523"/>
      <c r="C634" s="523"/>
      <c r="D634" s="523"/>
      <c r="E634" s="523"/>
      <c r="F634" s="523"/>
      <c r="G634" s="523"/>
      <c r="H634" s="523"/>
      <c r="I634" s="523"/>
      <c r="J634" s="523"/>
      <c r="K634" s="538"/>
      <c r="L634" s="539"/>
      <c r="M634" s="523"/>
      <c r="N634" s="523"/>
      <c r="O634" s="523"/>
      <c r="P634" s="1789"/>
      <c r="Q634" s="523"/>
      <c r="R634" s="523"/>
      <c r="S634" s="523"/>
      <c r="T634" s="523"/>
      <c r="U634" s="523"/>
      <c r="V634" s="523"/>
      <c r="W634" s="523"/>
      <c r="X634" s="523"/>
      <c r="Y634" s="523"/>
      <c r="Z634" s="523"/>
      <c r="AA634" s="523"/>
      <c r="AB634" s="523"/>
      <c r="AC634" s="523"/>
    </row>
    <row r="635" spans="1:29">
      <c r="A635" s="523"/>
      <c r="B635" s="523"/>
      <c r="C635" s="523"/>
      <c r="D635" s="523"/>
      <c r="E635" s="523"/>
      <c r="F635" s="523"/>
      <c r="G635" s="523"/>
      <c r="H635" s="523"/>
      <c r="I635" s="523"/>
      <c r="J635" s="523"/>
      <c r="K635" s="538"/>
      <c r="L635" s="539"/>
      <c r="M635" s="523"/>
      <c r="N635" s="523"/>
      <c r="O635" s="523"/>
      <c r="P635" s="1789"/>
      <c r="Q635" s="523"/>
      <c r="R635" s="523"/>
      <c r="S635" s="523"/>
      <c r="T635" s="523"/>
      <c r="U635" s="523"/>
      <c r="V635" s="523"/>
      <c r="W635" s="523"/>
      <c r="X635" s="523"/>
      <c r="Y635" s="523"/>
      <c r="Z635" s="523"/>
      <c r="AA635" s="523"/>
      <c r="AB635" s="523"/>
      <c r="AC635" s="523"/>
    </row>
    <row r="636" spans="1:29">
      <c r="A636" s="523"/>
      <c r="B636" s="523"/>
      <c r="C636" s="523"/>
      <c r="D636" s="523"/>
      <c r="E636" s="523"/>
      <c r="F636" s="523"/>
      <c r="G636" s="523"/>
      <c r="H636" s="523"/>
      <c r="I636" s="523"/>
      <c r="J636" s="523"/>
      <c r="K636" s="538"/>
      <c r="L636" s="539"/>
      <c r="M636" s="523"/>
      <c r="N636" s="523"/>
      <c r="O636" s="523"/>
      <c r="P636" s="1789"/>
      <c r="Q636" s="523"/>
      <c r="R636" s="523"/>
      <c r="S636" s="523"/>
      <c r="T636" s="523"/>
      <c r="U636" s="523"/>
      <c r="V636" s="523"/>
      <c r="W636" s="523"/>
      <c r="X636" s="523"/>
      <c r="Y636" s="523"/>
      <c r="Z636" s="523"/>
      <c r="AA636" s="523"/>
      <c r="AB636" s="523"/>
      <c r="AC636" s="523"/>
    </row>
    <row r="637" spans="1:29">
      <c r="A637" s="523"/>
      <c r="B637" s="523"/>
      <c r="C637" s="523"/>
      <c r="D637" s="523"/>
      <c r="E637" s="523"/>
      <c r="F637" s="523"/>
      <c r="G637" s="523"/>
      <c r="H637" s="523"/>
      <c r="I637" s="523"/>
      <c r="J637" s="523"/>
      <c r="K637" s="538"/>
      <c r="L637" s="539"/>
      <c r="M637" s="523"/>
      <c r="N637" s="523"/>
      <c r="O637" s="523"/>
      <c r="P637" s="1789"/>
      <c r="Q637" s="523"/>
      <c r="R637" s="523"/>
      <c r="S637" s="523"/>
      <c r="T637" s="523"/>
      <c r="U637" s="523"/>
      <c r="V637" s="523"/>
      <c r="W637" s="523"/>
      <c r="X637" s="523"/>
      <c r="Y637" s="523"/>
      <c r="Z637" s="523"/>
      <c r="AA637" s="523"/>
      <c r="AB637" s="523"/>
      <c r="AC637" s="523"/>
    </row>
    <row r="638" spans="1:29">
      <c r="A638" s="523"/>
      <c r="B638" s="523"/>
      <c r="C638" s="523"/>
      <c r="D638" s="523"/>
      <c r="E638" s="523"/>
      <c r="F638" s="523"/>
      <c r="G638" s="523"/>
      <c r="H638" s="523"/>
      <c r="I638" s="523"/>
      <c r="J638" s="523"/>
      <c r="K638" s="538"/>
      <c r="L638" s="539"/>
      <c r="M638" s="523"/>
      <c r="N638" s="523"/>
      <c r="O638" s="523"/>
      <c r="P638" s="1789"/>
      <c r="Q638" s="523"/>
      <c r="R638" s="523"/>
      <c r="S638" s="523"/>
      <c r="T638" s="523"/>
      <c r="U638" s="523"/>
      <c r="V638" s="523"/>
      <c r="W638" s="523"/>
      <c r="X638" s="523"/>
      <c r="Y638" s="523"/>
      <c r="Z638" s="523"/>
      <c r="AA638" s="523"/>
      <c r="AB638" s="523"/>
      <c r="AC638" s="523"/>
    </row>
    <row r="639" spans="1:29">
      <c r="A639" s="523"/>
      <c r="B639" s="523"/>
      <c r="C639" s="523"/>
      <c r="D639" s="523"/>
      <c r="E639" s="523"/>
      <c r="F639" s="523"/>
      <c r="G639" s="523"/>
      <c r="H639" s="523"/>
      <c r="I639" s="523"/>
      <c r="J639" s="523"/>
      <c r="K639" s="538"/>
      <c r="L639" s="539"/>
      <c r="M639" s="523"/>
      <c r="N639" s="523"/>
      <c r="O639" s="523"/>
      <c r="P639" s="1789"/>
      <c r="Q639" s="523"/>
      <c r="R639" s="523"/>
      <c r="S639" s="523"/>
      <c r="T639" s="523"/>
      <c r="U639" s="523"/>
      <c r="V639" s="523"/>
      <c r="W639" s="523"/>
      <c r="X639" s="523"/>
      <c r="Y639" s="523"/>
      <c r="Z639" s="523"/>
      <c r="AA639" s="523"/>
      <c r="AB639" s="523"/>
      <c r="AC639" s="523"/>
    </row>
    <row r="640" spans="1:29">
      <c r="A640" s="523"/>
      <c r="B640" s="523"/>
      <c r="C640" s="523"/>
      <c r="D640" s="523"/>
      <c r="E640" s="523"/>
      <c r="F640" s="523"/>
      <c r="G640" s="523"/>
      <c r="H640" s="523"/>
      <c r="I640" s="523"/>
      <c r="J640" s="523"/>
      <c r="K640" s="538"/>
      <c r="L640" s="539"/>
      <c r="M640" s="523"/>
      <c r="N640" s="523"/>
      <c r="O640" s="523"/>
      <c r="P640" s="1789"/>
      <c r="Q640" s="523"/>
      <c r="R640" s="523"/>
      <c r="S640" s="523"/>
      <c r="T640" s="523"/>
      <c r="U640" s="523"/>
      <c r="V640" s="523"/>
      <c r="W640" s="523"/>
      <c r="X640" s="523"/>
      <c r="Y640" s="523"/>
      <c r="Z640" s="523"/>
      <c r="AA640" s="523"/>
      <c r="AB640" s="523"/>
      <c r="AC640" s="523"/>
    </row>
    <row r="641" spans="1:29">
      <c r="A641" s="523"/>
      <c r="B641" s="523"/>
      <c r="C641" s="523"/>
      <c r="D641" s="523"/>
      <c r="E641" s="523"/>
      <c r="F641" s="523"/>
      <c r="G641" s="523"/>
      <c r="H641" s="523"/>
      <c r="I641" s="523"/>
      <c r="J641" s="523"/>
      <c r="K641" s="538"/>
      <c r="L641" s="539"/>
      <c r="M641" s="523"/>
      <c r="N641" s="523"/>
      <c r="O641" s="523"/>
      <c r="P641" s="1789"/>
      <c r="Q641" s="523"/>
      <c r="R641" s="523"/>
      <c r="S641" s="523"/>
      <c r="T641" s="523"/>
      <c r="U641" s="523"/>
      <c r="V641" s="523"/>
      <c r="W641" s="523"/>
      <c r="X641" s="523"/>
      <c r="Y641" s="523"/>
      <c r="Z641" s="523"/>
      <c r="AA641" s="523"/>
      <c r="AB641" s="523"/>
      <c r="AC641" s="523"/>
    </row>
    <row r="642" spans="1:29">
      <c r="A642" s="523"/>
      <c r="B642" s="523"/>
      <c r="C642" s="523"/>
      <c r="D642" s="523"/>
      <c r="E642" s="523"/>
      <c r="F642" s="523"/>
      <c r="G642" s="523"/>
      <c r="H642" s="523"/>
      <c r="I642" s="523"/>
      <c r="J642" s="523"/>
      <c r="K642" s="538"/>
      <c r="L642" s="539"/>
      <c r="M642" s="523"/>
      <c r="N642" s="523"/>
      <c r="O642" s="523"/>
      <c r="P642" s="1789"/>
      <c r="Q642" s="523"/>
      <c r="R642" s="523"/>
      <c r="S642" s="523"/>
      <c r="T642" s="523"/>
      <c r="U642" s="523"/>
      <c r="V642" s="523"/>
      <c r="W642" s="523"/>
      <c r="X642" s="523"/>
      <c r="Y642" s="523"/>
      <c r="Z642" s="523"/>
      <c r="AA642" s="523"/>
      <c r="AB642" s="523"/>
      <c r="AC642" s="523"/>
    </row>
    <row r="643" spans="1:29">
      <c r="A643" s="523"/>
      <c r="B643" s="523"/>
      <c r="C643" s="523"/>
      <c r="D643" s="523"/>
      <c r="E643" s="523"/>
      <c r="F643" s="523"/>
      <c r="G643" s="523"/>
      <c r="H643" s="523"/>
      <c r="I643" s="523"/>
      <c r="J643" s="523"/>
      <c r="K643" s="538"/>
      <c r="L643" s="539"/>
      <c r="M643" s="523"/>
      <c r="N643" s="523"/>
      <c r="O643" s="523"/>
      <c r="P643" s="1789"/>
      <c r="Q643" s="523"/>
      <c r="R643" s="523"/>
      <c r="S643" s="523"/>
      <c r="T643" s="523"/>
      <c r="U643" s="523"/>
      <c r="V643" s="523"/>
      <c r="W643" s="523"/>
      <c r="X643" s="523"/>
      <c r="Y643" s="523"/>
      <c r="Z643" s="523"/>
      <c r="AA643" s="523"/>
      <c r="AB643" s="523"/>
      <c r="AC643" s="523"/>
    </row>
    <row r="644" spans="1:29">
      <c r="A644" s="523"/>
      <c r="B644" s="523"/>
      <c r="C644" s="523"/>
      <c r="D644" s="523"/>
      <c r="E644" s="523"/>
      <c r="F644" s="523"/>
      <c r="G644" s="523"/>
      <c r="H644" s="523"/>
      <c r="I644" s="523"/>
      <c r="J644" s="523"/>
      <c r="K644" s="538"/>
      <c r="L644" s="539"/>
      <c r="M644" s="523"/>
      <c r="N644" s="523"/>
      <c r="O644" s="523"/>
      <c r="P644" s="1789"/>
      <c r="Q644" s="523"/>
      <c r="R644" s="523"/>
      <c r="S644" s="523"/>
      <c r="T644" s="523"/>
      <c r="U644" s="523"/>
      <c r="V644" s="523"/>
      <c r="W644" s="523"/>
      <c r="X644" s="523"/>
      <c r="Y644" s="523"/>
      <c r="Z644" s="523"/>
      <c r="AA644" s="523"/>
      <c r="AB644" s="523"/>
      <c r="AC644" s="523"/>
    </row>
    <row r="645" spans="1:29">
      <c r="A645" s="523"/>
      <c r="B645" s="523"/>
      <c r="C645" s="523"/>
      <c r="D645" s="523"/>
      <c r="E645" s="523"/>
      <c r="F645" s="523"/>
      <c r="G645" s="523"/>
      <c r="H645" s="523"/>
      <c r="I645" s="523"/>
      <c r="J645" s="523"/>
      <c r="K645" s="538"/>
      <c r="L645" s="539"/>
      <c r="M645" s="523"/>
      <c r="N645" s="523"/>
      <c r="O645" s="523"/>
      <c r="P645" s="1789"/>
      <c r="Q645" s="523"/>
      <c r="R645" s="523"/>
      <c r="S645" s="523"/>
      <c r="T645" s="523"/>
      <c r="U645" s="523"/>
      <c r="V645" s="523"/>
      <c r="W645" s="523"/>
      <c r="X645" s="523"/>
      <c r="Y645" s="523"/>
      <c r="Z645" s="523"/>
      <c r="AA645" s="523"/>
      <c r="AB645" s="523"/>
      <c r="AC645" s="523"/>
    </row>
    <row r="646" spans="1:29">
      <c r="A646" s="523"/>
      <c r="B646" s="523"/>
      <c r="C646" s="523"/>
      <c r="D646" s="523"/>
      <c r="E646" s="523"/>
      <c r="F646" s="523"/>
      <c r="G646" s="523"/>
      <c r="H646" s="523"/>
      <c r="I646" s="523"/>
      <c r="J646" s="523"/>
      <c r="K646" s="538"/>
      <c r="L646" s="539"/>
      <c r="M646" s="523"/>
      <c r="N646" s="523"/>
      <c r="O646" s="523"/>
      <c r="P646" s="1789"/>
      <c r="Q646" s="523"/>
      <c r="R646" s="523"/>
      <c r="S646" s="523"/>
      <c r="T646" s="523"/>
      <c r="U646" s="523"/>
      <c r="V646" s="523"/>
      <c r="W646" s="523"/>
      <c r="X646" s="523"/>
      <c r="Y646" s="523"/>
      <c r="Z646" s="523"/>
      <c r="AA646" s="523"/>
      <c r="AB646" s="523"/>
      <c r="AC646" s="523"/>
    </row>
    <row r="647" spans="1:29">
      <c r="A647" s="523"/>
      <c r="B647" s="523"/>
      <c r="C647" s="523"/>
      <c r="D647" s="523"/>
      <c r="E647" s="523"/>
      <c r="F647" s="523"/>
      <c r="G647" s="523"/>
      <c r="H647" s="523"/>
      <c r="I647" s="523"/>
      <c r="J647" s="523"/>
      <c r="K647" s="538"/>
      <c r="L647" s="539"/>
      <c r="M647" s="523"/>
      <c r="N647" s="523"/>
      <c r="O647" s="523"/>
      <c r="P647" s="1789"/>
      <c r="Q647" s="523"/>
      <c r="R647" s="523"/>
      <c r="S647" s="523"/>
      <c r="T647" s="523"/>
      <c r="U647" s="523"/>
      <c r="V647" s="523"/>
      <c r="W647" s="523"/>
      <c r="X647" s="523"/>
      <c r="Y647" s="523"/>
      <c r="Z647" s="523"/>
      <c r="AA647" s="523"/>
      <c r="AB647" s="523"/>
      <c r="AC647" s="523"/>
    </row>
    <row r="648" spans="1:29">
      <c r="A648" s="523"/>
      <c r="B648" s="523"/>
      <c r="C648" s="523"/>
      <c r="D648" s="523"/>
      <c r="E648" s="523"/>
      <c r="F648" s="523"/>
      <c r="G648" s="523"/>
      <c r="H648" s="523"/>
      <c r="I648" s="523"/>
      <c r="J648" s="523"/>
      <c r="K648" s="538"/>
      <c r="L648" s="539"/>
      <c r="M648" s="523"/>
      <c r="N648" s="523"/>
      <c r="O648" s="523"/>
      <c r="P648" s="1789"/>
      <c r="Q648" s="523"/>
      <c r="R648" s="523"/>
      <c r="S648" s="523"/>
      <c r="T648" s="523"/>
      <c r="U648" s="523"/>
      <c r="V648" s="523"/>
      <c r="W648" s="523"/>
      <c r="X648" s="523"/>
      <c r="Y648" s="523"/>
      <c r="Z648" s="523"/>
      <c r="AA648" s="523"/>
      <c r="AB648" s="523"/>
      <c r="AC648" s="523"/>
    </row>
    <row r="649" spans="1:29">
      <c r="A649" s="523"/>
      <c r="B649" s="523"/>
      <c r="C649" s="523"/>
      <c r="D649" s="523"/>
      <c r="E649" s="523"/>
      <c r="F649" s="523"/>
      <c r="G649" s="523"/>
      <c r="H649" s="523"/>
      <c r="I649" s="523"/>
      <c r="J649" s="523"/>
      <c r="K649" s="538"/>
      <c r="L649" s="539"/>
      <c r="M649" s="523"/>
      <c r="N649" s="523"/>
      <c r="O649" s="523"/>
      <c r="P649" s="1789"/>
      <c r="Q649" s="523"/>
      <c r="R649" s="523"/>
      <c r="S649" s="523"/>
      <c r="T649" s="523"/>
      <c r="U649" s="523"/>
      <c r="V649" s="523"/>
      <c r="W649" s="523"/>
      <c r="X649" s="523"/>
      <c r="Y649" s="523"/>
      <c r="Z649" s="523"/>
      <c r="AA649" s="523"/>
      <c r="AB649" s="523"/>
      <c r="AC649" s="523"/>
    </row>
    <row r="650" spans="1:29">
      <c r="A650" s="523"/>
      <c r="B650" s="523"/>
      <c r="C650" s="523"/>
      <c r="D650" s="523"/>
      <c r="E650" s="523"/>
      <c r="F650" s="523"/>
      <c r="G650" s="523"/>
      <c r="H650" s="523"/>
      <c r="I650" s="523"/>
      <c r="J650" s="523"/>
      <c r="K650" s="538"/>
      <c r="L650" s="539"/>
      <c r="M650" s="523"/>
      <c r="N650" s="523"/>
      <c r="O650" s="523"/>
      <c r="P650" s="1789"/>
      <c r="Q650" s="523"/>
      <c r="R650" s="523"/>
      <c r="S650" s="523"/>
      <c r="T650" s="523"/>
      <c r="U650" s="523"/>
      <c r="V650" s="523"/>
      <c r="W650" s="523"/>
      <c r="X650" s="523"/>
      <c r="Y650" s="523"/>
      <c r="Z650" s="523"/>
      <c r="AA650" s="523"/>
      <c r="AB650" s="523"/>
      <c r="AC650" s="523"/>
    </row>
    <row r="651" spans="1:29">
      <c r="A651" s="523"/>
      <c r="B651" s="523"/>
      <c r="C651" s="523"/>
      <c r="D651" s="523"/>
      <c r="E651" s="523"/>
      <c r="F651" s="523"/>
      <c r="G651" s="523"/>
      <c r="H651" s="523"/>
      <c r="I651" s="523"/>
      <c r="J651" s="523"/>
      <c r="K651" s="538"/>
      <c r="L651" s="539"/>
      <c r="M651" s="523"/>
      <c r="N651" s="523"/>
      <c r="O651" s="523"/>
      <c r="P651" s="1789"/>
      <c r="Q651" s="523"/>
      <c r="R651" s="523"/>
      <c r="S651" s="523"/>
      <c r="T651" s="523"/>
      <c r="U651" s="523"/>
      <c r="V651" s="523"/>
      <c r="W651" s="523"/>
      <c r="X651" s="523"/>
      <c r="Y651" s="523"/>
      <c r="Z651" s="523"/>
      <c r="AA651" s="523"/>
      <c r="AB651" s="523"/>
      <c r="AC651" s="523"/>
    </row>
    <row r="652" spans="1:29">
      <c r="A652" s="523"/>
      <c r="B652" s="523"/>
      <c r="C652" s="523"/>
      <c r="D652" s="523"/>
      <c r="E652" s="523"/>
      <c r="F652" s="523"/>
      <c r="G652" s="523"/>
      <c r="H652" s="523"/>
      <c r="I652" s="523"/>
      <c r="J652" s="523"/>
      <c r="K652" s="538"/>
      <c r="L652" s="539"/>
      <c r="M652" s="523"/>
      <c r="N652" s="523"/>
      <c r="O652" s="523"/>
      <c r="P652" s="1789"/>
      <c r="Q652" s="523"/>
      <c r="R652" s="523"/>
      <c r="S652" s="523"/>
      <c r="T652" s="523"/>
      <c r="U652" s="523"/>
      <c r="V652" s="523"/>
      <c r="W652" s="523"/>
      <c r="X652" s="523"/>
      <c r="Y652" s="523"/>
      <c r="Z652" s="523"/>
      <c r="AA652" s="523"/>
      <c r="AB652" s="523"/>
      <c r="AC652" s="523"/>
    </row>
    <row r="653" spans="1:29">
      <c r="A653" s="523"/>
      <c r="B653" s="523"/>
      <c r="C653" s="523"/>
      <c r="D653" s="523"/>
      <c r="E653" s="523"/>
      <c r="F653" s="523"/>
      <c r="G653" s="523"/>
      <c r="H653" s="523"/>
      <c r="I653" s="523"/>
      <c r="J653" s="523"/>
      <c r="K653" s="538"/>
      <c r="L653" s="539"/>
      <c r="M653" s="523"/>
      <c r="N653" s="523"/>
      <c r="O653" s="523"/>
      <c r="P653" s="1789"/>
      <c r="Q653" s="523"/>
      <c r="R653" s="523"/>
      <c r="S653" s="523"/>
      <c r="T653" s="523"/>
      <c r="U653" s="523"/>
      <c r="V653" s="523"/>
      <c r="W653" s="523"/>
      <c r="X653" s="523"/>
      <c r="Y653" s="523"/>
      <c r="Z653" s="523"/>
      <c r="AA653" s="523"/>
      <c r="AB653" s="523"/>
      <c r="AC653" s="523"/>
    </row>
    <row r="654" spans="1:29">
      <c r="A654" s="523"/>
      <c r="B654" s="523"/>
      <c r="C654" s="523"/>
      <c r="D654" s="523"/>
      <c r="E654" s="523"/>
      <c r="F654" s="523"/>
      <c r="G654" s="523"/>
      <c r="H654" s="523"/>
      <c r="I654" s="523"/>
      <c r="J654" s="523"/>
      <c r="K654" s="538"/>
      <c r="L654" s="539"/>
      <c r="M654" s="523"/>
      <c r="N654" s="523"/>
      <c r="O654" s="523"/>
      <c r="P654" s="1789"/>
      <c r="Q654" s="523"/>
      <c r="R654" s="523"/>
      <c r="S654" s="523"/>
      <c r="T654" s="523"/>
      <c r="U654" s="523"/>
      <c r="V654" s="523"/>
      <c r="W654" s="523"/>
      <c r="X654" s="523"/>
      <c r="Y654" s="523"/>
      <c r="Z654" s="523"/>
      <c r="AA654" s="523"/>
      <c r="AB654" s="523"/>
      <c r="AC654" s="523"/>
    </row>
    <row r="655" spans="1:29">
      <c r="A655" s="523"/>
      <c r="B655" s="523"/>
      <c r="C655" s="523"/>
      <c r="D655" s="523"/>
      <c r="E655" s="523"/>
      <c r="F655" s="523"/>
      <c r="G655" s="523"/>
      <c r="H655" s="523"/>
      <c r="I655" s="523"/>
      <c r="J655" s="523"/>
      <c r="K655" s="538"/>
      <c r="L655" s="539"/>
      <c r="M655" s="523"/>
      <c r="N655" s="523"/>
      <c r="O655" s="523"/>
      <c r="P655" s="1789"/>
      <c r="Q655" s="523"/>
      <c r="R655" s="523"/>
      <c r="S655" s="523"/>
      <c r="T655" s="523"/>
      <c r="U655" s="523"/>
      <c r="V655" s="523"/>
      <c r="W655" s="523"/>
      <c r="X655" s="523"/>
      <c r="Y655" s="523"/>
      <c r="Z655" s="523"/>
      <c r="AA655" s="523"/>
      <c r="AB655" s="523"/>
      <c r="AC655" s="523"/>
    </row>
    <row r="656" spans="1:29">
      <c r="A656" s="523"/>
      <c r="B656" s="523"/>
      <c r="C656" s="523"/>
      <c r="D656" s="523"/>
      <c r="E656" s="523"/>
      <c r="F656" s="523"/>
      <c r="G656" s="523"/>
      <c r="H656" s="523"/>
      <c r="I656" s="523"/>
      <c r="J656" s="523"/>
      <c r="K656" s="538"/>
      <c r="L656" s="539"/>
      <c r="M656" s="523"/>
      <c r="N656" s="523"/>
      <c r="O656" s="523"/>
      <c r="P656" s="1789"/>
      <c r="Q656" s="523"/>
      <c r="R656" s="523"/>
      <c r="S656" s="523"/>
      <c r="T656" s="523"/>
      <c r="U656" s="523"/>
      <c r="V656" s="523"/>
      <c r="W656" s="523"/>
      <c r="X656" s="523"/>
      <c r="Y656" s="523"/>
      <c r="Z656" s="523"/>
      <c r="AA656" s="523"/>
      <c r="AB656" s="523"/>
      <c r="AC656" s="523"/>
    </row>
    <row r="657" spans="1:29">
      <c r="A657" s="523"/>
      <c r="B657" s="523"/>
      <c r="C657" s="523"/>
      <c r="D657" s="523"/>
      <c r="E657" s="523"/>
      <c r="F657" s="523"/>
      <c r="G657" s="523"/>
      <c r="H657" s="523"/>
      <c r="I657" s="523"/>
      <c r="J657" s="523"/>
      <c r="K657" s="538"/>
      <c r="L657" s="539"/>
      <c r="M657" s="523"/>
      <c r="N657" s="523"/>
      <c r="O657" s="523"/>
      <c r="P657" s="1789"/>
      <c r="Q657" s="523"/>
      <c r="R657" s="523"/>
      <c r="S657" s="523"/>
      <c r="T657" s="523"/>
      <c r="U657" s="523"/>
      <c r="V657" s="523"/>
      <c r="W657" s="523"/>
      <c r="X657" s="523"/>
      <c r="Y657" s="523"/>
      <c r="Z657" s="523"/>
      <c r="AA657" s="523"/>
      <c r="AB657" s="523"/>
      <c r="AC657" s="523"/>
    </row>
    <row r="658" spans="1:29">
      <c r="A658" s="523"/>
      <c r="B658" s="523"/>
      <c r="C658" s="523"/>
      <c r="D658" s="523"/>
      <c r="E658" s="523"/>
      <c r="F658" s="523"/>
      <c r="G658" s="523"/>
      <c r="H658" s="523"/>
      <c r="I658" s="523"/>
      <c r="J658" s="523"/>
      <c r="K658" s="538"/>
      <c r="L658" s="539"/>
      <c r="M658" s="523"/>
      <c r="N658" s="523"/>
      <c r="O658" s="523"/>
      <c r="P658" s="1789"/>
      <c r="Q658" s="523"/>
      <c r="R658" s="523"/>
      <c r="S658" s="523"/>
      <c r="T658" s="523"/>
      <c r="U658" s="523"/>
      <c r="V658" s="523"/>
      <c r="W658" s="523"/>
      <c r="X658" s="523"/>
      <c r="Y658" s="523"/>
      <c r="Z658" s="523"/>
      <c r="AA658" s="523"/>
      <c r="AB658" s="523"/>
      <c r="AC658" s="523"/>
    </row>
    <row r="659" spans="1:29">
      <c r="A659" s="523"/>
      <c r="B659" s="523"/>
      <c r="C659" s="523"/>
      <c r="D659" s="523"/>
      <c r="E659" s="523"/>
      <c r="F659" s="523"/>
      <c r="G659" s="523"/>
      <c r="H659" s="523"/>
      <c r="I659" s="523"/>
      <c r="J659" s="523"/>
      <c r="K659" s="538"/>
      <c r="L659" s="539"/>
      <c r="M659" s="523"/>
      <c r="N659" s="523"/>
      <c r="O659" s="523"/>
      <c r="P659" s="1789"/>
      <c r="Q659" s="523"/>
      <c r="R659" s="523"/>
      <c r="S659" s="523"/>
      <c r="T659" s="523"/>
      <c r="U659" s="523"/>
      <c r="V659" s="523"/>
      <c r="W659" s="523"/>
      <c r="X659" s="523"/>
      <c r="Y659" s="523"/>
      <c r="Z659" s="523"/>
      <c r="AA659" s="523"/>
      <c r="AB659" s="523"/>
      <c r="AC659" s="523"/>
    </row>
    <row r="660" spans="1:29">
      <c r="A660" s="523"/>
      <c r="B660" s="523"/>
      <c r="C660" s="523"/>
      <c r="D660" s="523"/>
      <c r="E660" s="523"/>
      <c r="F660" s="523"/>
      <c r="G660" s="523"/>
      <c r="H660" s="523"/>
      <c r="I660" s="523"/>
      <c r="J660" s="523"/>
      <c r="K660" s="538"/>
      <c r="L660" s="539"/>
      <c r="M660" s="523"/>
      <c r="N660" s="523"/>
      <c r="O660" s="523"/>
      <c r="P660" s="1789"/>
      <c r="Q660" s="523"/>
      <c r="R660" s="523"/>
      <c r="S660" s="523"/>
      <c r="T660" s="523"/>
      <c r="U660" s="523"/>
      <c r="V660" s="523"/>
      <c r="W660" s="523"/>
      <c r="X660" s="523"/>
      <c r="Y660" s="523"/>
      <c r="Z660" s="523"/>
      <c r="AA660" s="523"/>
      <c r="AB660" s="523"/>
      <c r="AC660" s="523"/>
    </row>
    <row r="661" spans="1:29">
      <c r="A661" s="523"/>
      <c r="B661" s="523"/>
      <c r="C661" s="523"/>
      <c r="D661" s="523"/>
      <c r="E661" s="523"/>
      <c r="F661" s="523"/>
      <c r="G661" s="523"/>
      <c r="H661" s="523"/>
      <c r="I661" s="523"/>
      <c r="J661" s="523"/>
      <c r="K661" s="538"/>
      <c r="L661" s="539"/>
      <c r="M661" s="523"/>
      <c r="N661" s="523"/>
      <c r="O661" s="523"/>
      <c r="P661" s="1789"/>
      <c r="Q661" s="523"/>
      <c r="R661" s="523"/>
      <c r="S661" s="523"/>
      <c r="T661" s="523"/>
      <c r="U661" s="523"/>
      <c r="V661" s="523"/>
      <c r="W661" s="523"/>
      <c r="X661" s="523"/>
      <c r="Y661" s="523"/>
      <c r="Z661" s="523"/>
      <c r="AA661" s="523"/>
      <c r="AB661" s="523"/>
      <c r="AC661" s="523"/>
    </row>
    <row r="662" spans="1:29">
      <c r="A662" s="523"/>
      <c r="B662" s="523"/>
      <c r="C662" s="523"/>
      <c r="D662" s="523"/>
      <c r="E662" s="523"/>
      <c r="F662" s="523"/>
      <c r="G662" s="523"/>
      <c r="H662" s="523"/>
      <c r="I662" s="523"/>
      <c r="J662" s="523"/>
      <c r="K662" s="538"/>
      <c r="L662" s="539"/>
      <c r="M662" s="523"/>
      <c r="N662" s="523"/>
      <c r="O662" s="523"/>
      <c r="P662" s="1789"/>
      <c r="Q662" s="523"/>
      <c r="R662" s="523"/>
      <c r="S662" s="523"/>
      <c r="T662" s="523"/>
      <c r="U662" s="523"/>
      <c r="V662" s="523"/>
      <c r="W662" s="523"/>
      <c r="X662" s="523"/>
      <c r="Y662" s="523"/>
      <c r="Z662" s="523"/>
      <c r="AA662" s="523"/>
      <c r="AB662" s="523"/>
      <c r="AC662" s="523"/>
    </row>
    <row r="663" spans="1:29">
      <c r="A663" s="523"/>
      <c r="B663" s="523"/>
      <c r="C663" s="523"/>
      <c r="D663" s="523"/>
      <c r="E663" s="523"/>
      <c r="F663" s="523"/>
      <c r="G663" s="523"/>
      <c r="H663" s="523"/>
      <c r="I663" s="523"/>
      <c r="J663" s="523"/>
      <c r="K663" s="538"/>
      <c r="L663" s="539"/>
      <c r="M663" s="523"/>
      <c r="N663" s="523"/>
      <c r="O663" s="523"/>
      <c r="P663" s="1789"/>
      <c r="Q663" s="523"/>
      <c r="R663" s="523"/>
      <c r="S663" s="523"/>
      <c r="T663" s="523"/>
      <c r="U663" s="523"/>
      <c r="V663" s="523"/>
      <c r="W663" s="523"/>
      <c r="X663" s="523"/>
      <c r="Y663" s="523"/>
      <c r="Z663" s="523"/>
      <c r="AA663" s="523"/>
      <c r="AB663" s="523"/>
      <c r="AC663" s="523"/>
    </row>
    <row r="664" spans="1:29">
      <c r="A664" s="523"/>
      <c r="B664" s="523"/>
      <c r="C664" s="523"/>
      <c r="D664" s="523"/>
      <c r="E664" s="523"/>
      <c r="F664" s="523"/>
      <c r="G664" s="523"/>
      <c r="H664" s="523"/>
      <c r="I664" s="523"/>
      <c r="J664" s="523"/>
      <c r="K664" s="538"/>
      <c r="L664" s="539"/>
      <c r="M664" s="523"/>
      <c r="N664" s="523"/>
      <c r="O664" s="523"/>
      <c r="P664" s="1789"/>
      <c r="Q664" s="523"/>
      <c r="R664" s="523"/>
      <c r="S664" s="523"/>
      <c r="T664" s="523"/>
      <c r="U664" s="523"/>
      <c r="V664" s="523"/>
      <c r="W664" s="523"/>
      <c r="X664" s="523"/>
      <c r="Y664" s="523"/>
      <c r="Z664" s="523"/>
      <c r="AA664" s="523"/>
      <c r="AB664" s="523"/>
      <c r="AC664" s="523"/>
    </row>
    <row r="665" spans="1:29">
      <c r="A665" s="523"/>
      <c r="B665" s="523"/>
      <c r="C665" s="523"/>
      <c r="D665" s="523"/>
      <c r="E665" s="523"/>
      <c r="F665" s="523"/>
      <c r="G665" s="523"/>
      <c r="H665" s="523"/>
      <c r="I665" s="523"/>
      <c r="J665" s="523"/>
      <c r="K665" s="538"/>
      <c r="L665" s="539"/>
      <c r="M665" s="523"/>
      <c r="N665" s="523"/>
      <c r="O665" s="523"/>
      <c r="P665" s="1789"/>
      <c r="Q665" s="523"/>
      <c r="R665" s="523"/>
      <c r="S665" s="523"/>
      <c r="T665" s="523"/>
      <c r="U665" s="523"/>
      <c r="V665" s="523"/>
      <c r="W665" s="523"/>
      <c r="X665" s="523"/>
      <c r="Y665" s="523"/>
      <c r="Z665" s="523"/>
      <c r="AA665" s="523"/>
      <c r="AB665" s="523"/>
      <c r="AC665" s="523"/>
    </row>
    <row r="666" spans="1:29">
      <c r="A666" s="523"/>
      <c r="B666" s="523"/>
      <c r="C666" s="523"/>
      <c r="D666" s="523"/>
      <c r="E666" s="523"/>
      <c r="F666" s="523"/>
      <c r="G666" s="523"/>
      <c r="H666" s="523"/>
      <c r="I666" s="523"/>
      <c r="J666" s="523"/>
      <c r="K666" s="538"/>
      <c r="L666" s="539"/>
      <c r="M666" s="523"/>
      <c r="N666" s="523"/>
      <c r="O666" s="523"/>
      <c r="P666" s="1789"/>
      <c r="Q666" s="523"/>
      <c r="R666" s="523"/>
      <c r="S666" s="523"/>
      <c r="T666" s="523"/>
      <c r="U666" s="523"/>
      <c r="V666" s="523"/>
      <c r="W666" s="523"/>
      <c r="X666" s="523"/>
      <c r="Y666" s="523"/>
      <c r="Z666" s="523"/>
      <c r="AA666" s="523"/>
      <c r="AB666" s="523"/>
      <c r="AC666" s="523"/>
    </row>
    <row r="667" spans="1:29">
      <c r="A667" s="523"/>
      <c r="B667" s="523"/>
      <c r="C667" s="523"/>
      <c r="D667" s="523"/>
      <c r="E667" s="523"/>
      <c r="F667" s="523"/>
      <c r="G667" s="523"/>
      <c r="H667" s="523"/>
      <c r="I667" s="523"/>
      <c r="J667" s="523"/>
      <c r="K667" s="538"/>
      <c r="L667" s="539"/>
      <c r="M667" s="523"/>
      <c r="N667" s="523"/>
      <c r="O667" s="523"/>
      <c r="P667" s="1789"/>
      <c r="Q667" s="523"/>
      <c r="R667" s="523"/>
      <c r="S667" s="523"/>
      <c r="T667" s="523"/>
      <c r="U667" s="523"/>
      <c r="V667" s="523"/>
      <c r="W667" s="523"/>
      <c r="X667" s="523"/>
      <c r="Y667" s="523"/>
      <c r="Z667" s="523"/>
      <c r="AA667" s="523"/>
      <c r="AB667" s="523"/>
      <c r="AC667" s="523"/>
    </row>
    <row r="668" spans="1:29">
      <c r="A668" s="523"/>
      <c r="B668" s="523"/>
      <c r="C668" s="523"/>
      <c r="D668" s="523"/>
      <c r="E668" s="523"/>
      <c r="F668" s="523"/>
      <c r="G668" s="523"/>
      <c r="H668" s="523"/>
      <c r="I668" s="523"/>
      <c r="J668" s="523"/>
      <c r="K668" s="538"/>
      <c r="L668" s="539"/>
      <c r="M668" s="523"/>
      <c r="N668" s="523"/>
      <c r="O668" s="523"/>
      <c r="P668" s="1789"/>
      <c r="Q668" s="523"/>
      <c r="R668" s="523"/>
      <c r="S668" s="523"/>
      <c r="T668" s="523"/>
      <c r="U668" s="523"/>
      <c r="V668" s="523"/>
      <c r="W668" s="523"/>
      <c r="X668" s="523"/>
      <c r="Y668" s="523"/>
      <c r="Z668" s="523"/>
      <c r="AA668" s="523"/>
      <c r="AB668" s="523"/>
      <c r="AC668" s="523"/>
    </row>
    <row r="669" spans="1:29">
      <c r="A669" s="523"/>
      <c r="B669" s="523"/>
      <c r="C669" s="523"/>
      <c r="D669" s="523"/>
      <c r="E669" s="523"/>
      <c r="F669" s="523"/>
      <c r="G669" s="523"/>
      <c r="H669" s="523"/>
      <c r="I669" s="523"/>
      <c r="J669" s="523"/>
      <c r="K669" s="538"/>
      <c r="L669" s="539"/>
      <c r="M669" s="523"/>
      <c r="N669" s="523"/>
      <c r="O669" s="523"/>
      <c r="P669" s="1789"/>
      <c r="Q669" s="523"/>
      <c r="R669" s="523"/>
      <c r="S669" s="523"/>
      <c r="T669" s="523"/>
      <c r="U669" s="523"/>
      <c r="V669" s="523"/>
      <c r="W669" s="523"/>
      <c r="X669" s="523"/>
      <c r="Y669" s="523"/>
      <c r="Z669" s="523"/>
      <c r="AA669" s="523"/>
      <c r="AB669" s="523"/>
      <c r="AC669" s="523"/>
    </row>
    <row r="670" spans="1:29">
      <c r="A670" s="523"/>
      <c r="B670" s="523"/>
      <c r="C670" s="523"/>
      <c r="D670" s="523"/>
      <c r="E670" s="523"/>
      <c r="F670" s="523"/>
      <c r="G670" s="523"/>
      <c r="H670" s="523"/>
      <c r="I670" s="523"/>
      <c r="J670" s="523"/>
      <c r="K670" s="538"/>
      <c r="L670" s="539"/>
      <c r="M670" s="523"/>
      <c r="N670" s="523"/>
      <c r="O670" s="523"/>
      <c r="P670" s="1789"/>
      <c r="Q670" s="523"/>
      <c r="R670" s="523"/>
      <c r="S670" s="523"/>
      <c r="T670" s="523"/>
      <c r="U670" s="523"/>
      <c r="V670" s="523"/>
      <c r="W670" s="523"/>
      <c r="X670" s="523"/>
      <c r="Y670" s="523"/>
      <c r="Z670" s="523"/>
      <c r="AA670" s="523"/>
      <c r="AB670" s="523"/>
      <c r="AC670" s="523"/>
    </row>
    <row r="671" spans="1:29">
      <c r="A671" s="523"/>
      <c r="B671" s="523"/>
      <c r="C671" s="523"/>
      <c r="D671" s="523"/>
      <c r="E671" s="523"/>
      <c r="F671" s="523"/>
      <c r="G671" s="523"/>
      <c r="H671" s="523"/>
      <c r="I671" s="523"/>
      <c r="J671" s="523"/>
      <c r="K671" s="538"/>
      <c r="L671" s="539"/>
      <c r="M671" s="523"/>
      <c r="N671" s="523"/>
      <c r="O671" s="523"/>
      <c r="P671" s="1789"/>
      <c r="Q671" s="523"/>
      <c r="R671" s="523"/>
      <c r="S671" s="523"/>
      <c r="T671" s="523"/>
      <c r="U671" s="523"/>
      <c r="V671" s="523"/>
      <c r="W671" s="523"/>
      <c r="X671" s="523"/>
      <c r="Y671" s="523"/>
      <c r="Z671" s="523"/>
      <c r="AA671" s="523"/>
      <c r="AB671" s="523"/>
      <c r="AC671" s="523"/>
    </row>
    <row r="672" spans="1:29">
      <c r="A672" s="523"/>
      <c r="B672" s="523"/>
      <c r="C672" s="523"/>
      <c r="D672" s="523"/>
      <c r="E672" s="523"/>
      <c r="F672" s="523"/>
      <c r="G672" s="523"/>
      <c r="H672" s="523"/>
      <c r="I672" s="523"/>
      <c r="J672" s="523"/>
      <c r="K672" s="538"/>
      <c r="L672" s="539"/>
      <c r="M672" s="523"/>
      <c r="N672" s="523"/>
      <c r="O672" s="523"/>
      <c r="P672" s="1789"/>
      <c r="Q672" s="523"/>
      <c r="R672" s="523"/>
      <c r="S672" s="523"/>
      <c r="T672" s="523"/>
      <c r="U672" s="523"/>
      <c r="V672" s="523"/>
      <c r="W672" s="523"/>
      <c r="X672" s="523"/>
      <c r="Y672" s="523"/>
      <c r="Z672" s="523"/>
      <c r="AA672" s="523"/>
      <c r="AB672" s="523"/>
      <c r="AC672" s="523"/>
    </row>
    <row r="673" spans="1:29">
      <c r="A673" s="523"/>
      <c r="B673" s="523"/>
      <c r="C673" s="523"/>
      <c r="D673" s="523"/>
      <c r="E673" s="523"/>
      <c r="F673" s="523"/>
      <c r="G673" s="523"/>
      <c r="H673" s="523"/>
      <c r="I673" s="523"/>
      <c r="J673" s="523"/>
      <c r="K673" s="538"/>
      <c r="L673" s="539"/>
      <c r="M673" s="523"/>
      <c r="N673" s="523"/>
      <c r="O673" s="523"/>
      <c r="P673" s="1789"/>
      <c r="Q673" s="523"/>
      <c r="R673" s="523"/>
      <c r="S673" s="523"/>
      <c r="T673" s="523"/>
      <c r="U673" s="523"/>
      <c r="V673" s="523"/>
      <c r="W673" s="523"/>
      <c r="X673" s="523"/>
      <c r="Y673" s="523"/>
      <c r="Z673" s="523"/>
      <c r="AA673" s="523"/>
      <c r="AB673" s="523"/>
      <c r="AC673" s="523"/>
    </row>
    <row r="674" spans="1:29">
      <c r="A674" s="523"/>
      <c r="B674" s="523"/>
      <c r="C674" s="523"/>
      <c r="D674" s="523"/>
      <c r="E674" s="523"/>
      <c r="F674" s="523"/>
      <c r="G674" s="523"/>
      <c r="H674" s="523"/>
      <c r="I674" s="523"/>
      <c r="J674" s="523"/>
      <c r="K674" s="538"/>
      <c r="L674" s="539"/>
      <c r="M674" s="523"/>
      <c r="N674" s="523"/>
      <c r="O674" s="523"/>
      <c r="P674" s="1789"/>
      <c r="Q674" s="523"/>
      <c r="R674" s="523"/>
      <c r="S674" s="523"/>
      <c r="T674" s="523"/>
      <c r="U674" s="523"/>
      <c r="V674" s="523"/>
      <c r="W674" s="523"/>
      <c r="X674" s="523"/>
      <c r="Y674" s="523"/>
      <c r="Z674" s="523"/>
      <c r="AA674" s="523"/>
      <c r="AB674" s="523"/>
      <c r="AC674" s="523"/>
    </row>
    <row r="675" spans="1:29">
      <c r="A675" s="523"/>
      <c r="B675" s="523"/>
      <c r="C675" s="523"/>
      <c r="D675" s="523"/>
      <c r="E675" s="523"/>
      <c r="F675" s="523"/>
      <c r="G675" s="523"/>
      <c r="H675" s="523"/>
      <c r="I675" s="523"/>
      <c r="J675" s="523"/>
      <c r="K675" s="538"/>
      <c r="L675" s="539"/>
      <c r="M675" s="523"/>
      <c r="N675" s="523"/>
      <c r="O675" s="523"/>
      <c r="P675" s="1789"/>
      <c r="Q675" s="523"/>
      <c r="R675" s="523"/>
      <c r="S675" s="523"/>
      <c r="T675" s="523"/>
      <c r="U675" s="523"/>
      <c r="V675" s="523"/>
      <c r="W675" s="523"/>
      <c r="X675" s="523"/>
      <c r="Y675" s="523"/>
      <c r="Z675" s="523"/>
      <c r="AA675" s="523"/>
      <c r="AB675" s="523"/>
      <c r="AC675" s="523"/>
    </row>
    <row r="676" spans="1:29">
      <c r="A676" s="523"/>
      <c r="B676" s="523"/>
      <c r="C676" s="523"/>
      <c r="D676" s="523"/>
      <c r="E676" s="523"/>
      <c r="F676" s="523"/>
      <c r="G676" s="523"/>
      <c r="H676" s="523"/>
      <c r="I676" s="523"/>
      <c r="J676" s="523"/>
      <c r="K676" s="538"/>
      <c r="L676" s="539"/>
      <c r="M676" s="523"/>
      <c r="N676" s="523"/>
      <c r="O676" s="523"/>
      <c r="P676" s="1789"/>
      <c r="Q676" s="523"/>
      <c r="R676" s="523"/>
      <c r="S676" s="523"/>
      <c r="T676" s="523"/>
      <c r="U676" s="523"/>
      <c r="V676" s="523"/>
      <c r="W676" s="523"/>
      <c r="X676" s="523"/>
      <c r="Y676" s="523"/>
      <c r="Z676" s="523"/>
      <c r="AA676" s="523"/>
      <c r="AB676" s="523"/>
      <c r="AC676" s="523"/>
    </row>
    <row r="677" spans="1:29">
      <c r="A677" s="523"/>
      <c r="B677" s="523"/>
      <c r="C677" s="523"/>
      <c r="D677" s="523"/>
      <c r="E677" s="523"/>
      <c r="F677" s="523"/>
      <c r="G677" s="523"/>
      <c r="H677" s="523"/>
      <c r="I677" s="523"/>
      <c r="J677" s="523"/>
      <c r="K677" s="538"/>
      <c r="L677" s="539"/>
      <c r="M677" s="523"/>
      <c r="N677" s="523"/>
      <c r="O677" s="523"/>
      <c r="P677" s="1789"/>
      <c r="Q677" s="523"/>
      <c r="R677" s="523"/>
      <c r="S677" s="523"/>
      <c r="T677" s="523"/>
      <c r="U677" s="523"/>
      <c r="V677" s="523"/>
      <c r="W677" s="523"/>
      <c r="X677" s="523"/>
      <c r="Y677" s="523"/>
      <c r="Z677" s="523"/>
      <c r="AA677" s="523"/>
      <c r="AB677" s="523"/>
      <c r="AC677" s="523"/>
    </row>
    <row r="678" spans="1:29">
      <c r="A678" s="523"/>
      <c r="B678" s="523"/>
      <c r="C678" s="523"/>
      <c r="D678" s="523"/>
      <c r="E678" s="523"/>
      <c r="F678" s="523"/>
      <c r="G678" s="523"/>
      <c r="H678" s="523"/>
      <c r="I678" s="523"/>
      <c r="J678" s="523"/>
      <c r="K678" s="538"/>
      <c r="L678" s="539"/>
      <c r="M678" s="523"/>
      <c r="N678" s="523"/>
      <c r="O678" s="523"/>
      <c r="P678" s="1789"/>
      <c r="Q678" s="523"/>
      <c r="R678" s="523"/>
      <c r="S678" s="523"/>
      <c r="T678" s="523"/>
      <c r="U678" s="523"/>
      <c r="V678" s="523"/>
      <c r="W678" s="523"/>
      <c r="X678" s="523"/>
      <c r="Y678" s="523"/>
      <c r="Z678" s="523"/>
      <c r="AA678" s="523"/>
      <c r="AB678" s="523"/>
      <c r="AC678" s="523"/>
    </row>
    <row r="679" spans="1:29">
      <c r="A679" s="523"/>
      <c r="B679" s="523"/>
      <c r="C679" s="523"/>
      <c r="D679" s="523"/>
      <c r="E679" s="523"/>
      <c r="F679" s="523"/>
      <c r="G679" s="523"/>
      <c r="H679" s="523"/>
      <c r="I679" s="523"/>
      <c r="J679" s="523"/>
      <c r="K679" s="538"/>
      <c r="L679" s="539"/>
      <c r="M679" s="523"/>
      <c r="N679" s="523"/>
      <c r="O679" s="523"/>
      <c r="P679" s="1789"/>
      <c r="Q679" s="523"/>
      <c r="R679" s="523"/>
      <c r="S679" s="523"/>
      <c r="T679" s="523"/>
      <c r="U679" s="523"/>
      <c r="V679" s="523"/>
      <c r="W679" s="523"/>
      <c r="X679" s="523"/>
      <c r="Y679" s="523"/>
      <c r="Z679" s="523"/>
      <c r="AA679" s="523"/>
      <c r="AB679" s="523"/>
      <c r="AC679" s="523"/>
    </row>
    <row r="680" spans="1:29">
      <c r="A680" s="523"/>
      <c r="B680" s="523"/>
      <c r="C680" s="523"/>
      <c r="D680" s="523"/>
      <c r="E680" s="523"/>
      <c r="F680" s="523"/>
      <c r="G680" s="523"/>
      <c r="H680" s="523"/>
      <c r="I680" s="523"/>
      <c r="J680" s="523"/>
      <c r="K680" s="538"/>
      <c r="L680" s="539"/>
      <c r="M680" s="523"/>
      <c r="N680" s="523"/>
      <c r="O680" s="523"/>
      <c r="P680" s="1789"/>
      <c r="Q680" s="523"/>
      <c r="R680" s="523"/>
      <c r="S680" s="523"/>
      <c r="T680" s="523"/>
      <c r="U680" s="523"/>
      <c r="V680" s="523"/>
      <c r="W680" s="523"/>
      <c r="X680" s="523"/>
      <c r="Y680" s="523"/>
      <c r="Z680" s="523"/>
      <c r="AA680" s="523"/>
      <c r="AB680" s="523"/>
      <c r="AC680" s="523"/>
    </row>
    <row r="681" spans="1:29">
      <c r="A681" s="523"/>
      <c r="B681" s="523"/>
      <c r="C681" s="523"/>
      <c r="D681" s="523"/>
      <c r="E681" s="523"/>
      <c r="F681" s="523"/>
      <c r="G681" s="523"/>
      <c r="H681" s="523"/>
      <c r="I681" s="523"/>
      <c r="J681" s="523"/>
      <c r="K681" s="538"/>
      <c r="L681" s="539"/>
      <c r="M681" s="523"/>
      <c r="N681" s="523"/>
      <c r="O681" s="523"/>
      <c r="P681" s="1789"/>
      <c r="Q681" s="523"/>
      <c r="R681" s="523"/>
      <c r="S681" s="523"/>
      <c r="T681" s="523"/>
      <c r="U681" s="523"/>
      <c r="V681" s="523"/>
      <c r="W681" s="523"/>
      <c r="X681" s="523"/>
      <c r="Y681" s="523"/>
      <c r="Z681" s="523"/>
      <c r="AA681" s="523"/>
      <c r="AB681" s="523"/>
      <c r="AC681" s="523"/>
    </row>
    <row r="682" spans="1:29">
      <c r="A682" s="523"/>
      <c r="B682" s="523"/>
      <c r="C682" s="523"/>
      <c r="D682" s="523"/>
      <c r="E682" s="523"/>
      <c r="F682" s="523"/>
      <c r="G682" s="523"/>
      <c r="H682" s="523"/>
      <c r="I682" s="523"/>
      <c r="J682" s="523"/>
      <c r="K682" s="538"/>
      <c r="L682" s="539"/>
      <c r="M682" s="523"/>
      <c r="N682" s="523"/>
      <c r="O682" s="523"/>
      <c r="P682" s="1789"/>
      <c r="Q682" s="523"/>
      <c r="R682" s="523"/>
      <c r="S682" s="523"/>
      <c r="T682" s="523"/>
      <c r="U682" s="523"/>
      <c r="V682" s="523"/>
      <c r="W682" s="523"/>
      <c r="X682" s="523"/>
      <c r="Y682" s="523"/>
      <c r="Z682" s="523"/>
      <c r="AA682" s="523"/>
      <c r="AB682" s="523"/>
      <c r="AC682" s="523"/>
    </row>
    <row r="683" spans="1:29">
      <c r="A683" s="523"/>
      <c r="B683" s="523"/>
      <c r="C683" s="523"/>
      <c r="D683" s="523"/>
      <c r="E683" s="523"/>
      <c r="F683" s="523"/>
      <c r="G683" s="523"/>
      <c r="H683" s="523"/>
      <c r="I683" s="523"/>
      <c r="J683" s="523"/>
      <c r="K683" s="538"/>
      <c r="L683" s="539"/>
      <c r="M683" s="523"/>
      <c r="N683" s="523"/>
      <c r="O683" s="523"/>
      <c r="P683" s="1789"/>
      <c r="Q683" s="523"/>
      <c r="R683" s="523"/>
      <c r="S683" s="523"/>
      <c r="T683" s="523"/>
      <c r="U683" s="523"/>
      <c r="V683" s="523"/>
      <c r="W683" s="523"/>
      <c r="X683" s="523"/>
      <c r="Y683" s="523"/>
      <c r="Z683" s="523"/>
      <c r="AA683" s="523"/>
      <c r="AB683" s="523"/>
      <c r="AC683" s="523"/>
    </row>
    <row r="684" spans="1:29">
      <c r="A684" s="523"/>
      <c r="B684" s="523"/>
      <c r="C684" s="523"/>
      <c r="D684" s="523"/>
      <c r="E684" s="523"/>
      <c r="F684" s="523"/>
      <c r="G684" s="523"/>
      <c r="H684" s="523"/>
      <c r="I684" s="523"/>
      <c r="J684" s="523"/>
      <c r="K684" s="538"/>
      <c r="L684" s="539"/>
      <c r="M684" s="523"/>
      <c r="N684" s="523"/>
      <c r="O684" s="523"/>
      <c r="P684" s="1789"/>
      <c r="Q684" s="523"/>
      <c r="R684" s="523"/>
      <c r="S684" s="523"/>
      <c r="T684" s="523"/>
      <c r="U684" s="523"/>
      <c r="V684" s="523"/>
      <c r="W684" s="523"/>
      <c r="X684" s="523"/>
      <c r="Y684" s="523"/>
      <c r="Z684" s="523"/>
      <c r="AA684" s="523"/>
      <c r="AB684" s="523"/>
      <c r="AC684" s="523"/>
    </row>
    <row r="685" spans="1:29">
      <c r="A685" s="523"/>
      <c r="B685" s="523"/>
      <c r="C685" s="523"/>
      <c r="D685" s="523"/>
      <c r="E685" s="523"/>
      <c r="F685" s="523"/>
      <c r="G685" s="523"/>
      <c r="H685" s="523"/>
      <c r="I685" s="523"/>
      <c r="J685" s="523"/>
      <c r="K685" s="538"/>
      <c r="L685" s="539"/>
      <c r="M685" s="523"/>
      <c r="N685" s="523"/>
      <c r="O685" s="523"/>
      <c r="P685" s="1789"/>
      <c r="Q685" s="523"/>
      <c r="R685" s="523"/>
      <c r="S685" s="523"/>
      <c r="T685" s="523"/>
      <c r="U685" s="523"/>
      <c r="V685" s="523"/>
      <c r="W685" s="523"/>
      <c r="X685" s="523"/>
      <c r="Y685" s="523"/>
      <c r="Z685" s="523"/>
      <c r="AA685" s="523"/>
      <c r="AB685" s="523"/>
      <c r="AC685" s="523"/>
    </row>
    <row r="686" spans="1:29">
      <c r="A686" s="523"/>
      <c r="B686" s="523"/>
      <c r="C686" s="523"/>
      <c r="D686" s="523"/>
      <c r="E686" s="523"/>
      <c r="F686" s="523"/>
      <c r="G686" s="523"/>
      <c r="H686" s="523"/>
      <c r="I686" s="523"/>
      <c r="J686" s="523"/>
      <c r="K686" s="538"/>
      <c r="L686" s="539"/>
      <c r="M686" s="523"/>
      <c r="N686" s="523"/>
      <c r="O686" s="523"/>
      <c r="P686" s="1789"/>
      <c r="Q686" s="523"/>
      <c r="R686" s="523"/>
      <c r="S686" s="523"/>
      <c r="T686" s="523"/>
      <c r="U686" s="523"/>
      <c r="V686" s="523"/>
      <c r="W686" s="523"/>
      <c r="X686" s="523"/>
      <c r="Y686" s="523"/>
      <c r="Z686" s="523"/>
      <c r="AA686" s="523"/>
      <c r="AB686" s="523"/>
      <c r="AC686" s="523"/>
    </row>
    <row r="687" spans="1:29">
      <c r="A687" s="523"/>
      <c r="B687" s="523"/>
      <c r="C687" s="523"/>
      <c r="D687" s="523"/>
      <c r="E687" s="523"/>
      <c r="F687" s="523"/>
      <c r="G687" s="523"/>
      <c r="H687" s="523"/>
      <c r="I687" s="523"/>
      <c r="J687" s="523"/>
      <c r="K687" s="538"/>
      <c r="L687" s="539"/>
      <c r="M687" s="523"/>
      <c r="N687" s="523"/>
      <c r="O687" s="523"/>
      <c r="P687" s="1789"/>
      <c r="Q687" s="523"/>
      <c r="R687" s="523"/>
      <c r="S687" s="523"/>
      <c r="T687" s="523"/>
      <c r="U687" s="523"/>
      <c r="V687" s="523"/>
      <c r="W687" s="523"/>
      <c r="X687" s="523"/>
      <c r="Y687" s="523"/>
      <c r="Z687" s="523"/>
      <c r="AA687" s="523"/>
      <c r="AB687" s="523"/>
      <c r="AC687" s="523"/>
    </row>
    <row r="688" spans="1:29">
      <c r="A688" s="523"/>
      <c r="B688" s="523"/>
      <c r="C688" s="523"/>
      <c r="D688" s="523"/>
      <c r="E688" s="523"/>
      <c r="F688" s="523"/>
      <c r="G688" s="523"/>
      <c r="H688" s="523"/>
      <c r="I688" s="523"/>
      <c r="J688" s="523"/>
      <c r="K688" s="538"/>
      <c r="L688" s="539"/>
      <c r="M688" s="523"/>
      <c r="N688" s="523"/>
      <c r="O688" s="523"/>
      <c r="P688" s="1789"/>
      <c r="Q688" s="523"/>
      <c r="R688" s="523"/>
      <c r="S688" s="523"/>
      <c r="T688" s="523"/>
      <c r="U688" s="523"/>
      <c r="V688" s="523"/>
      <c r="W688" s="523"/>
      <c r="X688" s="523"/>
      <c r="Y688" s="523"/>
      <c r="Z688" s="523"/>
      <c r="AA688" s="523"/>
      <c r="AB688" s="523"/>
      <c r="AC688" s="523"/>
    </row>
    <row r="689" spans="1:29">
      <c r="A689" s="523"/>
      <c r="B689" s="523"/>
      <c r="C689" s="523"/>
      <c r="D689" s="523"/>
      <c r="E689" s="523"/>
      <c r="F689" s="523"/>
      <c r="G689" s="523"/>
      <c r="H689" s="523"/>
      <c r="I689" s="523"/>
      <c r="J689" s="523"/>
      <c r="K689" s="538"/>
      <c r="L689" s="539"/>
      <c r="M689" s="523"/>
      <c r="N689" s="523"/>
      <c r="O689" s="523"/>
      <c r="P689" s="1789"/>
      <c r="Q689" s="523"/>
      <c r="R689" s="523"/>
      <c r="S689" s="523"/>
      <c r="T689" s="523"/>
      <c r="U689" s="523"/>
      <c r="V689" s="523"/>
      <c r="W689" s="523"/>
      <c r="X689" s="523"/>
      <c r="Y689" s="523"/>
      <c r="Z689" s="523"/>
      <c r="AA689" s="523"/>
      <c r="AB689" s="523"/>
      <c r="AC689" s="523"/>
    </row>
    <row r="690" spans="1:29">
      <c r="A690" s="523"/>
      <c r="B690" s="523"/>
      <c r="C690" s="523"/>
      <c r="D690" s="523"/>
      <c r="E690" s="523"/>
      <c r="F690" s="523"/>
      <c r="G690" s="523"/>
      <c r="H690" s="523"/>
      <c r="I690" s="523"/>
      <c r="J690" s="523"/>
      <c r="K690" s="538"/>
      <c r="L690" s="539"/>
      <c r="M690" s="523"/>
      <c r="N690" s="523"/>
      <c r="O690" s="523"/>
      <c r="P690" s="1789"/>
      <c r="Q690" s="523"/>
      <c r="R690" s="523"/>
      <c r="S690" s="523"/>
      <c r="T690" s="523"/>
      <c r="U690" s="523"/>
      <c r="V690" s="523"/>
      <c r="W690" s="523"/>
      <c r="X690" s="523"/>
      <c r="Y690" s="523"/>
      <c r="Z690" s="523"/>
      <c r="AA690" s="523"/>
      <c r="AB690" s="523"/>
      <c r="AC690" s="523"/>
    </row>
    <row r="691" spans="1:29">
      <c r="A691" s="523"/>
      <c r="B691" s="523"/>
      <c r="C691" s="523"/>
      <c r="D691" s="523"/>
      <c r="E691" s="523"/>
      <c r="F691" s="523"/>
      <c r="G691" s="523"/>
      <c r="H691" s="523"/>
      <c r="I691" s="523"/>
      <c r="J691" s="523"/>
      <c r="K691" s="538"/>
      <c r="L691" s="539"/>
      <c r="M691" s="523"/>
      <c r="N691" s="523"/>
      <c r="O691" s="523"/>
      <c r="P691" s="1789"/>
      <c r="Q691" s="523"/>
      <c r="R691" s="523"/>
      <c r="S691" s="523"/>
      <c r="T691" s="523"/>
      <c r="U691" s="523"/>
      <c r="V691" s="523"/>
      <c r="W691" s="523"/>
      <c r="X691" s="523"/>
      <c r="Y691" s="523"/>
      <c r="Z691" s="523"/>
      <c r="AA691" s="523"/>
      <c r="AB691" s="523"/>
      <c r="AC691" s="523"/>
    </row>
    <row r="692" spans="1:29">
      <c r="A692" s="523"/>
      <c r="B692" s="523"/>
      <c r="C692" s="523"/>
      <c r="D692" s="523"/>
      <c r="E692" s="523"/>
      <c r="F692" s="523"/>
      <c r="G692" s="523"/>
      <c r="H692" s="523"/>
      <c r="I692" s="523"/>
      <c r="J692" s="523"/>
      <c r="K692" s="538"/>
      <c r="L692" s="539"/>
      <c r="M692" s="523"/>
      <c r="N692" s="523"/>
      <c r="O692" s="523"/>
      <c r="P692" s="1789"/>
      <c r="Q692" s="523"/>
      <c r="R692" s="523"/>
      <c r="S692" s="523"/>
      <c r="T692" s="523"/>
      <c r="U692" s="523"/>
      <c r="V692" s="523"/>
      <c r="W692" s="523"/>
      <c r="X692" s="523"/>
      <c r="Y692" s="523"/>
      <c r="Z692" s="523"/>
      <c r="AA692" s="523"/>
      <c r="AB692" s="523"/>
      <c r="AC692" s="523"/>
    </row>
    <row r="693" spans="1:29">
      <c r="A693" s="523"/>
      <c r="B693" s="523"/>
      <c r="C693" s="523"/>
      <c r="D693" s="523"/>
      <c r="E693" s="523"/>
      <c r="F693" s="523"/>
      <c r="G693" s="523"/>
      <c r="H693" s="523"/>
      <c r="I693" s="523"/>
      <c r="J693" s="523"/>
      <c r="K693" s="538"/>
      <c r="L693" s="539"/>
      <c r="M693" s="523"/>
      <c r="N693" s="523"/>
      <c r="O693" s="523"/>
      <c r="P693" s="1789"/>
      <c r="Q693" s="523"/>
      <c r="R693" s="523"/>
      <c r="S693" s="523"/>
      <c r="T693" s="523"/>
      <c r="U693" s="523"/>
      <c r="V693" s="523"/>
      <c r="W693" s="523"/>
      <c r="X693" s="523"/>
      <c r="Y693" s="523"/>
      <c r="Z693" s="523"/>
      <c r="AA693" s="523"/>
      <c r="AB693" s="523"/>
      <c r="AC693" s="523"/>
    </row>
    <row r="694" spans="1:29">
      <c r="A694" s="523"/>
      <c r="B694" s="523"/>
      <c r="C694" s="523"/>
      <c r="D694" s="523"/>
      <c r="E694" s="523"/>
      <c r="F694" s="523"/>
      <c r="G694" s="523"/>
      <c r="H694" s="523"/>
      <c r="I694" s="523"/>
      <c r="J694" s="523"/>
      <c r="K694" s="538"/>
      <c r="L694" s="539"/>
      <c r="M694" s="523"/>
      <c r="N694" s="523"/>
      <c r="O694" s="523"/>
      <c r="P694" s="1789"/>
      <c r="Q694" s="523"/>
      <c r="R694" s="523"/>
      <c r="S694" s="523"/>
      <c r="T694" s="523"/>
      <c r="U694" s="523"/>
      <c r="V694" s="523"/>
      <c r="W694" s="523"/>
      <c r="X694" s="523"/>
      <c r="Y694" s="523"/>
      <c r="Z694" s="523"/>
      <c r="AA694" s="523"/>
      <c r="AB694" s="523"/>
      <c r="AC694" s="523"/>
    </row>
    <row r="695" spans="1:29">
      <c r="A695" s="523"/>
      <c r="B695" s="523"/>
      <c r="C695" s="523"/>
      <c r="D695" s="523"/>
      <c r="E695" s="523"/>
      <c r="F695" s="523"/>
      <c r="G695" s="523"/>
      <c r="H695" s="523"/>
      <c r="I695" s="523"/>
      <c r="J695" s="523"/>
      <c r="K695" s="538"/>
      <c r="L695" s="539"/>
      <c r="M695" s="523"/>
      <c r="N695" s="523"/>
      <c r="O695" s="523"/>
      <c r="P695" s="1789"/>
      <c r="Q695" s="523"/>
      <c r="R695" s="523"/>
      <c r="S695" s="523"/>
      <c r="T695" s="523"/>
      <c r="U695" s="523"/>
      <c r="V695" s="523"/>
      <c r="W695" s="523"/>
      <c r="X695" s="523"/>
      <c r="Y695" s="523"/>
      <c r="Z695" s="523"/>
      <c r="AA695" s="523"/>
      <c r="AB695" s="523"/>
      <c r="AC695" s="523"/>
    </row>
    <row r="696" spans="1:29">
      <c r="A696" s="523"/>
      <c r="B696" s="523"/>
      <c r="C696" s="523"/>
      <c r="D696" s="523"/>
      <c r="E696" s="523"/>
      <c r="F696" s="523"/>
      <c r="G696" s="523"/>
      <c r="H696" s="523"/>
      <c r="I696" s="523"/>
      <c r="J696" s="523"/>
      <c r="K696" s="538"/>
      <c r="L696" s="539"/>
      <c r="M696" s="523"/>
      <c r="N696" s="523"/>
      <c r="O696" s="523"/>
      <c r="P696" s="1789"/>
      <c r="Q696" s="523"/>
      <c r="R696" s="523"/>
      <c r="S696" s="523"/>
      <c r="T696" s="523"/>
      <c r="U696" s="523"/>
      <c r="V696" s="523"/>
      <c r="W696" s="523"/>
      <c r="X696" s="523"/>
      <c r="Y696" s="523"/>
      <c r="Z696" s="523"/>
      <c r="AA696" s="523"/>
      <c r="AB696" s="523"/>
      <c r="AC696" s="523"/>
    </row>
    <row r="697" spans="1:29">
      <c r="A697" s="523"/>
      <c r="B697" s="523"/>
      <c r="C697" s="523"/>
      <c r="D697" s="523"/>
      <c r="E697" s="523"/>
      <c r="F697" s="523"/>
      <c r="G697" s="523"/>
      <c r="H697" s="523"/>
      <c r="I697" s="523"/>
      <c r="J697" s="523"/>
      <c r="K697" s="538"/>
      <c r="L697" s="539"/>
      <c r="M697" s="523"/>
      <c r="N697" s="523"/>
      <c r="O697" s="523"/>
      <c r="P697" s="1789"/>
      <c r="Q697" s="523"/>
      <c r="R697" s="523"/>
      <c r="S697" s="523"/>
      <c r="T697" s="523"/>
      <c r="U697" s="523"/>
      <c r="V697" s="523"/>
      <c r="W697" s="523"/>
      <c r="X697" s="523"/>
      <c r="Y697" s="523"/>
      <c r="Z697" s="523"/>
      <c r="AA697" s="523"/>
      <c r="AB697" s="523"/>
      <c r="AC697" s="523"/>
    </row>
    <row r="698" spans="1:29">
      <c r="A698" s="523"/>
      <c r="B698" s="523"/>
      <c r="C698" s="523"/>
      <c r="D698" s="523"/>
      <c r="E698" s="523"/>
      <c r="F698" s="523"/>
      <c r="G698" s="523"/>
      <c r="H698" s="523"/>
      <c r="I698" s="523"/>
      <c r="J698" s="523"/>
      <c r="K698" s="538"/>
      <c r="L698" s="539"/>
      <c r="M698" s="523"/>
      <c r="N698" s="523"/>
      <c r="O698" s="523"/>
      <c r="P698" s="1789"/>
      <c r="Q698" s="523"/>
      <c r="R698" s="523"/>
      <c r="S698" s="523"/>
      <c r="T698" s="523"/>
      <c r="U698" s="523"/>
      <c r="V698" s="523"/>
      <c r="W698" s="523"/>
      <c r="X698" s="523"/>
      <c r="Y698" s="523"/>
      <c r="Z698" s="523"/>
      <c r="AA698" s="523"/>
      <c r="AB698" s="523"/>
      <c r="AC698" s="523"/>
    </row>
    <row r="699" spans="1:29">
      <c r="A699" s="523"/>
      <c r="B699" s="523"/>
      <c r="C699" s="523"/>
      <c r="D699" s="523"/>
      <c r="E699" s="523"/>
      <c r="F699" s="523"/>
      <c r="G699" s="523"/>
      <c r="H699" s="523"/>
      <c r="I699" s="523"/>
      <c r="J699" s="523"/>
      <c r="K699" s="538"/>
      <c r="L699" s="539"/>
      <c r="M699" s="523"/>
      <c r="N699" s="523"/>
      <c r="O699" s="523"/>
      <c r="P699" s="1789"/>
      <c r="Q699" s="523"/>
      <c r="R699" s="523"/>
      <c r="S699" s="523"/>
      <c r="T699" s="523"/>
      <c r="U699" s="523"/>
      <c r="V699" s="523"/>
      <c r="W699" s="523"/>
      <c r="X699" s="523"/>
      <c r="Y699" s="523"/>
      <c r="Z699" s="523"/>
      <c r="AA699" s="523"/>
      <c r="AB699" s="523"/>
      <c r="AC699" s="523"/>
    </row>
    <row r="700" spans="1:29">
      <c r="A700" s="523"/>
      <c r="B700" s="523"/>
      <c r="C700" s="523"/>
      <c r="D700" s="523"/>
      <c r="E700" s="523"/>
      <c r="F700" s="523"/>
      <c r="G700" s="523"/>
      <c r="H700" s="523"/>
      <c r="I700" s="523"/>
      <c r="J700" s="523"/>
      <c r="K700" s="538"/>
      <c r="L700" s="539"/>
      <c r="M700" s="523"/>
      <c r="N700" s="523"/>
      <c r="O700" s="523"/>
      <c r="P700" s="1789"/>
      <c r="Q700" s="523"/>
      <c r="R700" s="523"/>
      <c r="S700" s="523"/>
      <c r="T700" s="523"/>
      <c r="U700" s="523"/>
      <c r="V700" s="523"/>
      <c r="W700" s="523"/>
      <c r="X700" s="523"/>
      <c r="Y700" s="523"/>
      <c r="Z700" s="523"/>
      <c r="AA700" s="523"/>
      <c r="AB700" s="523"/>
      <c r="AC700" s="523"/>
    </row>
    <row r="701" spans="1:29">
      <c r="A701" s="523"/>
      <c r="B701" s="523"/>
      <c r="C701" s="523"/>
      <c r="D701" s="523"/>
      <c r="E701" s="523"/>
      <c r="F701" s="523"/>
      <c r="G701" s="523"/>
      <c r="H701" s="523"/>
      <c r="I701" s="523"/>
      <c r="J701" s="523"/>
      <c r="K701" s="538"/>
      <c r="L701" s="539"/>
      <c r="M701" s="523"/>
      <c r="N701" s="523"/>
      <c r="O701" s="523"/>
      <c r="P701" s="1789"/>
      <c r="Q701" s="523"/>
      <c r="R701" s="523"/>
      <c r="S701" s="523"/>
      <c r="T701" s="523"/>
      <c r="U701" s="523"/>
      <c r="V701" s="523"/>
      <c r="W701" s="523"/>
      <c r="X701" s="523"/>
      <c r="Y701" s="523"/>
      <c r="Z701" s="523"/>
      <c r="AA701" s="523"/>
      <c r="AB701" s="523"/>
      <c r="AC701" s="523"/>
    </row>
    <row r="702" spans="1:29">
      <c r="A702" s="523"/>
      <c r="B702" s="523"/>
      <c r="C702" s="523"/>
      <c r="D702" s="523"/>
      <c r="E702" s="523"/>
      <c r="F702" s="523"/>
      <c r="G702" s="523"/>
      <c r="H702" s="523"/>
      <c r="I702" s="523"/>
      <c r="J702" s="523"/>
      <c r="K702" s="538"/>
      <c r="L702" s="539"/>
      <c r="M702" s="523"/>
      <c r="N702" s="523"/>
      <c r="O702" s="523"/>
      <c r="P702" s="1789"/>
      <c r="Q702" s="523"/>
      <c r="R702" s="523"/>
      <c r="S702" s="523"/>
      <c r="T702" s="523"/>
      <c r="U702" s="523"/>
      <c r="V702" s="523"/>
      <c r="W702" s="523"/>
      <c r="X702" s="523"/>
      <c r="Y702" s="523"/>
      <c r="Z702" s="523"/>
      <c r="AA702" s="523"/>
      <c r="AB702" s="523"/>
      <c r="AC702" s="523"/>
    </row>
    <row r="703" spans="1:29">
      <c r="A703" s="523"/>
      <c r="B703" s="523"/>
      <c r="C703" s="523"/>
      <c r="D703" s="523"/>
      <c r="E703" s="523"/>
      <c r="F703" s="523"/>
      <c r="G703" s="523"/>
      <c r="H703" s="523"/>
      <c r="I703" s="523"/>
      <c r="J703" s="523"/>
      <c r="K703" s="538"/>
      <c r="L703" s="539"/>
      <c r="M703" s="523"/>
      <c r="N703" s="523"/>
      <c r="O703" s="523"/>
      <c r="P703" s="1789"/>
      <c r="Q703" s="523"/>
      <c r="R703" s="523"/>
      <c r="S703" s="523"/>
      <c r="T703" s="523"/>
      <c r="U703" s="523"/>
      <c r="V703" s="523"/>
      <c r="W703" s="523"/>
      <c r="X703" s="523"/>
      <c r="Y703" s="523"/>
      <c r="Z703" s="523"/>
      <c r="AA703" s="523"/>
      <c r="AB703" s="523"/>
      <c r="AC703" s="523"/>
    </row>
    <row r="704" spans="1:29">
      <c r="A704" s="523"/>
      <c r="B704" s="523"/>
      <c r="C704" s="523"/>
      <c r="D704" s="523"/>
      <c r="E704" s="523"/>
      <c r="F704" s="523"/>
      <c r="G704" s="523"/>
      <c r="H704" s="523"/>
      <c r="I704" s="523"/>
      <c r="J704" s="523"/>
      <c r="K704" s="538"/>
      <c r="L704" s="539"/>
      <c r="M704" s="523"/>
      <c r="N704" s="523"/>
      <c r="O704" s="523"/>
      <c r="P704" s="1789"/>
      <c r="Q704" s="523"/>
      <c r="R704" s="523"/>
      <c r="S704" s="523"/>
      <c r="T704" s="523"/>
      <c r="U704" s="523"/>
      <c r="V704" s="523"/>
      <c r="W704" s="523"/>
      <c r="X704" s="523"/>
      <c r="Y704" s="523"/>
      <c r="Z704" s="523"/>
      <c r="AA704" s="523"/>
      <c r="AB704" s="523"/>
      <c r="AC704" s="523"/>
    </row>
    <row r="705" spans="1:29">
      <c r="A705" s="523"/>
      <c r="B705" s="523"/>
      <c r="C705" s="523"/>
      <c r="D705" s="523"/>
      <c r="E705" s="523"/>
      <c r="F705" s="523"/>
      <c r="G705" s="523"/>
      <c r="H705" s="523"/>
      <c r="I705" s="523"/>
      <c r="J705" s="523"/>
      <c r="K705" s="538"/>
      <c r="L705" s="539"/>
      <c r="M705" s="523"/>
      <c r="N705" s="523"/>
      <c r="O705" s="523"/>
      <c r="P705" s="1789"/>
      <c r="Q705" s="523"/>
      <c r="R705" s="523"/>
      <c r="S705" s="523"/>
      <c r="T705" s="523"/>
      <c r="U705" s="523"/>
      <c r="V705" s="523"/>
      <c r="W705" s="523"/>
      <c r="X705" s="523"/>
      <c r="Y705" s="523"/>
      <c r="Z705" s="523"/>
      <c r="AA705" s="523"/>
      <c r="AB705" s="523"/>
      <c r="AC705" s="523"/>
    </row>
    <row r="706" spans="1:29">
      <c r="A706" s="523"/>
      <c r="B706" s="523"/>
      <c r="C706" s="523"/>
      <c r="D706" s="523"/>
      <c r="E706" s="523"/>
      <c r="F706" s="523"/>
      <c r="G706" s="523"/>
      <c r="H706" s="523"/>
      <c r="I706" s="523"/>
      <c r="J706" s="523"/>
      <c r="K706" s="538"/>
      <c r="L706" s="539"/>
      <c r="M706" s="523"/>
      <c r="N706" s="523"/>
      <c r="O706" s="523"/>
      <c r="P706" s="1789"/>
      <c r="Q706" s="523"/>
      <c r="R706" s="523"/>
      <c r="S706" s="523"/>
      <c r="T706" s="523"/>
      <c r="U706" s="523"/>
      <c r="V706" s="523"/>
      <c r="W706" s="523"/>
      <c r="X706" s="523"/>
      <c r="Y706" s="523"/>
      <c r="Z706" s="523"/>
      <c r="AA706" s="523"/>
      <c r="AB706" s="523"/>
      <c r="AC706" s="523"/>
    </row>
    <row r="707" spans="1:29">
      <c r="A707" s="523"/>
      <c r="B707" s="523"/>
      <c r="C707" s="523"/>
      <c r="D707" s="523"/>
      <c r="E707" s="523"/>
      <c r="F707" s="523"/>
      <c r="G707" s="523"/>
      <c r="H707" s="523"/>
      <c r="I707" s="523"/>
      <c r="J707" s="523"/>
      <c r="K707" s="538"/>
      <c r="L707" s="539"/>
      <c r="M707" s="523"/>
      <c r="N707" s="523"/>
      <c r="O707" s="523"/>
      <c r="P707" s="1789"/>
      <c r="Q707" s="523"/>
      <c r="R707" s="523"/>
      <c r="S707" s="523"/>
      <c r="T707" s="523"/>
      <c r="U707" s="523"/>
      <c r="V707" s="523"/>
      <c r="W707" s="523"/>
      <c r="X707" s="523"/>
      <c r="Y707" s="523"/>
      <c r="Z707" s="523"/>
      <c r="AA707" s="523"/>
      <c r="AB707" s="523"/>
      <c r="AC707" s="523"/>
    </row>
    <row r="708" spans="1:29">
      <c r="A708" s="523"/>
      <c r="B708" s="523"/>
      <c r="C708" s="523"/>
      <c r="D708" s="523"/>
      <c r="E708" s="523"/>
      <c r="F708" s="523"/>
      <c r="G708" s="523"/>
      <c r="H708" s="523"/>
      <c r="I708" s="523"/>
      <c r="J708" s="523"/>
      <c r="K708" s="538"/>
      <c r="L708" s="539"/>
      <c r="M708" s="523"/>
      <c r="N708" s="523"/>
      <c r="O708" s="523"/>
      <c r="P708" s="1789"/>
      <c r="Q708" s="523"/>
      <c r="R708" s="523"/>
      <c r="S708" s="523"/>
      <c r="T708" s="523"/>
      <c r="U708" s="523"/>
      <c r="V708" s="523"/>
      <c r="W708" s="523"/>
      <c r="X708" s="523"/>
      <c r="Y708" s="523"/>
      <c r="Z708" s="523"/>
      <c r="AA708" s="523"/>
      <c r="AB708" s="523"/>
      <c r="AC708" s="523"/>
    </row>
    <row r="709" spans="1:29">
      <c r="A709" s="523"/>
      <c r="B709" s="523"/>
      <c r="C709" s="523"/>
      <c r="D709" s="523"/>
      <c r="E709" s="523"/>
      <c r="F709" s="523"/>
      <c r="G709" s="523"/>
      <c r="H709" s="523"/>
      <c r="I709" s="523"/>
      <c r="J709" s="523"/>
      <c r="K709" s="538"/>
      <c r="L709" s="539"/>
      <c r="M709" s="523"/>
      <c r="N709" s="523"/>
      <c r="O709" s="523"/>
      <c r="P709" s="1789"/>
      <c r="Q709" s="523"/>
      <c r="R709" s="523"/>
      <c r="S709" s="523"/>
      <c r="T709" s="523"/>
      <c r="U709" s="523"/>
      <c r="V709" s="523"/>
      <c r="W709" s="523"/>
      <c r="X709" s="523"/>
      <c r="Y709" s="523"/>
      <c r="Z709" s="523"/>
      <c r="AA709" s="523"/>
      <c r="AB709" s="523"/>
      <c r="AC709" s="523"/>
    </row>
    <row r="710" spans="1:29">
      <c r="A710" s="523"/>
      <c r="B710" s="523"/>
      <c r="C710" s="523"/>
      <c r="D710" s="523"/>
      <c r="E710" s="523"/>
      <c r="F710" s="523"/>
      <c r="G710" s="523"/>
      <c r="H710" s="523"/>
      <c r="I710" s="523"/>
      <c r="J710" s="523"/>
      <c r="K710" s="538"/>
      <c r="L710" s="539"/>
      <c r="M710" s="523"/>
      <c r="N710" s="523"/>
      <c r="O710" s="523"/>
      <c r="P710" s="1789"/>
      <c r="Q710" s="523"/>
      <c r="R710" s="523"/>
      <c r="S710" s="523"/>
      <c r="T710" s="523"/>
      <c r="U710" s="523"/>
      <c r="V710" s="523"/>
      <c r="W710" s="523"/>
      <c r="X710" s="523"/>
      <c r="Y710" s="523"/>
      <c r="Z710" s="523"/>
      <c r="AA710" s="523"/>
      <c r="AB710" s="523"/>
      <c r="AC710" s="523"/>
    </row>
    <row r="711" spans="1:29">
      <c r="A711" s="523"/>
      <c r="B711" s="523"/>
      <c r="C711" s="523"/>
      <c r="D711" s="523"/>
      <c r="E711" s="523"/>
      <c r="F711" s="523"/>
      <c r="G711" s="523"/>
      <c r="H711" s="523"/>
      <c r="I711" s="523"/>
      <c r="J711" s="523"/>
      <c r="K711" s="538"/>
      <c r="L711" s="539"/>
      <c r="M711" s="523"/>
      <c r="N711" s="523"/>
      <c r="O711" s="523"/>
      <c r="P711" s="1789"/>
      <c r="Q711" s="523"/>
      <c r="R711" s="523"/>
      <c r="S711" s="523"/>
      <c r="T711" s="523"/>
      <c r="U711" s="523"/>
      <c r="V711" s="523"/>
      <c r="W711" s="523"/>
      <c r="X711" s="523"/>
      <c r="Y711" s="523"/>
      <c r="Z711" s="523"/>
      <c r="AA711" s="523"/>
      <c r="AB711" s="523"/>
      <c r="AC711" s="523"/>
    </row>
    <row r="712" spans="1:29">
      <c r="A712" s="523"/>
      <c r="B712" s="523"/>
      <c r="C712" s="523"/>
      <c r="D712" s="523"/>
      <c r="E712" s="523"/>
      <c r="F712" s="523"/>
      <c r="G712" s="523"/>
      <c r="H712" s="523"/>
      <c r="I712" s="523"/>
      <c r="J712" s="523"/>
      <c r="K712" s="538"/>
      <c r="L712" s="539"/>
      <c r="M712" s="523"/>
      <c r="N712" s="523"/>
      <c r="O712" s="523"/>
      <c r="P712" s="1789"/>
      <c r="Q712" s="523"/>
      <c r="R712" s="523"/>
      <c r="S712" s="523"/>
      <c r="T712" s="523"/>
      <c r="U712" s="523"/>
      <c r="V712" s="523"/>
      <c r="W712" s="523"/>
      <c r="X712" s="523"/>
      <c r="Y712" s="523"/>
      <c r="Z712" s="523"/>
      <c r="AA712" s="523"/>
      <c r="AB712" s="523"/>
      <c r="AC712" s="523"/>
    </row>
    <row r="713" spans="1:29">
      <c r="A713" s="523"/>
      <c r="B713" s="523"/>
      <c r="C713" s="523"/>
      <c r="D713" s="523"/>
      <c r="E713" s="523"/>
      <c r="F713" s="523"/>
      <c r="G713" s="523"/>
      <c r="H713" s="523"/>
      <c r="I713" s="523"/>
      <c r="J713" s="523"/>
      <c r="K713" s="538"/>
      <c r="L713" s="539"/>
      <c r="M713" s="523"/>
      <c r="N713" s="523"/>
      <c r="O713" s="523"/>
      <c r="P713" s="1789"/>
      <c r="Q713" s="523"/>
      <c r="R713" s="523"/>
      <c r="S713" s="523"/>
      <c r="T713" s="523"/>
      <c r="U713" s="523"/>
      <c r="V713" s="523"/>
      <c r="W713" s="523"/>
      <c r="X713" s="523"/>
      <c r="Y713" s="523"/>
      <c r="Z713" s="523"/>
      <c r="AA713" s="523"/>
      <c r="AB713" s="523"/>
      <c r="AC713" s="523"/>
    </row>
    <row r="714" spans="1:29">
      <c r="A714" s="523"/>
      <c r="B714" s="523"/>
      <c r="C714" s="523"/>
      <c r="D714" s="523"/>
      <c r="E714" s="523"/>
      <c r="F714" s="523"/>
      <c r="G714" s="523"/>
      <c r="H714" s="523"/>
      <c r="I714" s="523"/>
      <c r="J714" s="523"/>
      <c r="K714" s="538"/>
      <c r="L714" s="539"/>
      <c r="M714" s="523"/>
      <c r="N714" s="523"/>
      <c r="O714" s="523"/>
      <c r="P714" s="1789"/>
      <c r="Q714" s="523"/>
      <c r="R714" s="523"/>
      <c r="S714" s="523"/>
      <c r="T714" s="523"/>
      <c r="U714" s="523"/>
      <c r="V714" s="523"/>
      <c r="W714" s="523"/>
      <c r="X714" s="523"/>
      <c r="Y714" s="523"/>
      <c r="Z714" s="523"/>
      <c r="AA714" s="523"/>
      <c r="AB714" s="523"/>
      <c r="AC714" s="523"/>
    </row>
    <row r="715" spans="1:29">
      <c r="A715" s="523"/>
      <c r="B715" s="523"/>
      <c r="C715" s="523"/>
      <c r="D715" s="523"/>
      <c r="E715" s="523"/>
      <c r="F715" s="523"/>
      <c r="G715" s="523"/>
      <c r="H715" s="523"/>
      <c r="I715" s="523"/>
      <c r="J715" s="523"/>
      <c r="K715" s="538"/>
      <c r="L715" s="539"/>
      <c r="M715" s="523"/>
      <c r="N715" s="523"/>
      <c r="O715" s="523"/>
      <c r="P715" s="1789"/>
      <c r="Q715" s="523"/>
      <c r="R715" s="523"/>
      <c r="S715" s="523"/>
      <c r="T715" s="523"/>
      <c r="U715" s="523"/>
      <c r="V715" s="523"/>
      <c r="W715" s="523"/>
      <c r="X715" s="523"/>
      <c r="Y715" s="523"/>
      <c r="Z715" s="523"/>
      <c r="AA715" s="523"/>
      <c r="AB715" s="523"/>
      <c r="AC715" s="523"/>
    </row>
    <row r="716" spans="1:29">
      <c r="A716" s="523"/>
      <c r="B716" s="523"/>
      <c r="C716" s="523"/>
      <c r="D716" s="523"/>
      <c r="E716" s="523"/>
      <c r="F716" s="523"/>
      <c r="G716" s="523"/>
      <c r="H716" s="523"/>
      <c r="I716" s="523"/>
      <c r="J716" s="523"/>
      <c r="K716" s="538"/>
      <c r="L716" s="539"/>
      <c r="M716" s="523"/>
      <c r="N716" s="523"/>
      <c r="O716" s="523"/>
      <c r="P716" s="1789"/>
      <c r="Q716" s="523"/>
      <c r="R716" s="523"/>
      <c r="S716" s="523"/>
      <c r="T716" s="523"/>
      <c r="U716" s="523"/>
      <c r="V716" s="523"/>
      <c r="W716" s="523"/>
      <c r="X716" s="523"/>
      <c r="Y716" s="523"/>
      <c r="Z716" s="523"/>
      <c r="AA716" s="523"/>
      <c r="AB716" s="523"/>
      <c r="AC716" s="523"/>
    </row>
    <row r="717" spans="1:29">
      <c r="A717" s="523"/>
      <c r="B717" s="523"/>
      <c r="C717" s="523"/>
      <c r="D717" s="523"/>
      <c r="E717" s="523"/>
      <c r="F717" s="523"/>
      <c r="G717" s="523"/>
      <c r="H717" s="523"/>
      <c r="I717" s="523"/>
      <c r="J717" s="523"/>
      <c r="K717" s="538"/>
      <c r="L717" s="539"/>
      <c r="M717" s="523"/>
      <c r="N717" s="523"/>
      <c r="O717" s="523"/>
      <c r="P717" s="1789"/>
      <c r="Q717" s="523"/>
      <c r="R717" s="523"/>
      <c r="S717" s="523"/>
      <c r="T717" s="523"/>
      <c r="U717" s="523"/>
      <c r="V717" s="523"/>
      <c r="W717" s="523"/>
      <c r="X717" s="523"/>
      <c r="Y717" s="523"/>
      <c r="Z717" s="523"/>
      <c r="AA717" s="523"/>
      <c r="AB717" s="523"/>
      <c r="AC717" s="523"/>
    </row>
    <row r="718" spans="1:29">
      <c r="A718" s="523"/>
      <c r="B718" s="523"/>
      <c r="C718" s="523"/>
      <c r="D718" s="523"/>
      <c r="E718" s="523"/>
      <c r="F718" s="523"/>
      <c r="G718" s="523"/>
      <c r="H718" s="523"/>
      <c r="I718" s="523"/>
      <c r="J718" s="523"/>
      <c r="K718" s="538"/>
      <c r="L718" s="539"/>
      <c r="M718" s="523"/>
      <c r="N718" s="523"/>
      <c r="O718" s="523"/>
      <c r="P718" s="1789"/>
      <c r="Q718" s="523"/>
      <c r="R718" s="523"/>
      <c r="S718" s="523"/>
      <c r="T718" s="523"/>
      <c r="U718" s="523"/>
      <c r="V718" s="523"/>
      <c r="W718" s="523"/>
      <c r="X718" s="523"/>
      <c r="Y718" s="523"/>
      <c r="Z718" s="523"/>
      <c r="AA718" s="523"/>
      <c r="AB718" s="523"/>
      <c r="AC718" s="523"/>
    </row>
    <row r="719" spans="1:29">
      <c r="A719" s="523"/>
      <c r="B719" s="523"/>
      <c r="C719" s="523"/>
      <c r="D719" s="523"/>
      <c r="E719" s="523"/>
      <c r="F719" s="523"/>
      <c r="G719" s="523"/>
      <c r="H719" s="523"/>
      <c r="I719" s="523"/>
      <c r="J719" s="523"/>
      <c r="K719" s="538"/>
      <c r="L719" s="539"/>
      <c r="M719" s="523"/>
      <c r="N719" s="523"/>
      <c r="O719" s="523"/>
      <c r="P719" s="1789"/>
      <c r="Q719" s="523"/>
      <c r="R719" s="523"/>
      <c r="S719" s="523"/>
      <c r="T719" s="523"/>
      <c r="U719" s="523"/>
      <c r="V719" s="523"/>
      <c r="W719" s="523"/>
      <c r="X719" s="523"/>
      <c r="Y719" s="523"/>
      <c r="Z719" s="523"/>
      <c r="AA719" s="523"/>
      <c r="AB719" s="523"/>
      <c r="AC719" s="523"/>
    </row>
    <row r="720" spans="1:29">
      <c r="A720" s="523"/>
      <c r="B720" s="523"/>
      <c r="C720" s="523"/>
      <c r="D720" s="523"/>
      <c r="E720" s="523"/>
      <c r="F720" s="523"/>
      <c r="G720" s="523"/>
      <c r="H720" s="523"/>
      <c r="I720" s="523"/>
      <c r="J720" s="523"/>
      <c r="K720" s="538"/>
      <c r="L720" s="539"/>
      <c r="M720" s="523"/>
      <c r="N720" s="523"/>
      <c r="O720" s="523"/>
      <c r="P720" s="1789"/>
      <c r="Q720" s="523"/>
      <c r="R720" s="523"/>
      <c r="S720" s="523"/>
      <c r="T720" s="523"/>
      <c r="U720" s="523"/>
      <c r="V720" s="523"/>
      <c r="W720" s="523"/>
      <c r="X720" s="523"/>
      <c r="Y720" s="523"/>
      <c r="Z720" s="523"/>
      <c r="AA720" s="523"/>
      <c r="AB720" s="523"/>
      <c r="AC720" s="523"/>
    </row>
    <row r="721" spans="1:29">
      <c r="A721" s="523"/>
      <c r="B721" s="523"/>
      <c r="C721" s="523"/>
      <c r="D721" s="523"/>
      <c r="E721" s="523"/>
      <c r="F721" s="523"/>
      <c r="G721" s="523"/>
      <c r="H721" s="523"/>
      <c r="I721" s="523"/>
      <c r="J721" s="523"/>
      <c r="K721" s="538"/>
      <c r="L721" s="539"/>
      <c r="M721" s="523"/>
      <c r="N721" s="523"/>
      <c r="O721" s="523"/>
      <c r="P721" s="1789"/>
      <c r="Q721" s="523"/>
      <c r="R721" s="523"/>
      <c r="S721" s="523"/>
      <c r="T721" s="523"/>
      <c r="U721" s="523"/>
      <c r="V721" s="523"/>
      <c r="W721" s="523"/>
      <c r="X721" s="523"/>
      <c r="Y721" s="523"/>
      <c r="Z721" s="523"/>
      <c r="AA721" s="523"/>
      <c r="AB721" s="523"/>
      <c r="AC721" s="523"/>
    </row>
    <row r="722" spans="1:29">
      <c r="A722" s="523"/>
      <c r="B722" s="523"/>
      <c r="C722" s="523"/>
      <c r="D722" s="523"/>
      <c r="E722" s="523"/>
      <c r="F722" s="523"/>
      <c r="G722" s="523"/>
      <c r="H722" s="523"/>
      <c r="I722" s="523"/>
      <c r="J722" s="523"/>
      <c r="K722" s="538"/>
      <c r="L722" s="539"/>
      <c r="M722" s="523"/>
      <c r="N722" s="523"/>
      <c r="O722" s="523"/>
      <c r="P722" s="1789"/>
      <c r="Q722" s="523"/>
      <c r="R722" s="523"/>
      <c r="S722" s="523"/>
      <c r="T722" s="523"/>
      <c r="U722" s="523"/>
      <c r="V722" s="523"/>
      <c r="W722" s="523"/>
      <c r="X722" s="523"/>
      <c r="Y722" s="523"/>
      <c r="Z722" s="523"/>
      <c r="AA722" s="523"/>
      <c r="AB722" s="523"/>
      <c r="AC722" s="523"/>
    </row>
    <row r="723" spans="1:29">
      <c r="A723" s="523"/>
      <c r="B723" s="523"/>
      <c r="C723" s="523"/>
      <c r="D723" s="523"/>
      <c r="E723" s="523"/>
      <c r="F723" s="523"/>
      <c r="G723" s="523"/>
      <c r="H723" s="523"/>
      <c r="I723" s="523"/>
      <c r="J723" s="523"/>
      <c r="K723" s="538"/>
      <c r="L723" s="539"/>
      <c r="M723" s="523"/>
      <c r="N723" s="523"/>
      <c r="O723" s="523"/>
      <c r="P723" s="1789"/>
      <c r="Q723" s="523"/>
      <c r="R723" s="523"/>
      <c r="S723" s="523"/>
      <c r="T723" s="523"/>
      <c r="U723" s="523"/>
      <c r="V723" s="523"/>
      <c r="W723" s="523"/>
      <c r="X723" s="523"/>
      <c r="Y723" s="523"/>
      <c r="Z723" s="523"/>
      <c r="AA723" s="523"/>
      <c r="AB723" s="523"/>
      <c r="AC723" s="523"/>
    </row>
    <row r="724" spans="1:29">
      <c r="A724" s="523"/>
      <c r="B724" s="523"/>
      <c r="C724" s="523"/>
      <c r="D724" s="523"/>
      <c r="E724" s="523"/>
      <c r="F724" s="523"/>
      <c r="G724" s="523"/>
      <c r="H724" s="523"/>
      <c r="I724" s="523"/>
      <c r="J724" s="523"/>
      <c r="K724" s="538"/>
      <c r="L724" s="539"/>
      <c r="M724" s="523"/>
      <c r="N724" s="523"/>
      <c r="O724" s="523"/>
      <c r="P724" s="1789"/>
      <c r="Q724" s="523"/>
      <c r="R724" s="523"/>
      <c r="S724" s="523"/>
      <c r="T724" s="523"/>
      <c r="U724" s="523"/>
      <c r="V724" s="523"/>
      <c r="W724" s="523"/>
      <c r="X724" s="523"/>
      <c r="Y724" s="523"/>
      <c r="Z724" s="523"/>
      <c r="AA724" s="523"/>
      <c r="AB724" s="523"/>
      <c r="AC724" s="523"/>
    </row>
    <row r="725" spans="1:29">
      <c r="A725" s="523"/>
      <c r="B725" s="523"/>
      <c r="C725" s="523"/>
      <c r="D725" s="523"/>
      <c r="E725" s="523"/>
      <c r="F725" s="523"/>
      <c r="G725" s="523"/>
      <c r="H725" s="523"/>
      <c r="I725" s="523"/>
      <c r="J725" s="523"/>
      <c r="K725" s="538"/>
      <c r="L725" s="539"/>
      <c r="M725" s="523"/>
      <c r="N725" s="523"/>
      <c r="O725" s="523"/>
      <c r="P725" s="1789"/>
      <c r="Q725" s="523"/>
      <c r="R725" s="523"/>
      <c r="S725" s="523"/>
      <c r="T725" s="523"/>
      <c r="U725" s="523"/>
      <c r="V725" s="523"/>
      <c r="W725" s="523"/>
      <c r="X725" s="523"/>
      <c r="Y725" s="523"/>
      <c r="Z725" s="523"/>
      <c r="AA725" s="523"/>
      <c r="AB725" s="523"/>
      <c r="AC725" s="523"/>
    </row>
    <row r="726" spans="1:29">
      <c r="A726" s="523"/>
      <c r="B726" s="523"/>
      <c r="C726" s="523"/>
      <c r="D726" s="523"/>
      <c r="E726" s="523"/>
      <c r="F726" s="523"/>
      <c r="G726" s="523"/>
      <c r="H726" s="523"/>
      <c r="I726" s="523"/>
      <c r="J726" s="523"/>
      <c r="K726" s="538"/>
      <c r="L726" s="539"/>
      <c r="M726" s="523"/>
      <c r="N726" s="523"/>
      <c r="O726" s="523"/>
      <c r="P726" s="1789"/>
      <c r="Q726" s="523"/>
      <c r="R726" s="523"/>
      <c r="S726" s="523"/>
      <c r="T726" s="523"/>
      <c r="U726" s="523"/>
      <c r="V726" s="523"/>
      <c r="W726" s="523"/>
      <c r="X726" s="523"/>
      <c r="Y726" s="523"/>
      <c r="Z726" s="523"/>
      <c r="AA726" s="523"/>
      <c r="AB726" s="523"/>
      <c r="AC726" s="523"/>
    </row>
    <row r="727" spans="1:29">
      <c r="A727" s="523"/>
      <c r="B727" s="523"/>
      <c r="C727" s="523"/>
      <c r="D727" s="523"/>
      <c r="E727" s="523"/>
      <c r="F727" s="523"/>
      <c r="G727" s="523"/>
      <c r="H727" s="523"/>
      <c r="I727" s="523"/>
      <c r="J727" s="523"/>
      <c r="K727" s="538"/>
      <c r="L727" s="539"/>
      <c r="M727" s="523"/>
      <c r="N727" s="523"/>
      <c r="O727" s="523"/>
      <c r="P727" s="1789"/>
      <c r="Q727" s="523"/>
      <c r="R727" s="523"/>
      <c r="S727" s="523"/>
      <c r="T727" s="523"/>
      <c r="U727" s="523"/>
      <c r="V727" s="523"/>
      <c r="W727" s="523"/>
      <c r="X727" s="523"/>
      <c r="Y727" s="523"/>
      <c r="Z727" s="523"/>
      <c r="AA727" s="523"/>
      <c r="AB727" s="523"/>
      <c r="AC727" s="523"/>
    </row>
    <row r="728" spans="1:29">
      <c r="A728" s="523"/>
      <c r="B728" s="523"/>
      <c r="C728" s="523"/>
      <c r="D728" s="523"/>
      <c r="E728" s="523"/>
      <c r="F728" s="523"/>
      <c r="G728" s="523"/>
      <c r="H728" s="523"/>
      <c r="I728" s="523"/>
      <c r="J728" s="523"/>
      <c r="K728" s="538"/>
      <c r="L728" s="539"/>
      <c r="M728" s="523"/>
      <c r="N728" s="523"/>
      <c r="O728" s="523"/>
      <c r="P728" s="1789"/>
      <c r="Q728" s="523"/>
      <c r="R728" s="523"/>
      <c r="S728" s="523"/>
      <c r="T728" s="523"/>
      <c r="U728" s="523"/>
      <c r="V728" s="523"/>
      <c r="W728" s="523"/>
      <c r="X728" s="523"/>
      <c r="Y728" s="523"/>
      <c r="Z728" s="523"/>
      <c r="AA728" s="523"/>
      <c r="AB728" s="523"/>
      <c r="AC728" s="523"/>
    </row>
    <row r="729" spans="1:29">
      <c r="A729" s="523"/>
      <c r="B729" s="523"/>
      <c r="C729" s="523"/>
      <c r="D729" s="523"/>
      <c r="E729" s="523"/>
      <c r="F729" s="523"/>
      <c r="G729" s="523"/>
      <c r="H729" s="523"/>
      <c r="I729" s="523"/>
      <c r="J729" s="523"/>
      <c r="K729" s="538"/>
      <c r="L729" s="539"/>
      <c r="M729" s="523"/>
      <c r="N729" s="523"/>
      <c r="O729" s="523"/>
      <c r="P729" s="1789"/>
      <c r="Q729" s="523"/>
      <c r="R729" s="523"/>
      <c r="S729" s="523"/>
      <c r="T729" s="523"/>
      <c r="U729" s="523"/>
      <c r="V729" s="523"/>
      <c r="W729" s="523"/>
      <c r="X729" s="523"/>
      <c r="Y729" s="523"/>
      <c r="Z729" s="523"/>
      <c r="AA729" s="523"/>
      <c r="AB729" s="523"/>
      <c r="AC729" s="523"/>
    </row>
    <row r="730" spans="1:29">
      <c r="A730" s="523"/>
      <c r="B730" s="523"/>
      <c r="C730" s="523"/>
      <c r="D730" s="523"/>
      <c r="E730" s="523"/>
      <c r="F730" s="523"/>
      <c r="G730" s="523"/>
      <c r="H730" s="523"/>
      <c r="I730" s="523"/>
      <c r="J730" s="523"/>
      <c r="K730" s="538"/>
      <c r="L730" s="539"/>
      <c r="M730" s="523"/>
      <c r="N730" s="523"/>
      <c r="O730" s="523"/>
      <c r="P730" s="1789"/>
      <c r="Q730" s="523"/>
      <c r="R730" s="523"/>
      <c r="S730" s="523"/>
      <c r="T730" s="523"/>
      <c r="U730" s="523"/>
      <c r="V730" s="523"/>
      <c r="W730" s="523"/>
      <c r="X730" s="523"/>
      <c r="Y730" s="523"/>
      <c r="Z730" s="523"/>
      <c r="AA730" s="523"/>
      <c r="AB730" s="523"/>
      <c r="AC730" s="523"/>
    </row>
    <row r="731" spans="1:29">
      <c r="A731" s="523"/>
      <c r="B731" s="523"/>
      <c r="C731" s="523"/>
      <c r="D731" s="523"/>
      <c r="E731" s="523"/>
      <c r="F731" s="523"/>
      <c r="G731" s="523"/>
      <c r="H731" s="523"/>
      <c r="I731" s="523"/>
      <c r="J731" s="523"/>
      <c r="K731" s="538"/>
      <c r="L731" s="539"/>
      <c r="M731" s="523"/>
      <c r="N731" s="523"/>
      <c r="O731" s="523"/>
      <c r="P731" s="1789"/>
      <c r="Q731" s="523"/>
      <c r="R731" s="523"/>
      <c r="S731" s="523"/>
      <c r="T731" s="523"/>
      <c r="U731" s="523"/>
      <c r="V731" s="523"/>
      <c r="W731" s="523"/>
      <c r="X731" s="523"/>
      <c r="Y731" s="523"/>
      <c r="Z731" s="523"/>
      <c r="AA731" s="523"/>
      <c r="AB731" s="523"/>
      <c r="AC731" s="523"/>
    </row>
    <row r="732" spans="1:29">
      <c r="A732" s="523"/>
      <c r="B732" s="523"/>
      <c r="C732" s="523"/>
      <c r="D732" s="523"/>
      <c r="E732" s="523"/>
      <c r="F732" s="523"/>
      <c r="G732" s="523"/>
      <c r="H732" s="523"/>
      <c r="I732" s="523"/>
      <c r="J732" s="523"/>
      <c r="K732" s="538"/>
      <c r="L732" s="539"/>
      <c r="M732" s="523"/>
      <c r="N732" s="523"/>
      <c r="O732" s="523"/>
      <c r="P732" s="1789"/>
      <c r="Q732" s="523"/>
      <c r="R732" s="523"/>
      <c r="S732" s="523"/>
      <c r="T732" s="523"/>
      <c r="U732" s="523"/>
      <c r="V732" s="523"/>
      <c r="W732" s="523"/>
      <c r="X732" s="523"/>
      <c r="Y732" s="523"/>
      <c r="Z732" s="523"/>
      <c r="AA732" s="523"/>
      <c r="AB732" s="523"/>
      <c r="AC732" s="523"/>
    </row>
    <row r="733" spans="1:29">
      <c r="A733" s="523"/>
      <c r="B733" s="523"/>
      <c r="C733" s="523"/>
      <c r="D733" s="523"/>
      <c r="E733" s="523"/>
      <c r="F733" s="523"/>
      <c r="G733" s="523"/>
      <c r="H733" s="523"/>
      <c r="I733" s="523"/>
      <c r="J733" s="523"/>
      <c r="K733" s="538"/>
      <c r="L733" s="539"/>
      <c r="M733" s="523"/>
      <c r="N733" s="523"/>
      <c r="O733" s="523"/>
      <c r="P733" s="1789"/>
      <c r="Q733" s="523"/>
      <c r="R733" s="523"/>
      <c r="S733" s="523"/>
      <c r="T733" s="523"/>
      <c r="U733" s="523"/>
      <c r="V733" s="523"/>
      <c r="W733" s="523"/>
      <c r="X733" s="523"/>
      <c r="Y733" s="523"/>
      <c r="Z733" s="523"/>
      <c r="AA733" s="523"/>
      <c r="AB733" s="523"/>
      <c r="AC733" s="523"/>
    </row>
    <row r="734" spans="1:29">
      <c r="A734" s="523"/>
      <c r="B734" s="523"/>
      <c r="C734" s="523"/>
      <c r="D734" s="523"/>
      <c r="E734" s="523"/>
      <c r="F734" s="523"/>
      <c r="G734" s="523"/>
      <c r="H734" s="523"/>
      <c r="I734" s="523"/>
      <c r="J734" s="523"/>
      <c r="K734" s="538"/>
      <c r="L734" s="539"/>
      <c r="M734" s="523"/>
      <c r="N734" s="523"/>
      <c r="O734" s="523"/>
      <c r="P734" s="1789"/>
      <c r="Q734" s="523"/>
      <c r="R734" s="523"/>
      <c r="S734" s="523"/>
      <c r="T734" s="523"/>
      <c r="U734" s="523"/>
      <c r="V734" s="523"/>
      <c r="W734" s="523"/>
      <c r="X734" s="523"/>
      <c r="Y734" s="523"/>
      <c r="Z734" s="523"/>
      <c r="AA734" s="523"/>
      <c r="AB734" s="523"/>
      <c r="AC734" s="523"/>
    </row>
    <row r="735" spans="1:29">
      <c r="A735" s="523"/>
      <c r="B735" s="523"/>
      <c r="C735" s="523"/>
      <c r="D735" s="523"/>
      <c r="E735" s="523"/>
      <c r="F735" s="523"/>
      <c r="G735" s="523"/>
      <c r="H735" s="523"/>
      <c r="I735" s="523"/>
      <c r="J735" s="523"/>
      <c r="K735" s="538"/>
      <c r="L735" s="539"/>
      <c r="M735" s="523"/>
      <c r="N735" s="523"/>
      <c r="O735" s="523"/>
      <c r="P735" s="1789"/>
      <c r="Q735" s="523"/>
      <c r="R735" s="523"/>
      <c r="S735" s="523"/>
      <c r="T735" s="523"/>
      <c r="U735" s="523"/>
      <c r="V735" s="523"/>
      <c r="W735" s="523"/>
      <c r="X735" s="523"/>
      <c r="Y735" s="523"/>
      <c r="Z735" s="523"/>
      <c r="AA735" s="523"/>
      <c r="AB735" s="523"/>
      <c r="AC735" s="523"/>
    </row>
    <row r="736" spans="1:29">
      <c r="A736" s="523"/>
      <c r="B736" s="523"/>
      <c r="C736" s="523"/>
      <c r="D736" s="523"/>
      <c r="E736" s="523"/>
      <c r="F736" s="523"/>
      <c r="G736" s="523"/>
      <c r="H736" s="523"/>
      <c r="I736" s="523"/>
      <c r="J736" s="523"/>
      <c r="K736" s="538"/>
      <c r="L736" s="539"/>
      <c r="M736" s="523"/>
      <c r="N736" s="523"/>
      <c r="O736" s="523"/>
      <c r="P736" s="1789"/>
      <c r="Q736" s="523"/>
      <c r="R736" s="523"/>
      <c r="S736" s="523"/>
      <c r="T736" s="523"/>
      <c r="U736" s="523"/>
      <c r="V736" s="523"/>
      <c r="W736" s="523"/>
      <c r="X736" s="523"/>
      <c r="Y736" s="523"/>
      <c r="Z736" s="523"/>
      <c r="AA736" s="523"/>
      <c r="AB736" s="523"/>
      <c r="AC736" s="523"/>
    </row>
    <row r="737" spans="1:29">
      <c r="A737" s="523"/>
      <c r="B737" s="523"/>
      <c r="C737" s="523"/>
      <c r="D737" s="523"/>
      <c r="E737" s="523"/>
      <c r="F737" s="523"/>
      <c r="G737" s="523"/>
      <c r="H737" s="523"/>
      <c r="I737" s="523"/>
      <c r="J737" s="523"/>
      <c r="K737" s="538"/>
      <c r="L737" s="539"/>
      <c r="M737" s="523"/>
      <c r="N737" s="523"/>
      <c r="O737" s="523"/>
      <c r="P737" s="1789"/>
      <c r="Q737" s="523"/>
      <c r="R737" s="523"/>
      <c r="S737" s="523"/>
      <c r="T737" s="523"/>
      <c r="U737" s="523"/>
      <c r="V737" s="523"/>
      <c r="W737" s="523"/>
      <c r="X737" s="523"/>
      <c r="Y737" s="523"/>
      <c r="Z737" s="523"/>
      <c r="AA737" s="523"/>
      <c r="AB737" s="523"/>
      <c r="AC737" s="523"/>
    </row>
    <row r="738" spans="1:29">
      <c r="A738" s="523"/>
      <c r="B738" s="523"/>
      <c r="C738" s="523"/>
      <c r="D738" s="523"/>
      <c r="E738" s="523"/>
      <c r="F738" s="523"/>
      <c r="G738" s="523"/>
      <c r="H738" s="523"/>
      <c r="I738" s="523"/>
      <c r="J738" s="523"/>
      <c r="K738" s="538"/>
      <c r="L738" s="539"/>
      <c r="M738" s="523"/>
      <c r="N738" s="523"/>
      <c r="O738" s="523"/>
      <c r="P738" s="1789"/>
      <c r="Q738" s="523"/>
      <c r="R738" s="523"/>
      <c r="S738" s="523"/>
      <c r="T738" s="523"/>
      <c r="U738" s="523"/>
      <c r="V738" s="523"/>
      <c r="W738" s="523"/>
      <c r="X738" s="523"/>
      <c r="Y738" s="523"/>
      <c r="Z738" s="523"/>
      <c r="AA738" s="523"/>
      <c r="AB738" s="523"/>
      <c r="AC738" s="523"/>
    </row>
    <row r="739" spans="1:29">
      <c r="A739" s="523"/>
      <c r="B739" s="523"/>
      <c r="C739" s="523"/>
      <c r="D739" s="523"/>
      <c r="E739" s="523"/>
      <c r="F739" s="523"/>
      <c r="G739" s="523"/>
      <c r="H739" s="523"/>
      <c r="I739" s="523"/>
      <c r="J739" s="523"/>
      <c r="K739" s="538"/>
      <c r="L739" s="539"/>
      <c r="M739" s="523"/>
      <c r="N739" s="523"/>
      <c r="O739" s="523"/>
      <c r="P739" s="1789"/>
      <c r="Q739" s="523"/>
      <c r="R739" s="523"/>
      <c r="S739" s="523"/>
      <c r="T739" s="523"/>
      <c r="U739" s="523"/>
      <c r="V739" s="523"/>
      <c r="W739" s="523"/>
      <c r="X739" s="523"/>
      <c r="Y739" s="523"/>
      <c r="Z739" s="523"/>
      <c r="AA739" s="523"/>
      <c r="AB739" s="523"/>
      <c r="AC739" s="523"/>
    </row>
    <row r="740" spans="1:29">
      <c r="A740" s="523"/>
      <c r="B740" s="523"/>
      <c r="C740" s="523"/>
      <c r="D740" s="523"/>
      <c r="E740" s="523"/>
      <c r="F740" s="523"/>
      <c r="G740" s="523"/>
      <c r="H740" s="523"/>
      <c r="I740" s="523"/>
      <c r="J740" s="523"/>
      <c r="K740" s="538"/>
      <c r="L740" s="539"/>
      <c r="M740" s="523"/>
      <c r="N740" s="523"/>
      <c r="O740" s="523"/>
      <c r="P740" s="1789"/>
      <c r="Q740" s="523"/>
      <c r="R740" s="523"/>
      <c r="S740" s="523"/>
      <c r="T740" s="523"/>
      <c r="U740" s="523"/>
      <c r="V740" s="523"/>
      <c r="W740" s="523"/>
      <c r="X740" s="523"/>
      <c r="Y740" s="523"/>
      <c r="Z740" s="523"/>
      <c r="AA740" s="523"/>
      <c r="AB740" s="523"/>
      <c r="AC740" s="523"/>
    </row>
    <row r="741" spans="1:29">
      <c r="A741" s="523"/>
      <c r="B741" s="523"/>
      <c r="C741" s="523"/>
      <c r="D741" s="523"/>
      <c r="E741" s="523"/>
      <c r="F741" s="523"/>
      <c r="G741" s="523"/>
      <c r="H741" s="523"/>
      <c r="I741" s="523"/>
      <c r="J741" s="523"/>
      <c r="K741" s="538"/>
      <c r="L741" s="539"/>
      <c r="M741" s="523"/>
      <c r="N741" s="523"/>
      <c r="O741" s="523"/>
      <c r="P741" s="1789"/>
      <c r="Q741" s="523"/>
      <c r="R741" s="523"/>
      <c r="S741" s="523"/>
      <c r="T741" s="523"/>
      <c r="U741" s="523"/>
      <c r="V741" s="523"/>
      <c r="W741" s="523"/>
      <c r="X741" s="523"/>
      <c r="Y741" s="523"/>
      <c r="Z741" s="523"/>
      <c r="AA741" s="523"/>
      <c r="AB741" s="523"/>
      <c r="AC741" s="523"/>
    </row>
    <row r="742" spans="1:29">
      <c r="A742" s="523"/>
      <c r="B742" s="523"/>
      <c r="C742" s="523"/>
      <c r="D742" s="523"/>
      <c r="E742" s="523"/>
      <c r="F742" s="523"/>
      <c r="G742" s="523"/>
      <c r="H742" s="523"/>
      <c r="I742" s="523"/>
      <c r="J742" s="523"/>
      <c r="K742" s="538"/>
      <c r="L742" s="539"/>
      <c r="M742" s="523"/>
      <c r="N742" s="523"/>
      <c r="O742" s="523"/>
      <c r="P742" s="1789"/>
      <c r="Q742" s="523"/>
      <c r="R742" s="523"/>
      <c r="S742" s="523"/>
      <c r="T742" s="523"/>
      <c r="U742" s="523"/>
      <c r="V742" s="523"/>
      <c r="W742" s="523"/>
      <c r="X742" s="523"/>
      <c r="Y742" s="523"/>
      <c r="Z742" s="523"/>
      <c r="AA742" s="523"/>
      <c r="AB742" s="523"/>
      <c r="AC742" s="523"/>
    </row>
    <row r="743" spans="1:29">
      <c r="A743" s="523"/>
      <c r="B743" s="523"/>
      <c r="C743" s="523"/>
      <c r="D743" s="523"/>
      <c r="E743" s="523"/>
      <c r="F743" s="523"/>
      <c r="G743" s="523"/>
      <c r="H743" s="523"/>
      <c r="I743" s="523"/>
      <c r="J743" s="523"/>
      <c r="K743" s="538"/>
      <c r="L743" s="539"/>
      <c r="M743" s="523"/>
      <c r="N743" s="523"/>
      <c r="O743" s="523"/>
      <c r="P743" s="1789"/>
      <c r="Q743" s="523"/>
      <c r="R743" s="523"/>
      <c r="S743" s="523"/>
      <c r="T743" s="523"/>
      <c r="U743" s="523"/>
      <c r="V743" s="523"/>
      <c r="W743" s="523"/>
      <c r="X743" s="523"/>
      <c r="Y743" s="523"/>
      <c r="Z743" s="523"/>
      <c r="AA743" s="523"/>
      <c r="AB743" s="523"/>
      <c r="AC743" s="523"/>
    </row>
    <row r="744" spans="1:29">
      <c r="A744" s="523"/>
      <c r="B744" s="523"/>
      <c r="C744" s="523"/>
      <c r="D744" s="523"/>
      <c r="E744" s="523"/>
      <c r="F744" s="523"/>
      <c r="G744" s="523"/>
      <c r="H744" s="523"/>
      <c r="I744" s="523"/>
      <c r="J744" s="523"/>
      <c r="K744" s="538"/>
      <c r="L744" s="539"/>
      <c r="M744" s="523"/>
      <c r="N744" s="523"/>
      <c r="O744" s="523"/>
      <c r="P744" s="1789"/>
      <c r="Q744" s="523"/>
      <c r="R744" s="523"/>
      <c r="S744" s="523"/>
      <c r="T744" s="523"/>
      <c r="U744" s="523"/>
      <c r="V744" s="523"/>
      <c r="W744" s="523"/>
      <c r="X744" s="523"/>
      <c r="Y744" s="523"/>
      <c r="Z744" s="523"/>
      <c r="AA744" s="523"/>
      <c r="AB744" s="523"/>
      <c r="AC744" s="523"/>
    </row>
    <row r="745" spans="1:29">
      <c r="A745" s="523"/>
      <c r="B745" s="523"/>
      <c r="C745" s="523"/>
      <c r="D745" s="523"/>
      <c r="E745" s="523"/>
      <c r="F745" s="523"/>
      <c r="G745" s="523"/>
      <c r="H745" s="523"/>
      <c r="I745" s="523"/>
      <c r="J745" s="523"/>
      <c r="K745" s="538"/>
      <c r="L745" s="539"/>
      <c r="M745" s="523"/>
      <c r="N745" s="523"/>
      <c r="O745" s="523"/>
      <c r="P745" s="1789"/>
      <c r="Q745" s="523"/>
      <c r="R745" s="523"/>
      <c r="S745" s="523"/>
      <c r="T745" s="523"/>
      <c r="U745" s="523"/>
      <c r="V745" s="523"/>
      <c r="W745" s="523"/>
      <c r="X745" s="523"/>
      <c r="Y745" s="523"/>
      <c r="Z745" s="523"/>
      <c r="AA745" s="523"/>
      <c r="AB745" s="523"/>
      <c r="AC745" s="523"/>
    </row>
    <row r="746" spans="1:29">
      <c r="A746" s="523"/>
      <c r="B746" s="523"/>
      <c r="C746" s="523"/>
      <c r="D746" s="523"/>
      <c r="E746" s="523"/>
      <c r="F746" s="523"/>
      <c r="G746" s="523"/>
      <c r="H746" s="523"/>
      <c r="I746" s="523"/>
      <c r="J746" s="523"/>
      <c r="K746" s="538"/>
      <c r="L746" s="539"/>
      <c r="M746" s="523"/>
      <c r="N746" s="523"/>
      <c r="O746" s="523"/>
      <c r="P746" s="1789"/>
      <c r="Q746" s="523"/>
      <c r="R746" s="523"/>
      <c r="S746" s="523"/>
      <c r="T746" s="523"/>
      <c r="U746" s="523"/>
      <c r="V746" s="523"/>
      <c r="W746" s="523"/>
      <c r="X746" s="523"/>
      <c r="Y746" s="523"/>
      <c r="Z746" s="523"/>
      <c r="AA746" s="523"/>
      <c r="AB746" s="523"/>
      <c r="AC746" s="523"/>
    </row>
    <row r="747" spans="1:29">
      <c r="A747" s="523"/>
      <c r="B747" s="523"/>
      <c r="C747" s="523"/>
      <c r="D747" s="523"/>
      <c r="E747" s="523"/>
      <c r="F747" s="523"/>
      <c r="G747" s="523"/>
      <c r="H747" s="523"/>
      <c r="I747" s="523"/>
      <c r="J747" s="523"/>
      <c r="K747" s="538"/>
      <c r="L747" s="539"/>
      <c r="M747" s="523"/>
      <c r="N747" s="523"/>
      <c r="O747" s="523"/>
      <c r="P747" s="1789"/>
      <c r="Q747" s="523"/>
      <c r="R747" s="523"/>
      <c r="S747" s="523"/>
      <c r="T747" s="523"/>
      <c r="U747" s="523"/>
      <c r="V747" s="523"/>
      <c r="W747" s="523"/>
      <c r="X747" s="523"/>
      <c r="Y747" s="523"/>
      <c r="Z747" s="523"/>
      <c r="AA747" s="523"/>
      <c r="AB747" s="523"/>
      <c r="AC747" s="523"/>
    </row>
    <row r="748" spans="1:29">
      <c r="A748" s="523"/>
      <c r="B748" s="523"/>
      <c r="C748" s="523"/>
      <c r="D748" s="523"/>
      <c r="E748" s="523"/>
      <c r="F748" s="523"/>
      <c r="G748" s="523"/>
      <c r="H748" s="523"/>
      <c r="I748" s="523"/>
      <c r="J748" s="523"/>
      <c r="K748" s="538"/>
      <c r="L748" s="539"/>
      <c r="M748" s="523"/>
      <c r="N748" s="523"/>
      <c r="O748" s="523"/>
      <c r="P748" s="1789"/>
      <c r="Q748" s="523"/>
      <c r="R748" s="523"/>
      <c r="S748" s="523"/>
      <c r="T748" s="523"/>
      <c r="U748" s="523"/>
      <c r="V748" s="523"/>
      <c r="W748" s="523"/>
      <c r="X748" s="523"/>
      <c r="Y748" s="523"/>
      <c r="Z748" s="523"/>
      <c r="AA748" s="523"/>
      <c r="AB748" s="523"/>
      <c r="AC748" s="523"/>
    </row>
    <row r="749" spans="1:29">
      <c r="A749" s="523"/>
      <c r="B749" s="523"/>
      <c r="C749" s="523"/>
      <c r="D749" s="523"/>
      <c r="E749" s="523"/>
      <c r="F749" s="523"/>
      <c r="G749" s="523"/>
      <c r="H749" s="523"/>
      <c r="I749" s="523"/>
      <c r="J749" s="523"/>
      <c r="K749" s="538"/>
      <c r="L749" s="539"/>
      <c r="M749" s="523"/>
      <c r="N749" s="523"/>
      <c r="O749" s="523"/>
      <c r="P749" s="1789"/>
      <c r="Q749" s="523"/>
      <c r="R749" s="523"/>
      <c r="S749" s="523"/>
      <c r="T749" s="523"/>
      <c r="U749" s="523"/>
      <c r="V749" s="523"/>
      <c r="W749" s="523"/>
      <c r="X749" s="523"/>
      <c r="Y749" s="523"/>
      <c r="Z749" s="523"/>
      <c r="AA749" s="523"/>
      <c r="AB749" s="523"/>
      <c r="AC749" s="523"/>
    </row>
    <row r="750" spans="1:29">
      <c r="A750" s="523"/>
      <c r="B750" s="523"/>
      <c r="C750" s="523"/>
      <c r="D750" s="523"/>
      <c r="E750" s="523"/>
      <c r="F750" s="523"/>
      <c r="G750" s="523"/>
      <c r="H750" s="523"/>
      <c r="I750" s="523"/>
      <c r="J750" s="523"/>
      <c r="K750" s="538"/>
      <c r="L750" s="539"/>
      <c r="M750" s="523"/>
      <c r="N750" s="523"/>
      <c r="O750" s="523"/>
      <c r="P750" s="1789"/>
      <c r="Q750" s="523"/>
      <c r="R750" s="523"/>
      <c r="S750" s="523"/>
      <c r="T750" s="523"/>
      <c r="U750" s="523"/>
      <c r="V750" s="523"/>
      <c r="W750" s="523"/>
      <c r="X750" s="523"/>
      <c r="Y750" s="523"/>
      <c r="Z750" s="523"/>
      <c r="AA750" s="523"/>
      <c r="AB750" s="523"/>
      <c r="AC750" s="523"/>
    </row>
    <row r="751" spans="1:29">
      <c r="A751" s="523"/>
      <c r="B751" s="523"/>
      <c r="C751" s="523"/>
      <c r="D751" s="523"/>
      <c r="E751" s="523"/>
      <c r="F751" s="523"/>
      <c r="G751" s="523"/>
      <c r="H751" s="523"/>
      <c r="I751" s="523"/>
      <c r="J751" s="523"/>
      <c r="K751" s="538"/>
      <c r="L751" s="539"/>
      <c r="M751" s="523"/>
      <c r="N751" s="523"/>
      <c r="O751" s="523"/>
      <c r="P751" s="1789"/>
      <c r="Q751" s="523"/>
      <c r="R751" s="523"/>
      <c r="S751" s="523"/>
      <c r="T751" s="523"/>
      <c r="U751" s="523"/>
      <c r="V751" s="523"/>
      <c r="W751" s="523"/>
      <c r="X751" s="523"/>
      <c r="Y751" s="523"/>
      <c r="Z751" s="523"/>
      <c r="AA751" s="523"/>
      <c r="AB751" s="523"/>
      <c r="AC751" s="523"/>
    </row>
    <row r="752" spans="1:29">
      <c r="A752" s="523"/>
      <c r="B752" s="523"/>
      <c r="C752" s="523"/>
      <c r="D752" s="523"/>
      <c r="E752" s="523"/>
      <c r="F752" s="523"/>
      <c r="G752" s="523"/>
      <c r="H752" s="523"/>
      <c r="I752" s="523"/>
      <c r="J752" s="523"/>
      <c r="K752" s="538"/>
      <c r="L752" s="539"/>
      <c r="M752" s="523"/>
      <c r="N752" s="523"/>
      <c r="O752" s="523"/>
      <c r="P752" s="1789"/>
      <c r="Q752" s="523"/>
      <c r="R752" s="523"/>
      <c r="S752" s="523"/>
      <c r="T752" s="523"/>
      <c r="U752" s="523"/>
      <c r="V752" s="523"/>
      <c r="W752" s="523"/>
      <c r="X752" s="523"/>
      <c r="Y752" s="523"/>
      <c r="Z752" s="523"/>
      <c r="AA752" s="523"/>
      <c r="AB752" s="523"/>
      <c r="AC752" s="523"/>
    </row>
    <row r="753" spans="1:29">
      <c r="A753" s="523"/>
      <c r="B753" s="523"/>
      <c r="C753" s="523"/>
      <c r="D753" s="523"/>
      <c r="E753" s="523"/>
      <c r="F753" s="523"/>
      <c r="G753" s="523"/>
      <c r="H753" s="523"/>
      <c r="I753" s="523"/>
      <c r="J753" s="523"/>
      <c r="K753" s="538"/>
      <c r="L753" s="539"/>
      <c r="M753" s="523"/>
      <c r="N753" s="523"/>
      <c r="O753" s="523"/>
      <c r="P753" s="1789"/>
      <c r="Q753" s="523"/>
      <c r="R753" s="523"/>
      <c r="S753" s="523"/>
      <c r="T753" s="523"/>
      <c r="U753" s="523"/>
      <c r="V753" s="523"/>
      <c r="W753" s="523"/>
      <c r="X753" s="523"/>
      <c r="Y753" s="523"/>
      <c r="Z753" s="523"/>
      <c r="AA753" s="523"/>
      <c r="AB753" s="523"/>
      <c r="AC753" s="523"/>
    </row>
    <row r="754" spans="1:29">
      <c r="A754" s="523"/>
      <c r="B754" s="523"/>
      <c r="C754" s="523"/>
      <c r="D754" s="523"/>
      <c r="E754" s="523"/>
      <c r="F754" s="523"/>
      <c r="G754" s="523"/>
      <c r="H754" s="523"/>
      <c r="I754" s="523"/>
      <c r="J754" s="523"/>
      <c r="K754" s="538"/>
      <c r="L754" s="539"/>
      <c r="M754" s="523"/>
      <c r="N754" s="523"/>
      <c r="O754" s="523"/>
      <c r="P754" s="1789"/>
      <c r="Q754" s="523"/>
      <c r="R754" s="523"/>
      <c r="S754" s="523"/>
      <c r="T754" s="523"/>
      <c r="U754" s="523"/>
      <c r="V754" s="523"/>
      <c r="W754" s="523"/>
      <c r="X754" s="523"/>
      <c r="Y754" s="523"/>
      <c r="Z754" s="523"/>
      <c r="AA754" s="523"/>
      <c r="AB754" s="523"/>
      <c r="AC754" s="523"/>
    </row>
    <row r="755" spans="1:29">
      <c r="A755" s="523"/>
      <c r="B755" s="523"/>
      <c r="C755" s="523"/>
      <c r="D755" s="523"/>
      <c r="E755" s="523"/>
      <c r="F755" s="523"/>
      <c r="G755" s="523"/>
      <c r="H755" s="523"/>
      <c r="I755" s="523"/>
      <c r="J755" s="523"/>
      <c r="K755" s="538"/>
      <c r="L755" s="539"/>
      <c r="M755" s="523"/>
      <c r="N755" s="523"/>
      <c r="O755" s="523"/>
      <c r="P755" s="1789"/>
      <c r="Q755" s="523"/>
      <c r="R755" s="523"/>
      <c r="S755" s="523"/>
      <c r="T755" s="523"/>
      <c r="U755" s="523"/>
      <c r="V755" s="523"/>
      <c r="W755" s="523"/>
      <c r="X755" s="523"/>
      <c r="Y755" s="523"/>
      <c r="Z755" s="523"/>
      <c r="AA755" s="523"/>
      <c r="AB755" s="523"/>
      <c r="AC755" s="523"/>
    </row>
    <row r="756" spans="1:29">
      <c r="A756" s="523"/>
      <c r="B756" s="523"/>
      <c r="C756" s="523"/>
      <c r="D756" s="523"/>
      <c r="E756" s="523"/>
      <c r="F756" s="523"/>
      <c r="G756" s="523"/>
      <c r="H756" s="523"/>
      <c r="I756" s="523"/>
      <c r="J756" s="523"/>
      <c r="K756" s="538"/>
      <c r="L756" s="539"/>
      <c r="M756" s="523"/>
      <c r="N756" s="523"/>
      <c r="O756" s="523"/>
      <c r="P756" s="1789"/>
      <c r="Q756" s="523"/>
      <c r="R756" s="523"/>
      <c r="S756" s="523"/>
      <c r="T756" s="523"/>
      <c r="U756" s="523"/>
      <c r="V756" s="523"/>
      <c r="W756" s="523"/>
      <c r="X756" s="523"/>
      <c r="Y756" s="523"/>
      <c r="Z756" s="523"/>
      <c r="AA756" s="523"/>
      <c r="AB756" s="523"/>
      <c r="AC756" s="523"/>
    </row>
    <row r="757" spans="1:29">
      <c r="A757" s="523"/>
      <c r="B757" s="523"/>
      <c r="C757" s="523"/>
      <c r="D757" s="523"/>
      <c r="E757" s="523"/>
      <c r="F757" s="523"/>
      <c r="G757" s="523"/>
      <c r="H757" s="523"/>
      <c r="I757" s="523"/>
      <c r="J757" s="523"/>
      <c r="K757" s="538"/>
      <c r="L757" s="539"/>
      <c r="M757" s="523"/>
      <c r="N757" s="523"/>
      <c r="O757" s="523"/>
      <c r="P757" s="1789"/>
      <c r="Q757" s="523"/>
      <c r="R757" s="523"/>
      <c r="S757" s="523"/>
      <c r="T757" s="523"/>
      <c r="U757" s="523"/>
      <c r="V757" s="523"/>
      <c r="W757" s="523"/>
      <c r="X757" s="523"/>
      <c r="Y757" s="523"/>
      <c r="Z757" s="523"/>
      <c r="AA757" s="523"/>
      <c r="AB757" s="523"/>
      <c r="AC757" s="523"/>
    </row>
    <row r="758" spans="1:29">
      <c r="A758" s="523"/>
      <c r="B758" s="523"/>
      <c r="C758" s="523"/>
      <c r="D758" s="523"/>
      <c r="E758" s="523"/>
      <c r="F758" s="523"/>
      <c r="G758" s="523"/>
      <c r="H758" s="523"/>
      <c r="I758" s="523"/>
      <c r="J758" s="523"/>
      <c r="K758" s="538"/>
      <c r="L758" s="539"/>
      <c r="M758" s="523"/>
      <c r="N758" s="523"/>
      <c r="O758" s="523"/>
      <c r="P758" s="1789"/>
      <c r="Q758" s="523"/>
      <c r="R758" s="523"/>
      <c r="S758" s="523"/>
      <c r="T758" s="523"/>
      <c r="U758" s="523"/>
      <c r="V758" s="523"/>
      <c r="W758" s="523"/>
      <c r="X758" s="523"/>
      <c r="Y758" s="523"/>
      <c r="Z758" s="523"/>
      <c r="AA758" s="523"/>
      <c r="AB758" s="523"/>
      <c r="AC758" s="523"/>
    </row>
    <row r="759" spans="1:29">
      <c r="A759" s="523"/>
      <c r="B759" s="523"/>
      <c r="C759" s="523"/>
      <c r="D759" s="523"/>
      <c r="E759" s="523"/>
      <c r="F759" s="523"/>
      <c r="G759" s="523"/>
      <c r="H759" s="523"/>
      <c r="I759" s="523"/>
      <c r="J759" s="523"/>
      <c r="K759" s="538"/>
      <c r="L759" s="539"/>
      <c r="M759" s="523"/>
      <c r="N759" s="523"/>
      <c r="O759" s="523"/>
      <c r="P759" s="1789"/>
      <c r="Q759" s="523"/>
      <c r="R759" s="523"/>
      <c r="S759" s="523"/>
      <c r="T759" s="523"/>
      <c r="U759" s="523"/>
      <c r="V759" s="523"/>
      <c r="W759" s="523"/>
      <c r="X759" s="523"/>
      <c r="Y759" s="523"/>
      <c r="Z759" s="523"/>
      <c r="AA759" s="523"/>
      <c r="AB759" s="523"/>
      <c r="AC759" s="523"/>
    </row>
    <row r="760" spans="1:29">
      <c r="A760" s="523"/>
      <c r="B760" s="523"/>
      <c r="C760" s="523"/>
      <c r="D760" s="523"/>
      <c r="E760" s="523"/>
      <c r="F760" s="523"/>
      <c r="G760" s="523"/>
      <c r="H760" s="523"/>
      <c r="I760" s="523"/>
      <c r="J760" s="523"/>
      <c r="K760" s="538"/>
      <c r="L760" s="539"/>
      <c r="M760" s="523"/>
      <c r="N760" s="523"/>
      <c r="O760" s="523"/>
      <c r="P760" s="1789"/>
      <c r="Q760" s="523"/>
      <c r="R760" s="523"/>
      <c r="S760" s="523"/>
      <c r="T760" s="523"/>
      <c r="U760" s="523"/>
      <c r="V760" s="523"/>
      <c r="W760" s="523"/>
      <c r="X760" s="523"/>
      <c r="Y760" s="523"/>
      <c r="Z760" s="523"/>
      <c r="AA760" s="523"/>
      <c r="AB760" s="523"/>
      <c r="AC760" s="523"/>
    </row>
    <row r="761" spans="1:29">
      <c r="A761" s="523"/>
      <c r="B761" s="523"/>
      <c r="C761" s="523"/>
      <c r="D761" s="523"/>
      <c r="E761" s="523"/>
      <c r="F761" s="523"/>
      <c r="G761" s="523"/>
      <c r="H761" s="523"/>
      <c r="I761" s="523"/>
      <c r="J761" s="523"/>
      <c r="K761" s="538"/>
      <c r="L761" s="539"/>
      <c r="M761" s="523"/>
      <c r="N761" s="523"/>
      <c r="O761" s="523"/>
      <c r="P761" s="1789"/>
      <c r="Q761" s="523"/>
      <c r="R761" s="523"/>
      <c r="S761" s="523"/>
      <c r="T761" s="523"/>
      <c r="U761" s="523"/>
      <c r="V761" s="523"/>
      <c r="W761" s="523"/>
      <c r="X761" s="523"/>
      <c r="Y761" s="523"/>
      <c r="Z761" s="523"/>
      <c r="AA761" s="523"/>
      <c r="AB761" s="523"/>
      <c r="AC761" s="523"/>
    </row>
    <row r="762" spans="1:29">
      <c r="A762" s="523"/>
      <c r="B762" s="523"/>
      <c r="C762" s="523"/>
      <c r="D762" s="523"/>
      <c r="E762" s="523"/>
      <c r="F762" s="523"/>
      <c r="G762" s="523"/>
      <c r="H762" s="523"/>
      <c r="I762" s="523"/>
      <c r="J762" s="523"/>
      <c r="K762" s="538"/>
      <c r="L762" s="539"/>
      <c r="M762" s="523"/>
      <c r="N762" s="523"/>
      <c r="O762" s="523"/>
      <c r="P762" s="1789"/>
      <c r="Q762" s="523"/>
      <c r="R762" s="523"/>
      <c r="S762" s="523"/>
      <c r="T762" s="523"/>
      <c r="U762" s="523"/>
      <c r="V762" s="523"/>
      <c r="W762" s="523"/>
      <c r="X762" s="523"/>
      <c r="Y762" s="523"/>
      <c r="Z762" s="523"/>
      <c r="AA762" s="523"/>
      <c r="AB762" s="523"/>
      <c r="AC762" s="523"/>
    </row>
    <row r="763" spans="1:29">
      <c r="A763" s="523"/>
      <c r="B763" s="523"/>
      <c r="C763" s="523"/>
      <c r="D763" s="523"/>
      <c r="E763" s="523"/>
      <c r="F763" s="523"/>
      <c r="G763" s="523"/>
      <c r="H763" s="523"/>
      <c r="I763" s="523"/>
      <c r="J763" s="523"/>
      <c r="K763" s="538"/>
      <c r="L763" s="539"/>
      <c r="M763" s="523"/>
      <c r="N763" s="523"/>
      <c r="O763" s="523"/>
      <c r="P763" s="1789"/>
      <c r="Q763" s="523"/>
      <c r="R763" s="523"/>
      <c r="S763" s="523"/>
      <c r="T763" s="523"/>
      <c r="U763" s="523"/>
      <c r="V763" s="523"/>
      <c r="W763" s="523"/>
      <c r="X763" s="523"/>
      <c r="Y763" s="523"/>
      <c r="Z763" s="523"/>
      <c r="AA763" s="523"/>
      <c r="AB763" s="523"/>
      <c r="AC763" s="523"/>
    </row>
    <row r="764" spans="1:29">
      <c r="A764" s="523"/>
      <c r="B764" s="523"/>
      <c r="C764" s="523"/>
      <c r="D764" s="523"/>
      <c r="E764" s="523"/>
      <c r="F764" s="523"/>
      <c r="G764" s="523"/>
      <c r="H764" s="523"/>
      <c r="I764" s="523"/>
      <c r="J764" s="523"/>
      <c r="K764" s="538"/>
      <c r="L764" s="539"/>
      <c r="M764" s="523"/>
      <c r="N764" s="523"/>
      <c r="O764" s="523"/>
      <c r="P764" s="1789"/>
      <c r="Q764" s="523"/>
      <c r="R764" s="523"/>
      <c r="S764" s="523"/>
      <c r="T764" s="523"/>
      <c r="U764" s="523"/>
      <c r="V764" s="523"/>
      <c r="W764" s="523"/>
      <c r="X764" s="523"/>
      <c r="Y764" s="523"/>
      <c r="Z764" s="523"/>
      <c r="AA764" s="523"/>
      <c r="AB764" s="523"/>
      <c r="AC764" s="523"/>
    </row>
    <row r="765" spans="1:29">
      <c r="A765" s="523"/>
      <c r="B765" s="523"/>
      <c r="C765" s="523"/>
      <c r="D765" s="523"/>
      <c r="E765" s="523"/>
      <c r="F765" s="523"/>
      <c r="G765" s="523"/>
      <c r="H765" s="523"/>
      <c r="I765" s="523"/>
      <c r="J765" s="523"/>
      <c r="K765" s="538"/>
      <c r="L765" s="539"/>
      <c r="M765" s="523"/>
      <c r="N765" s="523"/>
      <c r="O765" s="523"/>
      <c r="P765" s="1789"/>
      <c r="Q765" s="523"/>
      <c r="R765" s="523"/>
      <c r="S765" s="523"/>
      <c r="T765" s="523"/>
      <c r="U765" s="523"/>
      <c r="V765" s="523"/>
      <c r="W765" s="523"/>
      <c r="X765" s="523"/>
      <c r="Y765" s="523"/>
      <c r="Z765" s="523"/>
      <c r="AA765" s="523"/>
      <c r="AB765" s="523"/>
      <c r="AC765" s="523"/>
    </row>
    <row r="766" spans="1:29">
      <c r="A766" s="523"/>
      <c r="B766" s="523"/>
      <c r="C766" s="523"/>
      <c r="D766" s="523"/>
      <c r="E766" s="523"/>
      <c r="F766" s="523"/>
      <c r="G766" s="523"/>
      <c r="H766" s="523"/>
      <c r="I766" s="523"/>
      <c r="J766" s="523"/>
      <c r="K766" s="538"/>
      <c r="L766" s="539"/>
      <c r="M766" s="523"/>
      <c r="N766" s="523"/>
      <c r="O766" s="523"/>
      <c r="P766" s="1789"/>
      <c r="Q766" s="523"/>
      <c r="R766" s="523"/>
      <c r="S766" s="523"/>
      <c r="T766" s="523"/>
      <c r="U766" s="523"/>
      <c r="V766" s="523"/>
      <c r="W766" s="523"/>
      <c r="X766" s="523"/>
      <c r="Y766" s="523"/>
      <c r="Z766" s="523"/>
      <c r="AA766" s="523"/>
      <c r="AB766" s="523"/>
      <c r="AC766" s="523"/>
    </row>
    <row r="767" spans="1:29">
      <c r="A767" s="523"/>
      <c r="B767" s="523"/>
      <c r="C767" s="523"/>
      <c r="D767" s="523"/>
      <c r="E767" s="523"/>
      <c r="F767" s="523"/>
      <c r="G767" s="523"/>
      <c r="H767" s="523"/>
      <c r="I767" s="523"/>
      <c r="J767" s="523"/>
      <c r="K767" s="538"/>
      <c r="L767" s="539"/>
      <c r="M767" s="523"/>
      <c r="N767" s="523"/>
      <c r="O767" s="523"/>
      <c r="P767" s="1789"/>
      <c r="Q767" s="523"/>
      <c r="R767" s="523"/>
      <c r="S767" s="523"/>
      <c r="T767" s="523"/>
      <c r="U767" s="523"/>
      <c r="V767" s="523"/>
      <c r="W767" s="523"/>
      <c r="X767" s="523"/>
      <c r="Y767" s="523"/>
      <c r="Z767" s="523"/>
      <c r="AA767" s="523"/>
      <c r="AB767" s="523"/>
      <c r="AC767" s="523"/>
    </row>
    <row r="768" spans="1:29">
      <c r="A768" s="523"/>
      <c r="B768" s="523"/>
      <c r="C768" s="523"/>
      <c r="D768" s="523"/>
      <c r="E768" s="523"/>
      <c r="F768" s="523"/>
      <c r="G768" s="523"/>
      <c r="H768" s="523"/>
      <c r="I768" s="523"/>
      <c r="J768" s="523"/>
      <c r="K768" s="538"/>
      <c r="L768" s="539"/>
      <c r="M768" s="523"/>
      <c r="N768" s="523"/>
      <c r="O768" s="523"/>
      <c r="P768" s="1789"/>
      <c r="Q768" s="523"/>
      <c r="R768" s="523"/>
      <c r="S768" s="523"/>
      <c r="T768" s="523"/>
      <c r="U768" s="523"/>
      <c r="V768" s="523"/>
      <c r="W768" s="523"/>
      <c r="X768" s="523"/>
      <c r="Y768" s="523"/>
      <c r="Z768" s="523"/>
      <c r="AA768" s="523"/>
      <c r="AB768" s="523"/>
      <c r="AC768" s="523"/>
    </row>
    <row r="769" spans="1:29">
      <c r="A769" s="523"/>
      <c r="B769" s="523"/>
      <c r="C769" s="523"/>
      <c r="D769" s="523"/>
      <c r="E769" s="523"/>
      <c r="F769" s="523"/>
      <c r="G769" s="523"/>
      <c r="H769" s="523"/>
      <c r="I769" s="523"/>
      <c r="J769" s="523"/>
      <c r="K769" s="538"/>
      <c r="L769" s="539"/>
      <c r="M769" s="523"/>
      <c r="N769" s="523"/>
      <c r="O769" s="523"/>
      <c r="P769" s="1789"/>
      <c r="Q769" s="523"/>
      <c r="R769" s="523"/>
      <c r="S769" s="523"/>
      <c r="T769" s="523"/>
      <c r="U769" s="523"/>
      <c r="V769" s="523"/>
      <c r="W769" s="523"/>
      <c r="X769" s="523"/>
      <c r="Y769" s="523"/>
      <c r="Z769" s="523"/>
      <c r="AA769" s="523"/>
      <c r="AB769" s="523"/>
      <c r="AC769" s="523"/>
    </row>
    <row r="770" spans="1:29">
      <c r="A770" s="523"/>
      <c r="B770" s="523"/>
      <c r="C770" s="523"/>
      <c r="D770" s="523"/>
      <c r="E770" s="523"/>
      <c r="F770" s="523"/>
      <c r="G770" s="523"/>
      <c r="H770" s="523"/>
      <c r="I770" s="523"/>
      <c r="J770" s="523"/>
      <c r="K770" s="538"/>
      <c r="L770" s="539"/>
      <c r="M770" s="523"/>
      <c r="N770" s="523"/>
      <c r="O770" s="523"/>
      <c r="P770" s="1789"/>
      <c r="Q770" s="523"/>
      <c r="R770" s="523"/>
      <c r="S770" s="523"/>
      <c r="T770" s="523"/>
      <c r="U770" s="523"/>
      <c r="V770" s="523"/>
      <c r="W770" s="523"/>
      <c r="X770" s="523"/>
      <c r="Y770" s="523"/>
      <c r="Z770" s="523"/>
      <c r="AA770" s="523"/>
      <c r="AB770" s="523"/>
      <c r="AC770" s="523"/>
    </row>
    <row r="771" spans="1:29">
      <c r="A771" s="523"/>
      <c r="B771" s="523"/>
      <c r="C771" s="523"/>
      <c r="D771" s="523"/>
      <c r="E771" s="523"/>
      <c r="F771" s="523"/>
      <c r="G771" s="523"/>
      <c r="H771" s="523"/>
      <c r="I771" s="523"/>
      <c r="J771" s="523"/>
      <c r="K771" s="538"/>
      <c r="L771" s="539"/>
      <c r="M771" s="523"/>
      <c r="N771" s="523"/>
      <c r="O771" s="523"/>
      <c r="P771" s="1789"/>
      <c r="Q771" s="523"/>
      <c r="R771" s="523"/>
      <c r="S771" s="523"/>
      <c r="T771" s="523"/>
      <c r="U771" s="523"/>
      <c r="V771" s="523"/>
      <c r="W771" s="523"/>
      <c r="X771" s="523"/>
      <c r="Y771" s="523"/>
      <c r="Z771" s="523"/>
      <c r="AA771" s="523"/>
      <c r="AB771" s="523"/>
      <c r="AC771" s="523"/>
    </row>
    <row r="772" spans="1:29">
      <c r="A772" s="523"/>
      <c r="B772" s="523"/>
      <c r="C772" s="523"/>
      <c r="D772" s="523"/>
      <c r="E772" s="523"/>
      <c r="F772" s="523"/>
      <c r="G772" s="523"/>
      <c r="H772" s="523"/>
      <c r="I772" s="523"/>
      <c r="J772" s="523"/>
      <c r="K772" s="538"/>
      <c r="L772" s="539"/>
      <c r="M772" s="523"/>
      <c r="N772" s="523"/>
      <c r="O772" s="523"/>
      <c r="P772" s="1789"/>
      <c r="Q772" s="523"/>
      <c r="R772" s="523"/>
      <c r="S772" s="523"/>
      <c r="T772" s="523"/>
      <c r="U772" s="523"/>
      <c r="V772" s="523"/>
      <c r="W772" s="523"/>
      <c r="X772" s="523"/>
      <c r="Y772" s="523"/>
      <c r="Z772" s="523"/>
      <c r="AA772" s="523"/>
      <c r="AB772" s="523"/>
      <c r="AC772" s="523"/>
    </row>
    <row r="773" spans="1:29">
      <c r="A773" s="523"/>
      <c r="B773" s="523"/>
      <c r="C773" s="523"/>
      <c r="D773" s="523"/>
      <c r="E773" s="523"/>
      <c r="F773" s="523"/>
      <c r="G773" s="523"/>
      <c r="H773" s="523"/>
      <c r="I773" s="523"/>
      <c r="J773" s="523"/>
      <c r="K773" s="538"/>
      <c r="L773" s="539"/>
      <c r="M773" s="523"/>
      <c r="N773" s="523"/>
      <c r="O773" s="523"/>
      <c r="P773" s="1789"/>
      <c r="Q773" s="523"/>
      <c r="R773" s="523"/>
      <c r="S773" s="523"/>
      <c r="T773" s="523"/>
      <c r="U773" s="523"/>
      <c r="V773" s="523"/>
      <c r="W773" s="523"/>
      <c r="X773" s="523"/>
      <c r="Y773" s="523"/>
      <c r="Z773" s="523"/>
      <c r="AA773" s="523"/>
      <c r="AB773" s="523"/>
      <c r="AC773" s="523"/>
    </row>
    <row r="774" spans="1:29">
      <c r="A774" s="523"/>
      <c r="B774" s="523"/>
      <c r="C774" s="523"/>
      <c r="D774" s="523"/>
      <c r="E774" s="523"/>
      <c r="F774" s="523"/>
      <c r="G774" s="523"/>
      <c r="H774" s="523"/>
      <c r="I774" s="523"/>
      <c r="J774" s="523"/>
      <c r="K774" s="538"/>
      <c r="L774" s="539"/>
      <c r="M774" s="523"/>
      <c r="N774" s="523"/>
      <c r="O774" s="523"/>
      <c r="P774" s="1789"/>
      <c r="Q774" s="523"/>
      <c r="R774" s="523"/>
      <c r="S774" s="523"/>
      <c r="T774" s="523"/>
      <c r="U774" s="523"/>
      <c r="V774" s="523"/>
      <c r="W774" s="523"/>
      <c r="X774" s="523"/>
      <c r="Y774" s="523"/>
      <c r="Z774" s="523"/>
      <c r="AA774" s="523"/>
      <c r="AB774" s="523"/>
      <c r="AC774" s="523"/>
    </row>
    <row r="775" spans="1:29">
      <c r="A775" s="523"/>
      <c r="B775" s="523"/>
      <c r="C775" s="523"/>
      <c r="D775" s="523"/>
      <c r="E775" s="523"/>
      <c r="F775" s="523"/>
      <c r="G775" s="523"/>
      <c r="H775" s="523"/>
      <c r="I775" s="523"/>
      <c r="J775" s="523"/>
      <c r="K775" s="538"/>
      <c r="L775" s="539"/>
      <c r="M775" s="523"/>
      <c r="N775" s="523"/>
      <c r="O775" s="523"/>
      <c r="P775" s="1789"/>
      <c r="Q775" s="523"/>
      <c r="R775" s="523"/>
      <c r="S775" s="523"/>
      <c r="T775" s="523"/>
      <c r="U775" s="523"/>
      <c r="V775" s="523"/>
      <c r="W775" s="523"/>
      <c r="X775" s="523"/>
      <c r="Y775" s="523"/>
      <c r="Z775" s="523"/>
      <c r="AA775" s="523"/>
      <c r="AB775" s="523"/>
      <c r="AC775" s="523"/>
    </row>
    <row r="776" spans="1:29">
      <c r="A776" s="523"/>
      <c r="B776" s="523"/>
      <c r="C776" s="523"/>
      <c r="D776" s="523"/>
      <c r="E776" s="523"/>
      <c r="F776" s="523"/>
      <c r="G776" s="523"/>
      <c r="H776" s="523"/>
      <c r="I776" s="523"/>
      <c r="J776" s="523"/>
      <c r="K776" s="538"/>
      <c r="L776" s="539"/>
      <c r="M776" s="523"/>
      <c r="N776" s="523"/>
      <c r="O776" s="523"/>
      <c r="P776" s="1789"/>
      <c r="Q776" s="523"/>
      <c r="R776" s="523"/>
      <c r="S776" s="523"/>
      <c r="T776" s="523"/>
      <c r="U776" s="523"/>
      <c r="V776" s="523"/>
      <c r="W776" s="523"/>
      <c r="X776" s="523"/>
      <c r="Y776" s="523"/>
      <c r="Z776" s="523"/>
      <c r="AA776" s="523"/>
      <c r="AB776" s="523"/>
      <c r="AC776" s="523"/>
    </row>
    <row r="777" spans="1:29">
      <c r="A777" s="523"/>
      <c r="B777" s="523"/>
      <c r="C777" s="523"/>
      <c r="D777" s="523"/>
      <c r="E777" s="523"/>
      <c r="F777" s="523"/>
      <c r="G777" s="523"/>
      <c r="H777" s="523"/>
      <c r="I777" s="523"/>
      <c r="J777" s="523"/>
      <c r="K777" s="538"/>
      <c r="L777" s="539"/>
      <c r="M777" s="523"/>
      <c r="N777" s="523"/>
      <c r="O777" s="523"/>
      <c r="P777" s="1789"/>
      <c r="Q777" s="523"/>
      <c r="R777" s="523"/>
      <c r="S777" s="523"/>
      <c r="T777" s="523"/>
      <c r="U777" s="523"/>
      <c r="V777" s="523"/>
      <c r="W777" s="523"/>
      <c r="X777" s="523"/>
      <c r="Y777" s="523"/>
      <c r="Z777" s="523"/>
      <c r="AA777" s="523"/>
      <c r="AB777" s="523"/>
      <c r="AC777" s="523"/>
    </row>
    <row r="778" spans="1:29">
      <c r="A778" s="523"/>
      <c r="B778" s="523"/>
      <c r="C778" s="523"/>
      <c r="D778" s="523"/>
      <c r="E778" s="523"/>
      <c r="F778" s="523"/>
      <c r="G778" s="523"/>
      <c r="H778" s="523"/>
      <c r="I778" s="523"/>
      <c r="J778" s="523"/>
      <c r="K778" s="538"/>
      <c r="L778" s="539"/>
      <c r="M778" s="523"/>
      <c r="N778" s="523"/>
      <c r="O778" s="523"/>
      <c r="P778" s="1789"/>
      <c r="Q778" s="523"/>
      <c r="R778" s="523"/>
      <c r="S778" s="523"/>
      <c r="T778" s="523"/>
      <c r="U778" s="523"/>
      <c r="V778" s="523"/>
      <c r="W778" s="523"/>
      <c r="X778" s="523"/>
      <c r="Y778" s="523"/>
      <c r="Z778" s="523"/>
      <c r="AA778" s="523"/>
      <c r="AB778" s="523"/>
      <c r="AC778" s="523"/>
    </row>
    <row r="779" spans="1:29">
      <c r="A779" s="523"/>
      <c r="B779" s="523"/>
      <c r="C779" s="523"/>
      <c r="D779" s="523"/>
      <c r="E779" s="523"/>
      <c r="F779" s="523"/>
      <c r="G779" s="523"/>
      <c r="H779" s="523"/>
      <c r="I779" s="523"/>
      <c r="J779" s="523"/>
      <c r="K779" s="538"/>
      <c r="L779" s="539"/>
      <c r="M779" s="523"/>
      <c r="N779" s="523"/>
      <c r="O779" s="523"/>
      <c r="P779" s="1789"/>
      <c r="Q779" s="523"/>
      <c r="R779" s="523"/>
      <c r="S779" s="523"/>
      <c r="T779" s="523"/>
      <c r="U779" s="523"/>
      <c r="V779" s="523"/>
      <c r="W779" s="523"/>
      <c r="X779" s="523"/>
      <c r="Y779" s="523"/>
      <c r="Z779" s="523"/>
      <c r="AA779" s="523"/>
      <c r="AB779" s="523"/>
      <c r="AC779" s="523"/>
    </row>
    <row r="780" spans="1:29">
      <c r="A780" s="523"/>
      <c r="B780" s="523"/>
      <c r="C780" s="523"/>
      <c r="D780" s="523"/>
      <c r="E780" s="523"/>
      <c r="F780" s="523"/>
      <c r="G780" s="523"/>
      <c r="H780" s="523"/>
      <c r="I780" s="523"/>
      <c r="J780" s="523"/>
      <c r="K780" s="538"/>
      <c r="L780" s="539"/>
      <c r="M780" s="523"/>
      <c r="N780" s="523"/>
      <c r="O780" s="523"/>
      <c r="P780" s="1789"/>
      <c r="Q780" s="523"/>
      <c r="R780" s="523"/>
      <c r="S780" s="523"/>
      <c r="T780" s="523"/>
      <c r="U780" s="523"/>
      <c r="V780" s="523"/>
      <c r="W780" s="523"/>
      <c r="X780" s="523"/>
      <c r="Y780" s="523"/>
      <c r="Z780" s="523"/>
      <c r="AA780" s="523"/>
      <c r="AB780" s="523"/>
      <c r="AC780" s="523"/>
    </row>
    <row r="781" spans="1:29">
      <c r="A781" s="523"/>
      <c r="B781" s="523"/>
      <c r="C781" s="523"/>
      <c r="D781" s="523"/>
      <c r="E781" s="523"/>
      <c r="F781" s="523"/>
      <c r="G781" s="523"/>
      <c r="H781" s="523"/>
      <c r="I781" s="523"/>
      <c r="J781" s="523"/>
      <c r="K781" s="538"/>
      <c r="L781" s="539"/>
      <c r="M781" s="523"/>
      <c r="N781" s="523"/>
      <c r="O781" s="523"/>
      <c r="P781" s="1789"/>
      <c r="Q781" s="523"/>
      <c r="R781" s="523"/>
      <c r="S781" s="523"/>
      <c r="T781" s="523"/>
      <c r="U781" s="523"/>
      <c r="V781" s="523"/>
      <c r="W781" s="523"/>
      <c r="X781" s="523"/>
      <c r="Y781" s="523"/>
      <c r="Z781" s="523"/>
      <c r="AA781" s="523"/>
      <c r="AB781" s="523"/>
      <c r="AC781" s="523"/>
    </row>
    <row r="782" spans="1:29">
      <c r="A782" s="523"/>
      <c r="B782" s="523"/>
      <c r="C782" s="523"/>
      <c r="D782" s="523"/>
      <c r="E782" s="523"/>
      <c r="F782" s="523"/>
      <c r="G782" s="523"/>
      <c r="H782" s="523"/>
      <c r="I782" s="523"/>
      <c r="J782" s="523"/>
      <c r="K782" s="538"/>
      <c r="L782" s="539"/>
      <c r="M782" s="523"/>
      <c r="N782" s="523"/>
      <c r="O782" s="523"/>
      <c r="P782" s="1789"/>
      <c r="Q782" s="523"/>
      <c r="R782" s="523"/>
      <c r="S782" s="523"/>
      <c r="T782" s="523"/>
      <c r="U782" s="523"/>
      <c r="V782" s="523"/>
      <c r="W782" s="523"/>
      <c r="X782" s="523"/>
      <c r="Y782" s="523"/>
      <c r="Z782" s="523"/>
      <c r="AA782" s="523"/>
      <c r="AB782" s="523"/>
      <c r="AC782" s="523"/>
    </row>
    <row r="783" spans="1:29">
      <c r="A783" s="523"/>
      <c r="B783" s="523"/>
      <c r="C783" s="523"/>
      <c r="D783" s="523"/>
      <c r="E783" s="523"/>
      <c r="F783" s="523"/>
      <c r="G783" s="523"/>
      <c r="H783" s="523"/>
      <c r="I783" s="523"/>
      <c r="J783" s="523"/>
      <c r="K783" s="538"/>
      <c r="L783" s="539"/>
      <c r="M783" s="523"/>
      <c r="N783" s="523"/>
      <c r="O783" s="523"/>
      <c r="P783" s="1789"/>
      <c r="Q783" s="523"/>
      <c r="R783" s="523"/>
      <c r="S783" s="523"/>
      <c r="T783" s="523"/>
      <c r="U783" s="523"/>
      <c r="V783" s="523"/>
      <c r="W783" s="523"/>
      <c r="X783" s="523"/>
      <c r="Y783" s="523"/>
      <c r="Z783" s="523"/>
      <c r="AA783" s="523"/>
      <c r="AB783" s="523"/>
      <c r="AC783" s="523"/>
    </row>
    <row r="784" spans="1:29">
      <c r="A784" s="523"/>
      <c r="B784" s="523"/>
      <c r="C784" s="523"/>
      <c r="D784" s="523"/>
      <c r="E784" s="523"/>
      <c r="F784" s="523"/>
      <c r="G784" s="523"/>
      <c r="H784" s="523"/>
      <c r="I784" s="523"/>
      <c r="J784" s="523"/>
      <c r="K784" s="538"/>
      <c r="L784" s="539"/>
      <c r="M784" s="523"/>
      <c r="N784" s="523"/>
      <c r="O784" s="523"/>
      <c r="P784" s="1789"/>
      <c r="Q784" s="523"/>
      <c r="R784" s="523"/>
      <c r="S784" s="523"/>
      <c r="T784" s="523"/>
      <c r="U784" s="523"/>
      <c r="V784" s="523"/>
      <c r="W784" s="523"/>
      <c r="X784" s="523"/>
      <c r="Y784" s="523"/>
      <c r="Z784" s="523"/>
      <c r="AA784" s="523"/>
      <c r="AB784" s="523"/>
      <c r="AC784" s="523"/>
    </row>
    <row r="785" spans="1:29">
      <c r="A785" s="523"/>
      <c r="B785" s="523"/>
      <c r="C785" s="523"/>
      <c r="D785" s="523"/>
      <c r="E785" s="523"/>
      <c r="F785" s="523"/>
      <c r="G785" s="523"/>
      <c r="H785" s="523"/>
      <c r="I785" s="523"/>
      <c r="J785" s="523"/>
      <c r="K785" s="538"/>
      <c r="L785" s="539"/>
      <c r="M785" s="523"/>
      <c r="N785" s="523"/>
      <c r="O785" s="523"/>
      <c r="P785" s="1789"/>
      <c r="Q785" s="523"/>
      <c r="R785" s="523"/>
      <c r="S785" s="523"/>
      <c r="T785" s="523"/>
      <c r="U785" s="523"/>
      <c r="V785" s="523"/>
      <c r="W785" s="523"/>
      <c r="X785" s="523"/>
      <c r="Y785" s="523"/>
      <c r="Z785" s="523"/>
      <c r="AA785" s="523"/>
      <c r="AB785" s="523"/>
      <c r="AC785" s="523"/>
    </row>
    <row r="786" spans="1:29">
      <c r="A786" s="523"/>
      <c r="B786" s="523"/>
      <c r="C786" s="523"/>
      <c r="D786" s="523"/>
      <c r="E786" s="523"/>
      <c r="F786" s="523"/>
      <c r="G786" s="523"/>
      <c r="H786" s="523"/>
      <c r="I786" s="523"/>
      <c r="J786" s="523"/>
      <c r="K786" s="538"/>
      <c r="L786" s="539"/>
      <c r="M786" s="523"/>
      <c r="N786" s="523"/>
      <c r="O786" s="523"/>
      <c r="P786" s="1789"/>
      <c r="Q786" s="523"/>
      <c r="R786" s="523"/>
      <c r="S786" s="523"/>
      <c r="T786" s="523"/>
      <c r="U786" s="523"/>
      <c r="V786" s="523"/>
      <c r="W786" s="523"/>
      <c r="X786" s="523"/>
      <c r="Y786" s="523"/>
      <c r="Z786" s="523"/>
      <c r="AA786" s="523"/>
      <c r="AB786" s="523"/>
      <c r="AC786" s="523"/>
    </row>
    <row r="787" spans="1:29">
      <c r="A787" s="523"/>
      <c r="B787" s="523"/>
      <c r="C787" s="523"/>
      <c r="D787" s="523"/>
      <c r="E787" s="523"/>
      <c r="F787" s="523"/>
      <c r="G787" s="523"/>
      <c r="H787" s="523"/>
      <c r="I787" s="523"/>
      <c r="J787" s="523"/>
      <c r="K787" s="538"/>
      <c r="L787" s="539"/>
      <c r="M787" s="523"/>
      <c r="N787" s="523"/>
      <c r="O787" s="523"/>
      <c r="P787" s="1789"/>
      <c r="Q787" s="523"/>
      <c r="R787" s="523"/>
      <c r="S787" s="523"/>
      <c r="T787" s="523"/>
      <c r="U787" s="523"/>
      <c r="V787" s="523"/>
      <c r="W787" s="523"/>
      <c r="X787" s="523"/>
      <c r="Y787" s="523"/>
      <c r="Z787" s="523"/>
      <c r="AA787" s="523"/>
      <c r="AB787" s="523"/>
      <c r="AC787" s="523"/>
    </row>
    <row r="788" spans="1:29">
      <c r="A788" s="523"/>
      <c r="B788" s="523"/>
      <c r="C788" s="523"/>
      <c r="D788" s="523"/>
      <c r="E788" s="523"/>
      <c r="F788" s="523"/>
      <c r="G788" s="523"/>
      <c r="H788" s="523"/>
      <c r="I788" s="523"/>
      <c r="J788" s="523"/>
      <c r="K788" s="538"/>
      <c r="L788" s="539"/>
      <c r="M788" s="523"/>
      <c r="N788" s="523"/>
      <c r="O788" s="523"/>
      <c r="P788" s="1789"/>
      <c r="Q788" s="523"/>
      <c r="R788" s="523"/>
      <c r="S788" s="523"/>
      <c r="T788" s="523"/>
      <c r="U788" s="523"/>
      <c r="V788" s="523"/>
      <c r="W788" s="523"/>
      <c r="X788" s="523"/>
      <c r="Y788" s="523"/>
      <c r="Z788" s="523"/>
      <c r="AA788" s="523"/>
      <c r="AB788" s="523"/>
      <c r="AC788" s="523"/>
    </row>
    <row r="789" spans="1:29">
      <c r="A789" s="523"/>
      <c r="B789" s="523"/>
      <c r="C789" s="523"/>
      <c r="D789" s="523"/>
      <c r="E789" s="523"/>
      <c r="F789" s="523"/>
      <c r="G789" s="523"/>
      <c r="H789" s="523"/>
      <c r="I789" s="523"/>
      <c r="J789" s="523"/>
      <c r="K789" s="538"/>
      <c r="L789" s="539"/>
      <c r="M789" s="523"/>
      <c r="N789" s="523"/>
      <c r="O789" s="523"/>
      <c r="P789" s="1789"/>
      <c r="Q789" s="523"/>
      <c r="R789" s="523"/>
      <c r="S789" s="523"/>
      <c r="T789" s="523"/>
      <c r="U789" s="523"/>
      <c r="V789" s="523"/>
      <c r="W789" s="523"/>
      <c r="X789" s="523"/>
      <c r="Y789" s="523"/>
      <c r="Z789" s="523"/>
      <c r="AA789" s="523"/>
      <c r="AB789" s="523"/>
      <c r="AC789" s="523"/>
    </row>
    <row r="790" spans="1:29">
      <c r="A790" s="523"/>
      <c r="B790" s="523"/>
      <c r="C790" s="523"/>
      <c r="D790" s="523"/>
      <c r="E790" s="523"/>
      <c r="F790" s="523"/>
      <c r="G790" s="523"/>
      <c r="H790" s="523"/>
      <c r="I790" s="523"/>
      <c r="J790" s="523"/>
      <c r="K790" s="538"/>
      <c r="L790" s="539"/>
      <c r="M790" s="523"/>
      <c r="N790" s="523"/>
      <c r="O790" s="523"/>
      <c r="P790" s="1789"/>
      <c r="Q790" s="523"/>
      <c r="R790" s="523"/>
      <c r="S790" s="523"/>
      <c r="T790" s="523"/>
      <c r="U790" s="523"/>
      <c r="V790" s="523"/>
      <c r="W790" s="523"/>
      <c r="X790" s="523"/>
      <c r="Y790" s="523"/>
      <c r="Z790" s="523"/>
      <c r="AA790" s="523"/>
      <c r="AB790" s="523"/>
      <c r="AC790" s="523"/>
    </row>
    <row r="791" spans="1:29">
      <c r="A791" s="523"/>
      <c r="B791" s="523"/>
      <c r="C791" s="523"/>
      <c r="D791" s="523"/>
      <c r="E791" s="523"/>
      <c r="F791" s="523"/>
      <c r="G791" s="523"/>
      <c r="H791" s="523"/>
      <c r="I791" s="523"/>
      <c r="J791" s="523"/>
      <c r="K791" s="538"/>
      <c r="L791" s="539"/>
      <c r="M791" s="523"/>
      <c r="N791" s="523"/>
      <c r="O791" s="523"/>
      <c r="P791" s="1789"/>
      <c r="Q791" s="523"/>
      <c r="R791" s="523"/>
      <c r="S791" s="523"/>
      <c r="T791" s="523"/>
      <c r="U791" s="523"/>
      <c r="V791" s="523"/>
      <c r="W791" s="523"/>
      <c r="X791" s="523"/>
      <c r="Y791" s="523"/>
      <c r="Z791" s="523"/>
      <c r="AA791" s="523"/>
      <c r="AB791" s="523"/>
      <c r="AC791" s="523"/>
    </row>
    <row r="792" spans="1:29">
      <c r="A792" s="523"/>
      <c r="B792" s="523"/>
      <c r="C792" s="523"/>
      <c r="D792" s="523"/>
      <c r="E792" s="523"/>
      <c r="F792" s="523"/>
      <c r="G792" s="523"/>
      <c r="H792" s="523"/>
      <c r="I792" s="523"/>
      <c r="J792" s="523"/>
      <c r="K792" s="538"/>
      <c r="L792" s="539"/>
      <c r="M792" s="523"/>
      <c r="N792" s="523"/>
      <c r="O792" s="523"/>
      <c r="P792" s="1789"/>
      <c r="Q792" s="523"/>
      <c r="R792" s="523"/>
      <c r="S792" s="523"/>
      <c r="T792" s="523"/>
      <c r="U792" s="523"/>
      <c r="V792" s="523"/>
      <c r="W792" s="523"/>
      <c r="X792" s="523"/>
      <c r="Y792" s="523"/>
      <c r="Z792" s="523"/>
      <c r="AA792" s="523"/>
      <c r="AB792" s="523"/>
      <c r="AC792" s="523"/>
    </row>
    <row r="793" spans="1:29">
      <c r="A793" s="523"/>
      <c r="B793" s="523"/>
      <c r="C793" s="523"/>
      <c r="D793" s="523"/>
      <c r="E793" s="523"/>
      <c r="F793" s="523"/>
      <c r="G793" s="523"/>
      <c r="H793" s="523"/>
      <c r="I793" s="523"/>
      <c r="J793" s="523"/>
      <c r="K793" s="538"/>
      <c r="L793" s="539"/>
      <c r="M793" s="523"/>
      <c r="N793" s="523"/>
      <c r="O793" s="523"/>
      <c r="P793" s="1789"/>
      <c r="Q793" s="523"/>
      <c r="R793" s="523"/>
      <c r="S793" s="523"/>
      <c r="T793" s="523"/>
      <c r="U793" s="523"/>
      <c r="V793" s="523"/>
      <c r="W793" s="523"/>
      <c r="X793" s="523"/>
      <c r="Y793" s="523"/>
      <c r="Z793" s="523"/>
      <c r="AA793" s="523"/>
      <c r="AB793" s="523"/>
      <c r="AC793" s="523"/>
    </row>
    <row r="794" spans="1:29">
      <c r="A794" s="523"/>
      <c r="B794" s="523"/>
      <c r="C794" s="523"/>
      <c r="D794" s="523"/>
      <c r="E794" s="523"/>
      <c r="F794" s="523"/>
      <c r="G794" s="523"/>
      <c r="H794" s="523"/>
      <c r="I794" s="523"/>
      <c r="J794" s="523"/>
      <c r="K794" s="538"/>
      <c r="L794" s="539"/>
      <c r="M794" s="523"/>
      <c r="N794" s="523"/>
      <c r="O794" s="523"/>
      <c r="P794" s="1789"/>
      <c r="Q794" s="523"/>
      <c r="R794" s="523"/>
      <c r="S794" s="523"/>
      <c r="T794" s="523"/>
      <c r="U794" s="523"/>
      <c r="V794" s="523"/>
      <c r="W794" s="523"/>
      <c r="X794" s="523"/>
      <c r="Y794" s="523"/>
      <c r="Z794" s="523"/>
      <c r="AA794" s="523"/>
      <c r="AB794" s="523"/>
      <c r="AC794" s="523"/>
    </row>
    <row r="795" spans="1:29">
      <c r="A795" s="523"/>
      <c r="B795" s="523"/>
      <c r="C795" s="523"/>
      <c r="D795" s="523"/>
      <c r="E795" s="523"/>
      <c r="F795" s="523"/>
      <c r="G795" s="523"/>
      <c r="H795" s="523"/>
      <c r="I795" s="523"/>
      <c r="J795" s="523"/>
      <c r="K795" s="538"/>
      <c r="L795" s="539"/>
      <c r="M795" s="523"/>
      <c r="N795" s="523"/>
      <c r="O795" s="523"/>
      <c r="P795" s="1789"/>
      <c r="Q795" s="523"/>
      <c r="R795" s="523"/>
      <c r="S795" s="523"/>
      <c r="T795" s="523"/>
      <c r="U795" s="523"/>
      <c r="V795" s="523"/>
      <c r="W795" s="523"/>
      <c r="X795" s="523"/>
      <c r="Y795" s="523"/>
      <c r="Z795" s="523"/>
      <c r="AA795" s="523"/>
      <c r="AB795" s="523"/>
      <c r="AC795" s="523"/>
    </row>
    <row r="796" spans="1:29">
      <c r="A796" s="523"/>
      <c r="B796" s="523"/>
      <c r="C796" s="523"/>
      <c r="D796" s="523"/>
      <c r="E796" s="523"/>
      <c r="F796" s="523"/>
      <c r="G796" s="523"/>
      <c r="H796" s="523"/>
      <c r="I796" s="523"/>
      <c r="J796" s="523"/>
      <c r="K796" s="538"/>
      <c r="L796" s="539"/>
      <c r="M796" s="523"/>
      <c r="N796" s="523"/>
      <c r="O796" s="523"/>
      <c r="P796" s="1789"/>
      <c r="Q796" s="523"/>
      <c r="R796" s="523"/>
      <c r="S796" s="523"/>
      <c r="T796" s="523"/>
      <c r="U796" s="523"/>
      <c r="V796" s="523"/>
      <c r="W796" s="523"/>
      <c r="X796" s="523"/>
      <c r="Y796" s="523"/>
      <c r="Z796" s="523"/>
      <c r="AA796" s="523"/>
      <c r="AB796" s="523"/>
      <c r="AC796" s="523"/>
    </row>
    <row r="797" spans="1:29">
      <c r="A797" s="523"/>
      <c r="B797" s="523"/>
      <c r="C797" s="523"/>
      <c r="D797" s="523"/>
      <c r="E797" s="523"/>
      <c r="F797" s="523"/>
      <c r="G797" s="523"/>
      <c r="H797" s="523"/>
      <c r="I797" s="523"/>
      <c r="J797" s="523"/>
      <c r="K797" s="538"/>
      <c r="L797" s="539"/>
      <c r="M797" s="523"/>
      <c r="N797" s="523"/>
      <c r="O797" s="523"/>
      <c r="P797" s="1789"/>
      <c r="Q797" s="523"/>
      <c r="R797" s="523"/>
      <c r="S797" s="523"/>
      <c r="T797" s="523"/>
      <c r="U797" s="523"/>
      <c r="V797" s="523"/>
      <c r="W797" s="523"/>
      <c r="X797" s="523"/>
      <c r="Y797" s="523"/>
      <c r="Z797" s="523"/>
      <c r="AA797" s="523"/>
      <c r="AB797" s="523"/>
      <c r="AC797" s="523"/>
    </row>
    <row r="798" spans="1:29">
      <c r="A798" s="523"/>
      <c r="B798" s="523"/>
      <c r="C798" s="523"/>
      <c r="D798" s="523"/>
      <c r="E798" s="523"/>
      <c r="F798" s="523"/>
      <c r="G798" s="523"/>
      <c r="H798" s="523"/>
      <c r="I798" s="523"/>
      <c r="J798" s="523"/>
      <c r="K798" s="538"/>
      <c r="L798" s="539"/>
      <c r="M798" s="523"/>
      <c r="N798" s="523"/>
      <c r="O798" s="523"/>
      <c r="P798" s="1789"/>
      <c r="Q798" s="523"/>
      <c r="R798" s="523"/>
      <c r="S798" s="523"/>
      <c r="T798" s="523"/>
      <c r="U798" s="523"/>
      <c r="V798" s="523"/>
      <c r="W798" s="523"/>
      <c r="X798" s="523"/>
      <c r="Y798" s="523"/>
      <c r="Z798" s="523"/>
      <c r="AA798" s="523"/>
      <c r="AB798" s="523"/>
      <c r="AC798" s="523"/>
    </row>
    <row r="799" spans="1:29">
      <c r="A799" s="523"/>
      <c r="B799" s="523"/>
      <c r="C799" s="523"/>
      <c r="D799" s="523"/>
      <c r="E799" s="523"/>
      <c r="F799" s="523"/>
      <c r="G799" s="523"/>
      <c r="H799" s="523"/>
      <c r="I799" s="523"/>
      <c r="J799" s="523"/>
      <c r="K799" s="538"/>
      <c r="L799" s="539"/>
      <c r="M799" s="523"/>
      <c r="N799" s="523"/>
      <c r="O799" s="523"/>
      <c r="P799" s="1789"/>
      <c r="Q799" s="523"/>
      <c r="R799" s="523"/>
      <c r="S799" s="523"/>
      <c r="T799" s="523"/>
      <c r="U799" s="523"/>
      <c r="V799" s="523"/>
      <c r="W799" s="523"/>
      <c r="X799" s="523"/>
      <c r="Y799" s="523"/>
      <c r="Z799" s="523"/>
      <c r="AA799" s="523"/>
      <c r="AB799" s="523"/>
      <c r="AC799" s="523"/>
    </row>
    <row r="800" spans="1:29">
      <c r="A800" s="523"/>
      <c r="B800" s="523"/>
      <c r="C800" s="523"/>
      <c r="D800" s="523"/>
      <c r="E800" s="523"/>
      <c r="F800" s="523"/>
      <c r="G800" s="523"/>
      <c r="H800" s="523"/>
      <c r="I800" s="523"/>
      <c r="J800" s="523"/>
      <c r="K800" s="538"/>
      <c r="L800" s="539"/>
      <c r="M800" s="523"/>
      <c r="N800" s="523"/>
      <c r="O800" s="523"/>
      <c r="P800" s="1789"/>
      <c r="Q800" s="523"/>
      <c r="R800" s="523"/>
      <c r="S800" s="523"/>
      <c r="T800" s="523"/>
      <c r="U800" s="523"/>
      <c r="V800" s="523"/>
      <c r="W800" s="523"/>
      <c r="X800" s="523"/>
      <c r="Y800" s="523"/>
      <c r="Z800" s="523"/>
      <c r="AA800" s="523"/>
      <c r="AB800" s="523"/>
      <c r="AC800" s="523"/>
    </row>
    <row r="801" spans="1:29">
      <c r="A801" s="523"/>
      <c r="B801" s="523"/>
      <c r="C801" s="523"/>
      <c r="D801" s="523"/>
      <c r="E801" s="523"/>
      <c r="F801" s="523"/>
      <c r="G801" s="523"/>
      <c r="H801" s="523"/>
      <c r="I801" s="523"/>
      <c r="J801" s="523"/>
      <c r="K801" s="538"/>
      <c r="L801" s="539"/>
      <c r="M801" s="523"/>
      <c r="N801" s="523"/>
      <c r="O801" s="523"/>
      <c r="P801" s="1789"/>
      <c r="Q801" s="523"/>
      <c r="R801" s="523"/>
      <c r="S801" s="523"/>
      <c r="T801" s="523"/>
      <c r="U801" s="523"/>
      <c r="V801" s="523"/>
      <c r="W801" s="523"/>
      <c r="X801" s="523"/>
      <c r="Y801" s="523"/>
      <c r="Z801" s="523"/>
      <c r="AA801" s="523"/>
      <c r="AB801" s="523"/>
      <c r="AC801" s="523"/>
    </row>
    <row r="802" spans="1:29">
      <c r="A802" s="523"/>
      <c r="B802" s="523"/>
      <c r="C802" s="523"/>
      <c r="D802" s="523"/>
      <c r="E802" s="523"/>
      <c r="F802" s="523"/>
      <c r="G802" s="523"/>
      <c r="H802" s="523"/>
      <c r="I802" s="523"/>
      <c r="J802" s="523"/>
      <c r="K802" s="538"/>
      <c r="L802" s="539"/>
      <c r="M802" s="523"/>
      <c r="N802" s="523"/>
      <c r="O802" s="523"/>
      <c r="P802" s="1789"/>
      <c r="Q802" s="523"/>
      <c r="R802" s="523"/>
      <c r="S802" s="523"/>
      <c r="T802" s="523"/>
      <c r="U802" s="523"/>
      <c r="V802" s="523"/>
      <c r="W802" s="523"/>
      <c r="X802" s="523"/>
      <c r="Y802" s="523"/>
      <c r="Z802" s="523"/>
      <c r="AA802" s="523"/>
      <c r="AB802" s="523"/>
      <c r="AC802" s="523"/>
    </row>
    <row r="803" spans="1:29">
      <c r="A803" s="523"/>
      <c r="B803" s="523"/>
      <c r="C803" s="523"/>
      <c r="D803" s="523"/>
      <c r="E803" s="523"/>
      <c r="F803" s="523"/>
      <c r="G803" s="523"/>
      <c r="H803" s="523"/>
      <c r="I803" s="523"/>
      <c r="J803" s="523"/>
      <c r="K803" s="538"/>
      <c r="L803" s="539"/>
      <c r="M803" s="523"/>
      <c r="N803" s="523"/>
      <c r="O803" s="523"/>
      <c r="P803" s="1789"/>
      <c r="Q803" s="523"/>
      <c r="R803" s="523"/>
      <c r="S803" s="523"/>
      <c r="T803" s="523"/>
      <c r="U803" s="523"/>
      <c r="V803" s="523"/>
      <c r="W803" s="523"/>
      <c r="X803" s="523"/>
      <c r="Y803" s="523"/>
      <c r="Z803" s="523"/>
      <c r="AA803" s="523"/>
      <c r="AB803" s="523"/>
      <c r="AC803" s="523"/>
    </row>
    <row r="804" spans="1:29">
      <c r="A804" s="523"/>
      <c r="B804" s="523"/>
      <c r="C804" s="523"/>
      <c r="D804" s="523"/>
      <c r="E804" s="523"/>
      <c r="F804" s="523"/>
      <c r="G804" s="523"/>
      <c r="H804" s="523"/>
      <c r="I804" s="523"/>
      <c r="J804" s="523"/>
      <c r="K804" s="538"/>
      <c r="L804" s="539"/>
      <c r="M804" s="523"/>
      <c r="N804" s="523"/>
      <c r="O804" s="523"/>
      <c r="P804" s="1789"/>
      <c r="Q804" s="523"/>
      <c r="R804" s="523"/>
      <c r="S804" s="523"/>
      <c r="T804" s="523"/>
      <c r="U804" s="523"/>
      <c r="V804" s="523"/>
      <c r="W804" s="523"/>
      <c r="X804" s="523"/>
      <c r="Y804" s="523"/>
      <c r="Z804" s="523"/>
      <c r="AA804" s="523"/>
      <c r="AB804" s="523"/>
      <c r="AC804" s="523"/>
    </row>
    <row r="805" spans="1:29">
      <c r="A805" s="523"/>
      <c r="B805" s="523"/>
      <c r="C805" s="523"/>
      <c r="D805" s="523"/>
      <c r="E805" s="523"/>
      <c r="F805" s="523"/>
      <c r="G805" s="523"/>
      <c r="H805" s="523"/>
      <c r="I805" s="523"/>
      <c r="J805" s="523"/>
      <c r="K805" s="538"/>
      <c r="L805" s="539"/>
      <c r="M805" s="523"/>
      <c r="N805" s="523"/>
      <c r="O805" s="523"/>
      <c r="P805" s="1789"/>
      <c r="Q805" s="523"/>
      <c r="R805" s="523"/>
      <c r="S805" s="523"/>
      <c r="T805" s="523"/>
      <c r="U805" s="523"/>
      <c r="V805" s="523"/>
      <c r="W805" s="523"/>
      <c r="X805" s="523"/>
      <c r="Y805" s="523"/>
      <c r="Z805" s="523"/>
      <c r="AA805" s="523"/>
      <c r="AB805" s="523"/>
      <c r="AC805" s="523"/>
    </row>
    <row r="806" spans="1:29">
      <c r="A806" s="523"/>
      <c r="B806" s="523"/>
      <c r="C806" s="523"/>
      <c r="D806" s="523"/>
      <c r="E806" s="523"/>
      <c r="F806" s="523"/>
      <c r="G806" s="523"/>
      <c r="H806" s="523"/>
      <c r="I806" s="523"/>
      <c r="J806" s="523"/>
      <c r="K806" s="538"/>
      <c r="L806" s="539"/>
      <c r="M806" s="523"/>
      <c r="N806" s="523"/>
      <c r="O806" s="523"/>
      <c r="P806" s="1789"/>
      <c r="Q806" s="523"/>
      <c r="R806" s="523"/>
      <c r="S806" s="523"/>
      <c r="T806" s="523"/>
      <c r="U806" s="523"/>
      <c r="V806" s="523"/>
      <c r="W806" s="523"/>
      <c r="X806" s="523"/>
      <c r="Y806" s="523"/>
      <c r="Z806" s="523"/>
      <c r="AA806" s="523"/>
      <c r="AB806" s="523"/>
      <c r="AC806" s="523"/>
    </row>
    <row r="807" spans="1:29">
      <c r="A807" s="523"/>
      <c r="B807" s="523"/>
      <c r="C807" s="523"/>
      <c r="D807" s="523"/>
      <c r="E807" s="523"/>
      <c r="F807" s="523"/>
      <c r="G807" s="523"/>
      <c r="H807" s="523"/>
      <c r="I807" s="523"/>
      <c r="J807" s="523"/>
      <c r="K807" s="538"/>
      <c r="L807" s="539"/>
      <c r="M807" s="523"/>
      <c r="N807" s="523"/>
      <c r="O807" s="523"/>
      <c r="P807" s="1789"/>
      <c r="Q807" s="523"/>
      <c r="R807" s="523"/>
      <c r="S807" s="523"/>
      <c r="T807" s="523"/>
      <c r="U807" s="523"/>
      <c r="V807" s="523"/>
      <c r="W807" s="523"/>
      <c r="X807" s="523"/>
      <c r="Y807" s="523"/>
      <c r="Z807" s="523"/>
      <c r="AA807" s="523"/>
      <c r="AB807" s="523"/>
      <c r="AC807" s="523"/>
    </row>
    <row r="808" spans="1:29">
      <c r="A808" s="523"/>
      <c r="B808" s="523"/>
      <c r="C808" s="523"/>
      <c r="D808" s="523"/>
      <c r="E808" s="523"/>
      <c r="F808" s="523"/>
      <c r="G808" s="523"/>
      <c r="H808" s="523"/>
      <c r="I808" s="523"/>
      <c r="J808" s="523"/>
      <c r="K808" s="538"/>
      <c r="L808" s="539"/>
      <c r="M808" s="523"/>
      <c r="N808" s="523"/>
      <c r="O808" s="523"/>
      <c r="P808" s="1789"/>
      <c r="Q808" s="523"/>
      <c r="R808" s="523"/>
      <c r="S808" s="523"/>
      <c r="T808" s="523"/>
      <c r="U808" s="523"/>
      <c r="V808" s="523"/>
      <c r="W808" s="523"/>
      <c r="X808" s="523"/>
      <c r="Y808" s="523"/>
      <c r="Z808" s="523"/>
      <c r="AA808" s="523"/>
      <c r="AB808" s="523"/>
      <c r="AC808" s="523"/>
    </row>
    <row r="809" spans="1:29">
      <c r="A809" s="523"/>
      <c r="B809" s="523"/>
      <c r="C809" s="523"/>
      <c r="D809" s="523"/>
      <c r="E809" s="523"/>
      <c r="F809" s="523"/>
      <c r="G809" s="523"/>
      <c r="H809" s="523"/>
      <c r="I809" s="523"/>
      <c r="J809" s="523"/>
      <c r="K809" s="538"/>
      <c r="L809" s="539"/>
      <c r="M809" s="523"/>
      <c r="N809" s="523"/>
      <c r="O809" s="523"/>
      <c r="P809" s="1789"/>
      <c r="Q809" s="523"/>
      <c r="R809" s="523"/>
      <c r="S809" s="523"/>
      <c r="T809" s="523"/>
      <c r="U809" s="523"/>
      <c r="V809" s="523"/>
      <c r="W809" s="523"/>
      <c r="X809" s="523"/>
      <c r="Y809" s="523"/>
      <c r="Z809" s="523"/>
      <c r="AA809" s="523"/>
      <c r="AB809" s="523"/>
      <c r="AC809" s="523"/>
    </row>
    <row r="810" spans="1:29">
      <c r="A810" s="523"/>
      <c r="B810" s="523"/>
      <c r="C810" s="523"/>
      <c r="D810" s="523"/>
      <c r="E810" s="523"/>
      <c r="F810" s="523"/>
      <c r="G810" s="523"/>
      <c r="H810" s="523"/>
      <c r="I810" s="523"/>
      <c r="J810" s="523"/>
      <c r="K810" s="538"/>
      <c r="L810" s="539"/>
      <c r="M810" s="523"/>
      <c r="N810" s="523"/>
      <c r="O810" s="523"/>
      <c r="P810" s="1789"/>
      <c r="Q810" s="523"/>
      <c r="R810" s="523"/>
      <c r="S810" s="523"/>
      <c r="T810" s="523"/>
      <c r="U810" s="523"/>
      <c r="V810" s="523"/>
      <c r="W810" s="523"/>
      <c r="X810" s="523"/>
      <c r="Y810" s="523"/>
      <c r="Z810" s="523"/>
      <c r="AA810" s="523"/>
      <c r="AB810" s="523"/>
      <c r="AC810" s="523"/>
    </row>
    <row r="811" spans="1:29">
      <c r="A811" s="523"/>
      <c r="B811" s="523"/>
      <c r="C811" s="523"/>
      <c r="D811" s="523"/>
      <c r="E811" s="523"/>
      <c r="F811" s="523"/>
      <c r="G811" s="523"/>
      <c r="H811" s="523"/>
      <c r="I811" s="523"/>
      <c r="J811" s="523"/>
      <c r="K811" s="538"/>
      <c r="L811" s="539"/>
      <c r="M811" s="523"/>
      <c r="N811" s="523"/>
      <c r="O811" s="523"/>
      <c r="P811" s="1789"/>
      <c r="Q811" s="523"/>
      <c r="R811" s="523"/>
      <c r="S811" s="523"/>
      <c r="T811" s="523"/>
      <c r="U811" s="523"/>
      <c r="V811" s="523"/>
      <c r="W811" s="523"/>
      <c r="X811" s="523"/>
      <c r="Y811" s="523"/>
      <c r="Z811" s="523"/>
      <c r="AA811" s="523"/>
      <c r="AB811" s="523"/>
      <c r="AC811" s="523"/>
    </row>
    <row r="812" spans="1:29">
      <c r="A812" s="523"/>
      <c r="B812" s="523"/>
      <c r="C812" s="523"/>
      <c r="D812" s="523"/>
      <c r="E812" s="523"/>
      <c r="F812" s="523"/>
      <c r="G812" s="523"/>
      <c r="H812" s="523"/>
      <c r="I812" s="523"/>
      <c r="J812" s="523"/>
      <c r="K812" s="538"/>
      <c r="L812" s="539"/>
      <c r="M812" s="523"/>
      <c r="N812" s="523"/>
      <c r="O812" s="523"/>
      <c r="P812" s="1789"/>
      <c r="Q812" s="523"/>
      <c r="R812" s="523"/>
      <c r="S812" s="523"/>
      <c r="T812" s="523"/>
      <c r="U812" s="523"/>
      <c r="V812" s="523"/>
      <c r="W812" s="523"/>
      <c r="X812" s="523"/>
      <c r="Y812" s="523"/>
      <c r="Z812" s="523"/>
      <c r="AA812" s="523"/>
      <c r="AB812" s="523"/>
      <c r="AC812" s="523"/>
    </row>
    <row r="813" spans="1:29">
      <c r="A813" s="523"/>
      <c r="B813" s="523"/>
      <c r="C813" s="523"/>
      <c r="D813" s="523"/>
      <c r="E813" s="523"/>
      <c r="F813" s="523"/>
      <c r="G813" s="523"/>
      <c r="H813" s="523"/>
      <c r="I813" s="523"/>
      <c r="J813" s="523"/>
      <c r="K813" s="538"/>
      <c r="L813" s="539"/>
      <c r="M813" s="523"/>
      <c r="N813" s="523"/>
      <c r="O813" s="523"/>
      <c r="P813" s="1789"/>
      <c r="Q813" s="523"/>
      <c r="R813" s="523"/>
      <c r="S813" s="523"/>
      <c r="T813" s="523"/>
      <c r="U813" s="523"/>
      <c r="V813" s="523"/>
      <c r="W813" s="523"/>
      <c r="X813" s="523"/>
      <c r="Y813" s="523"/>
      <c r="Z813" s="523"/>
      <c r="AA813" s="523"/>
      <c r="AB813" s="523"/>
      <c r="AC813" s="523"/>
    </row>
    <row r="814" spans="1:29">
      <c r="A814" s="523"/>
      <c r="B814" s="523"/>
      <c r="C814" s="523"/>
      <c r="D814" s="523"/>
      <c r="E814" s="523"/>
      <c r="F814" s="523"/>
      <c r="G814" s="523"/>
      <c r="H814" s="523"/>
      <c r="I814" s="523"/>
      <c r="J814" s="523"/>
      <c r="K814" s="538"/>
      <c r="L814" s="539"/>
      <c r="M814" s="523"/>
      <c r="N814" s="523"/>
      <c r="O814" s="523"/>
      <c r="P814" s="1789"/>
      <c r="Q814" s="523"/>
      <c r="R814" s="523"/>
      <c r="S814" s="523"/>
      <c r="T814" s="523"/>
      <c r="U814" s="523"/>
      <c r="V814" s="523"/>
      <c r="W814" s="523"/>
      <c r="X814" s="523"/>
      <c r="Y814" s="523"/>
      <c r="Z814" s="523"/>
      <c r="AA814" s="523"/>
      <c r="AB814" s="523"/>
      <c r="AC814" s="523"/>
    </row>
    <row r="815" spans="1:29">
      <c r="A815" s="523"/>
      <c r="B815" s="523"/>
      <c r="C815" s="523"/>
      <c r="D815" s="523"/>
      <c r="E815" s="523"/>
      <c r="F815" s="523"/>
      <c r="G815" s="523"/>
      <c r="H815" s="523"/>
      <c r="I815" s="523"/>
      <c r="J815" s="523"/>
      <c r="K815" s="538"/>
      <c r="L815" s="539"/>
      <c r="M815" s="523"/>
      <c r="N815" s="523"/>
      <c r="O815" s="523"/>
      <c r="P815" s="1789"/>
      <c r="Q815" s="523"/>
      <c r="R815" s="523"/>
      <c r="S815" s="523"/>
      <c r="T815" s="523"/>
      <c r="U815" s="523"/>
      <c r="V815" s="523"/>
      <c r="W815" s="523"/>
      <c r="X815" s="523"/>
      <c r="Y815" s="523"/>
      <c r="Z815" s="523"/>
      <c r="AA815" s="523"/>
      <c r="AB815" s="523"/>
      <c r="AC815" s="523"/>
    </row>
    <row r="816" spans="1:29">
      <c r="A816" s="523"/>
      <c r="B816" s="523"/>
      <c r="C816" s="523"/>
      <c r="D816" s="523"/>
      <c r="E816" s="523"/>
      <c r="F816" s="523"/>
      <c r="G816" s="523"/>
      <c r="H816" s="523"/>
      <c r="I816" s="523"/>
      <c r="J816" s="523"/>
      <c r="K816" s="538"/>
      <c r="L816" s="539"/>
      <c r="M816" s="523"/>
      <c r="N816" s="523"/>
      <c r="O816" s="523"/>
      <c r="P816" s="1789"/>
      <c r="Q816" s="523"/>
      <c r="R816" s="523"/>
      <c r="S816" s="523"/>
      <c r="T816" s="523"/>
      <c r="U816" s="523"/>
      <c r="V816" s="523"/>
      <c r="W816" s="523"/>
      <c r="X816" s="523"/>
      <c r="Y816" s="523"/>
      <c r="Z816" s="523"/>
      <c r="AA816" s="523"/>
      <c r="AB816" s="523"/>
      <c r="AC816" s="523"/>
    </row>
    <row r="817" spans="1:29">
      <c r="A817" s="523"/>
      <c r="B817" s="523"/>
      <c r="C817" s="523"/>
      <c r="D817" s="523"/>
      <c r="E817" s="523"/>
      <c r="F817" s="523"/>
      <c r="G817" s="523"/>
      <c r="H817" s="523"/>
      <c r="I817" s="523"/>
      <c r="J817" s="523"/>
      <c r="K817" s="538"/>
      <c r="L817" s="539"/>
      <c r="M817" s="523"/>
      <c r="N817" s="523"/>
      <c r="O817" s="523"/>
      <c r="P817" s="1789"/>
      <c r="Q817" s="523"/>
      <c r="R817" s="523"/>
      <c r="S817" s="523"/>
      <c r="T817" s="523"/>
      <c r="U817" s="523"/>
      <c r="V817" s="523"/>
      <c r="W817" s="523"/>
      <c r="X817" s="523"/>
      <c r="Y817" s="523"/>
      <c r="Z817" s="523"/>
      <c r="AA817" s="523"/>
      <c r="AB817" s="523"/>
      <c r="AC817" s="523"/>
    </row>
    <row r="818" spans="1:29">
      <c r="A818" s="523"/>
      <c r="B818" s="523"/>
      <c r="C818" s="523"/>
      <c r="D818" s="523"/>
      <c r="E818" s="523"/>
      <c r="F818" s="523"/>
      <c r="G818" s="523"/>
      <c r="H818" s="523"/>
      <c r="I818" s="523"/>
      <c r="J818" s="523"/>
      <c r="K818" s="538"/>
      <c r="L818" s="539"/>
      <c r="M818" s="523"/>
      <c r="N818" s="523"/>
      <c r="O818" s="523"/>
      <c r="P818" s="1789"/>
      <c r="Q818" s="523"/>
      <c r="R818" s="523"/>
      <c r="S818" s="523"/>
      <c r="T818" s="523"/>
      <c r="U818" s="523"/>
      <c r="V818" s="523"/>
      <c r="W818" s="523"/>
      <c r="X818" s="523"/>
      <c r="Y818" s="523"/>
      <c r="Z818" s="523"/>
      <c r="AA818" s="523"/>
      <c r="AB818" s="523"/>
      <c r="AC818" s="523"/>
    </row>
    <row r="819" spans="1:29">
      <c r="A819" s="523"/>
      <c r="B819" s="523"/>
      <c r="C819" s="523"/>
      <c r="D819" s="523"/>
      <c r="E819" s="523"/>
      <c r="F819" s="523"/>
      <c r="G819" s="523"/>
      <c r="H819" s="523"/>
      <c r="I819" s="523"/>
      <c r="J819" s="523"/>
      <c r="K819" s="538"/>
      <c r="L819" s="539"/>
      <c r="M819" s="523"/>
      <c r="N819" s="523"/>
      <c r="O819" s="523"/>
      <c r="P819" s="1789"/>
      <c r="Q819" s="523"/>
      <c r="R819" s="523"/>
      <c r="S819" s="523"/>
      <c r="T819" s="523"/>
      <c r="U819" s="523"/>
      <c r="V819" s="523"/>
      <c r="W819" s="523"/>
      <c r="X819" s="523"/>
      <c r="Y819" s="523"/>
      <c r="Z819" s="523"/>
      <c r="AA819" s="523"/>
      <c r="AB819" s="523"/>
      <c r="AC819" s="523"/>
    </row>
    <row r="820" spans="1:29">
      <c r="A820" s="523"/>
      <c r="B820" s="523"/>
      <c r="C820" s="523"/>
      <c r="D820" s="523"/>
      <c r="E820" s="523"/>
      <c r="F820" s="523"/>
      <c r="G820" s="523"/>
      <c r="H820" s="523"/>
      <c r="I820" s="523"/>
      <c r="J820" s="523"/>
      <c r="K820" s="538"/>
      <c r="L820" s="539"/>
      <c r="M820" s="523"/>
      <c r="N820" s="523"/>
      <c r="O820" s="523"/>
      <c r="P820" s="1789"/>
      <c r="Q820" s="523"/>
      <c r="R820" s="523"/>
      <c r="S820" s="523"/>
      <c r="T820" s="523"/>
      <c r="U820" s="523"/>
      <c r="V820" s="523"/>
      <c r="W820" s="523"/>
      <c r="X820" s="523"/>
      <c r="Y820" s="523"/>
      <c r="Z820" s="523"/>
      <c r="AA820" s="523"/>
      <c r="AB820" s="523"/>
      <c r="AC820" s="523"/>
    </row>
    <row r="821" spans="1:29">
      <c r="A821" s="523"/>
      <c r="B821" s="523"/>
      <c r="C821" s="523"/>
      <c r="D821" s="523"/>
      <c r="E821" s="523"/>
      <c r="F821" s="523"/>
      <c r="G821" s="523"/>
      <c r="H821" s="523"/>
      <c r="I821" s="523"/>
      <c r="J821" s="523"/>
      <c r="K821" s="538"/>
      <c r="L821" s="539"/>
      <c r="M821" s="523"/>
      <c r="N821" s="523"/>
      <c r="O821" s="523"/>
      <c r="P821" s="1789"/>
      <c r="Q821" s="523"/>
      <c r="R821" s="523"/>
      <c r="S821" s="523"/>
      <c r="T821" s="523"/>
      <c r="U821" s="523"/>
      <c r="V821" s="523"/>
      <c r="W821" s="523"/>
      <c r="X821" s="523"/>
      <c r="Y821" s="523"/>
      <c r="Z821" s="523"/>
      <c r="AA821" s="523"/>
      <c r="AB821" s="523"/>
      <c r="AC821" s="523"/>
    </row>
    <row r="822" spans="1:29">
      <c r="A822" s="523"/>
      <c r="B822" s="523"/>
      <c r="C822" s="523"/>
      <c r="D822" s="523"/>
      <c r="E822" s="523"/>
      <c r="F822" s="523"/>
      <c r="G822" s="523"/>
      <c r="H822" s="523"/>
      <c r="I822" s="523"/>
      <c r="J822" s="523"/>
      <c r="K822" s="538"/>
      <c r="L822" s="539"/>
      <c r="M822" s="523"/>
      <c r="N822" s="523"/>
      <c r="O822" s="523"/>
      <c r="P822" s="1789"/>
      <c r="Q822" s="523"/>
      <c r="R822" s="523"/>
      <c r="S822" s="523"/>
      <c r="T822" s="523"/>
      <c r="U822" s="523"/>
      <c r="V822" s="523"/>
      <c r="W822" s="523"/>
      <c r="X822" s="523"/>
      <c r="Y822" s="523"/>
      <c r="Z822" s="523"/>
      <c r="AA822" s="523"/>
      <c r="AB822" s="523"/>
      <c r="AC822" s="523"/>
    </row>
    <row r="823" spans="1:29">
      <c r="A823" s="523"/>
      <c r="B823" s="523"/>
      <c r="C823" s="523"/>
      <c r="D823" s="523"/>
      <c r="E823" s="523"/>
      <c r="F823" s="523"/>
      <c r="G823" s="523"/>
      <c r="H823" s="523"/>
      <c r="I823" s="523"/>
      <c r="J823" s="523"/>
      <c r="K823" s="538"/>
      <c r="L823" s="539"/>
      <c r="M823" s="523"/>
      <c r="N823" s="523"/>
      <c r="O823" s="523"/>
      <c r="P823" s="1789"/>
      <c r="Q823" s="523"/>
      <c r="R823" s="523"/>
      <c r="S823" s="523"/>
      <c r="T823" s="523"/>
      <c r="U823" s="523"/>
      <c r="V823" s="523"/>
      <c r="W823" s="523"/>
      <c r="X823" s="523"/>
      <c r="Y823" s="523"/>
      <c r="Z823" s="523"/>
      <c r="AA823" s="523"/>
      <c r="AB823" s="523"/>
      <c r="AC823" s="523"/>
    </row>
    <row r="824" spans="1:29">
      <c r="A824" s="523"/>
      <c r="B824" s="523"/>
      <c r="C824" s="523"/>
      <c r="D824" s="523"/>
      <c r="E824" s="523"/>
      <c r="F824" s="523"/>
      <c r="G824" s="523"/>
      <c r="H824" s="523"/>
      <c r="I824" s="523"/>
      <c r="J824" s="523"/>
      <c r="K824" s="538"/>
      <c r="L824" s="539"/>
      <c r="M824" s="523"/>
      <c r="N824" s="523"/>
      <c r="O824" s="523"/>
      <c r="P824" s="1789"/>
      <c r="Q824" s="523"/>
      <c r="R824" s="523"/>
      <c r="S824" s="523"/>
      <c r="T824" s="523"/>
      <c r="U824" s="523"/>
      <c r="V824" s="523"/>
      <c r="W824" s="523"/>
      <c r="X824" s="523"/>
      <c r="Y824" s="523"/>
      <c r="Z824" s="523"/>
      <c r="AA824" s="523"/>
      <c r="AB824" s="523"/>
      <c r="AC824" s="523"/>
    </row>
    <row r="825" spans="1:29">
      <c r="A825" s="523"/>
      <c r="B825" s="523"/>
      <c r="C825" s="523"/>
      <c r="D825" s="523"/>
      <c r="E825" s="523"/>
      <c r="F825" s="523"/>
      <c r="G825" s="523"/>
      <c r="H825" s="523"/>
      <c r="I825" s="523"/>
      <c r="J825" s="523"/>
      <c r="K825" s="538"/>
      <c r="L825" s="539"/>
      <c r="M825" s="523"/>
      <c r="N825" s="523"/>
      <c r="O825" s="523"/>
      <c r="P825" s="1789"/>
      <c r="Q825" s="523"/>
      <c r="R825" s="523"/>
      <c r="S825" s="523"/>
      <c r="T825" s="523"/>
      <c r="U825" s="523"/>
      <c r="V825" s="523"/>
      <c r="W825" s="523"/>
      <c r="X825" s="523"/>
      <c r="Y825" s="523"/>
      <c r="Z825" s="523"/>
      <c r="AA825" s="523"/>
      <c r="AB825" s="523"/>
      <c r="AC825" s="523"/>
    </row>
    <row r="826" spans="1:29">
      <c r="A826" s="523"/>
      <c r="B826" s="523"/>
      <c r="C826" s="523"/>
      <c r="D826" s="523"/>
      <c r="E826" s="523"/>
      <c r="F826" s="523"/>
      <c r="G826" s="523"/>
      <c r="H826" s="523"/>
      <c r="I826" s="523"/>
      <c r="J826" s="523"/>
      <c r="K826" s="538"/>
      <c r="L826" s="539"/>
      <c r="M826" s="523"/>
      <c r="N826" s="523"/>
      <c r="O826" s="523"/>
      <c r="P826" s="1789"/>
      <c r="Q826" s="523"/>
      <c r="R826" s="523"/>
      <c r="S826" s="523"/>
      <c r="T826" s="523"/>
      <c r="U826" s="523"/>
      <c r="V826" s="523"/>
      <c r="W826" s="523"/>
      <c r="X826" s="523"/>
      <c r="Y826" s="523"/>
      <c r="Z826" s="523"/>
      <c r="AA826" s="523"/>
      <c r="AB826" s="523"/>
      <c r="AC826" s="523"/>
    </row>
    <row r="827" spans="1:29">
      <c r="A827" s="523"/>
      <c r="B827" s="523"/>
      <c r="C827" s="523"/>
      <c r="D827" s="523"/>
      <c r="E827" s="523"/>
      <c r="F827" s="523"/>
      <c r="G827" s="523"/>
      <c r="H827" s="523"/>
      <c r="I827" s="523"/>
      <c r="J827" s="523"/>
      <c r="K827" s="538"/>
      <c r="L827" s="539"/>
      <c r="M827" s="523"/>
      <c r="N827" s="523"/>
      <c r="O827" s="523"/>
      <c r="P827" s="1789"/>
      <c r="Q827" s="523"/>
      <c r="R827" s="523"/>
      <c r="S827" s="523"/>
      <c r="T827" s="523"/>
      <c r="U827" s="523"/>
      <c r="V827" s="523"/>
      <c r="W827" s="523"/>
      <c r="X827" s="523"/>
      <c r="Y827" s="523"/>
      <c r="Z827" s="523"/>
      <c r="AA827" s="523"/>
      <c r="AB827" s="523"/>
      <c r="AC827" s="523"/>
    </row>
    <row r="828" spans="1:29">
      <c r="A828" s="523"/>
      <c r="B828" s="523"/>
      <c r="C828" s="523"/>
      <c r="D828" s="523"/>
      <c r="E828" s="523"/>
      <c r="F828" s="523"/>
      <c r="G828" s="523"/>
      <c r="H828" s="523"/>
      <c r="I828" s="523"/>
      <c r="J828" s="523"/>
      <c r="K828" s="538"/>
      <c r="L828" s="539"/>
      <c r="M828" s="523"/>
      <c r="N828" s="523"/>
      <c r="O828" s="523"/>
      <c r="P828" s="1789"/>
      <c r="Q828" s="523"/>
      <c r="R828" s="523"/>
      <c r="S828" s="523"/>
      <c r="T828" s="523"/>
      <c r="U828" s="523"/>
      <c r="V828" s="523"/>
      <c r="W828" s="523"/>
      <c r="X828" s="523"/>
      <c r="Y828" s="523"/>
      <c r="Z828" s="523"/>
      <c r="AA828" s="523"/>
      <c r="AB828" s="523"/>
      <c r="AC828" s="523"/>
    </row>
    <row r="829" spans="1:29">
      <c r="A829" s="523"/>
      <c r="B829" s="523"/>
      <c r="C829" s="523"/>
      <c r="D829" s="523"/>
      <c r="E829" s="523"/>
      <c r="F829" s="523"/>
      <c r="G829" s="523"/>
      <c r="H829" s="523"/>
      <c r="I829" s="523"/>
      <c r="J829" s="523"/>
      <c r="K829" s="538"/>
      <c r="L829" s="539"/>
      <c r="M829" s="523"/>
      <c r="N829" s="523"/>
      <c r="O829" s="523"/>
      <c r="P829" s="1789"/>
      <c r="Q829" s="523"/>
      <c r="R829" s="523"/>
      <c r="S829" s="523"/>
      <c r="T829" s="523"/>
      <c r="U829" s="523"/>
      <c r="V829" s="523"/>
      <c r="W829" s="523"/>
      <c r="X829" s="523"/>
      <c r="Y829" s="523"/>
      <c r="Z829" s="523"/>
      <c r="AA829" s="523"/>
      <c r="AB829" s="523"/>
      <c r="AC829" s="523"/>
    </row>
    <row r="830" spans="1:29">
      <c r="A830" s="523"/>
      <c r="B830" s="523"/>
      <c r="C830" s="523"/>
      <c r="D830" s="523"/>
      <c r="E830" s="523"/>
      <c r="F830" s="523"/>
      <c r="G830" s="523"/>
      <c r="H830" s="523"/>
      <c r="I830" s="523"/>
      <c r="J830" s="523"/>
      <c r="K830" s="538"/>
      <c r="L830" s="539"/>
      <c r="M830" s="523"/>
      <c r="N830" s="523"/>
      <c r="O830" s="523"/>
      <c r="P830" s="1789"/>
      <c r="Q830" s="523"/>
      <c r="R830" s="523"/>
      <c r="S830" s="523"/>
      <c r="T830" s="523"/>
      <c r="U830" s="523"/>
      <c r="V830" s="523"/>
      <c r="W830" s="523"/>
      <c r="X830" s="523"/>
      <c r="Y830" s="523"/>
      <c r="Z830" s="523"/>
      <c r="AA830" s="523"/>
      <c r="AB830" s="523"/>
      <c r="AC830" s="523"/>
    </row>
    <row r="831" spans="1:29">
      <c r="A831" s="523"/>
      <c r="B831" s="523"/>
      <c r="C831" s="523"/>
      <c r="D831" s="523"/>
      <c r="E831" s="523"/>
      <c r="F831" s="523"/>
      <c r="G831" s="523"/>
      <c r="H831" s="523"/>
      <c r="I831" s="523"/>
      <c r="J831" s="523"/>
      <c r="K831" s="538"/>
      <c r="L831" s="539"/>
      <c r="M831" s="523"/>
      <c r="N831" s="523"/>
      <c r="O831" s="523"/>
      <c r="P831" s="1789"/>
      <c r="Q831" s="523"/>
      <c r="R831" s="523"/>
      <c r="S831" s="523"/>
      <c r="T831" s="523"/>
      <c r="U831" s="523"/>
      <c r="V831" s="523"/>
      <c r="W831" s="523"/>
      <c r="X831" s="523"/>
      <c r="Y831" s="523"/>
      <c r="Z831" s="523"/>
      <c r="AA831" s="523"/>
      <c r="AB831" s="523"/>
      <c r="AC831" s="523"/>
    </row>
    <row r="832" spans="1:29">
      <c r="A832" s="523"/>
      <c r="B832" s="523"/>
      <c r="C832" s="523"/>
      <c r="D832" s="523"/>
      <c r="E832" s="523"/>
      <c r="F832" s="523"/>
      <c r="G832" s="523"/>
      <c r="H832" s="523"/>
      <c r="I832" s="523"/>
      <c r="J832" s="523"/>
      <c r="K832" s="538"/>
      <c r="L832" s="539"/>
      <c r="M832" s="523"/>
      <c r="N832" s="523"/>
      <c r="O832" s="523"/>
      <c r="P832" s="1789"/>
      <c r="Q832" s="523"/>
      <c r="R832" s="523"/>
      <c r="S832" s="523"/>
      <c r="T832" s="523"/>
      <c r="U832" s="523"/>
      <c r="V832" s="523"/>
      <c r="W832" s="523"/>
      <c r="X832" s="523"/>
      <c r="Y832" s="523"/>
      <c r="Z832" s="523"/>
      <c r="AA832" s="523"/>
      <c r="AB832" s="523"/>
      <c r="AC832" s="523"/>
    </row>
    <row r="833" spans="1:29">
      <c r="A833" s="523"/>
      <c r="B833" s="523"/>
      <c r="C833" s="523"/>
      <c r="D833" s="523"/>
      <c r="E833" s="523"/>
      <c r="F833" s="523"/>
      <c r="G833" s="523"/>
      <c r="H833" s="523"/>
      <c r="I833" s="523"/>
      <c r="J833" s="523"/>
      <c r="K833" s="538"/>
      <c r="L833" s="539"/>
      <c r="M833" s="523"/>
      <c r="N833" s="523"/>
      <c r="O833" s="523"/>
      <c r="P833" s="1789"/>
      <c r="Q833" s="523"/>
      <c r="R833" s="523"/>
      <c r="S833" s="523"/>
      <c r="T833" s="523"/>
      <c r="U833" s="523"/>
      <c r="V833" s="523"/>
      <c r="W833" s="523"/>
      <c r="X833" s="523"/>
      <c r="Y833" s="523"/>
      <c r="Z833" s="523"/>
      <c r="AA833" s="523"/>
      <c r="AB833" s="523"/>
      <c r="AC833" s="523"/>
    </row>
    <row r="834" spans="1:29">
      <c r="A834" s="523"/>
      <c r="B834" s="523"/>
      <c r="C834" s="523"/>
      <c r="D834" s="523"/>
      <c r="E834" s="523"/>
      <c r="F834" s="523"/>
      <c r="G834" s="523"/>
      <c r="H834" s="523"/>
      <c r="I834" s="523"/>
      <c r="J834" s="523"/>
      <c r="K834" s="538"/>
      <c r="L834" s="539"/>
      <c r="M834" s="523"/>
      <c r="N834" s="523"/>
      <c r="O834" s="523"/>
      <c r="P834" s="1789"/>
      <c r="Q834" s="523"/>
      <c r="R834" s="523"/>
      <c r="S834" s="523"/>
      <c r="T834" s="523"/>
      <c r="U834" s="523"/>
      <c r="V834" s="523"/>
      <c r="W834" s="523"/>
      <c r="X834" s="523"/>
      <c r="Y834" s="523"/>
      <c r="Z834" s="523"/>
      <c r="AA834" s="523"/>
      <c r="AB834" s="523"/>
      <c r="AC834" s="523"/>
    </row>
    <row r="835" spans="1:29">
      <c r="A835" s="523"/>
      <c r="B835" s="523"/>
      <c r="C835" s="523"/>
      <c r="D835" s="523"/>
      <c r="E835" s="523"/>
      <c r="F835" s="523"/>
      <c r="G835" s="523"/>
      <c r="H835" s="523"/>
      <c r="I835" s="523"/>
      <c r="J835" s="523"/>
      <c r="K835" s="538"/>
      <c r="L835" s="539"/>
      <c r="M835" s="523"/>
      <c r="N835" s="523"/>
      <c r="O835" s="523"/>
      <c r="P835" s="1789"/>
      <c r="Q835" s="523"/>
      <c r="R835" s="523"/>
      <c r="S835" s="523"/>
      <c r="T835" s="523"/>
      <c r="U835" s="523"/>
      <c r="V835" s="523"/>
      <c r="W835" s="523"/>
      <c r="X835" s="523"/>
      <c r="Y835" s="523"/>
      <c r="Z835" s="523"/>
      <c r="AA835" s="523"/>
      <c r="AB835" s="523"/>
      <c r="AC835" s="523"/>
    </row>
    <row r="836" spans="1:29">
      <c r="A836" s="523"/>
      <c r="B836" s="523"/>
      <c r="C836" s="523"/>
      <c r="D836" s="523"/>
      <c r="E836" s="523"/>
      <c r="F836" s="523"/>
      <c r="G836" s="523"/>
      <c r="H836" s="523"/>
      <c r="I836" s="523"/>
      <c r="J836" s="523"/>
      <c r="K836" s="538"/>
      <c r="L836" s="539"/>
      <c r="M836" s="523"/>
      <c r="N836" s="523"/>
      <c r="O836" s="523"/>
      <c r="P836" s="1789"/>
      <c r="Q836" s="523"/>
      <c r="R836" s="523"/>
      <c r="S836" s="523"/>
      <c r="T836" s="523"/>
      <c r="U836" s="523"/>
      <c r="V836" s="523"/>
      <c r="W836" s="523"/>
      <c r="X836" s="523"/>
      <c r="Y836" s="523"/>
      <c r="Z836" s="523"/>
      <c r="AA836" s="523"/>
      <c r="AB836" s="523"/>
      <c r="AC836" s="523"/>
    </row>
    <row r="837" spans="1:29">
      <c r="A837" s="523"/>
      <c r="B837" s="523"/>
      <c r="C837" s="523"/>
      <c r="D837" s="523"/>
      <c r="E837" s="523"/>
      <c r="F837" s="523"/>
      <c r="G837" s="523"/>
      <c r="H837" s="523"/>
      <c r="I837" s="523"/>
      <c r="J837" s="523"/>
      <c r="K837" s="538"/>
      <c r="L837" s="539"/>
      <c r="M837" s="523"/>
      <c r="N837" s="523"/>
      <c r="O837" s="523"/>
      <c r="P837" s="1789"/>
      <c r="Q837" s="523"/>
      <c r="R837" s="523"/>
      <c r="S837" s="523"/>
      <c r="T837" s="523"/>
      <c r="U837" s="523"/>
      <c r="V837" s="523"/>
      <c r="W837" s="523"/>
      <c r="X837" s="523"/>
      <c r="Y837" s="523"/>
      <c r="Z837" s="523"/>
      <c r="AA837" s="523"/>
      <c r="AB837" s="523"/>
      <c r="AC837" s="523"/>
    </row>
    <row r="838" spans="1:29">
      <c r="A838" s="523"/>
      <c r="B838" s="523"/>
      <c r="C838" s="523"/>
      <c r="D838" s="523"/>
      <c r="E838" s="523"/>
      <c r="F838" s="523"/>
      <c r="G838" s="523"/>
      <c r="H838" s="523"/>
      <c r="I838" s="523"/>
      <c r="J838" s="523"/>
      <c r="K838" s="538"/>
      <c r="L838" s="539"/>
      <c r="M838" s="523"/>
      <c r="N838" s="523"/>
      <c r="O838" s="523"/>
      <c r="P838" s="1789"/>
      <c r="Q838" s="523"/>
      <c r="R838" s="523"/>
      <c r="S838" s="523"/>
      <c r="T838" s="523"/>
      <c r="U838" s="523"/>
      <c r="V838" s="523"/>
      <c r="W838" s="523"/>
      <c r="X838" s="523"/>
      <c r="Y838" s="523"/>
      <c r="Z838" s="523"/>
      <c r="AA838" s="523"/>
      <c r="AB838" s="523"/>
      <c r="AC838" s="523"/>
    </row>
    <row r="839" spans="1:29">
      <c r="A839" s="523"/>
      <c r="B839" s="523"/>
      <c r="C839" s="523"/>
      <c r="D839" s="523"/>
      <c r="E839" s="523"/>
      <c r="F839" s="523"/>
      <c r="G839" s="523"/>
      <c r="H839" s="523"/>
      <c r="I839" s="523"/>
      <c r="J839" s="523"/>
      <c r="K839" s="538"/>
      <c r="L839" s="539"/>
      <c r="M839" s="523"/>
      <c r="N839" s="523"/>
      <c r="O839" s="523"/>
      <c r="P839" s="1789"/>
      <c r="Q839" s="523"/>
      <c r="R839" s="523"/>
      <c r="S839" s="523"/>
      <c r="T839" s="523"/>
      <c r="U839" s="523"/>
      <c r="V839" s="523"/>
      <c r="W839" s="523"/>
      <c r="X839" s="523"/>
      <c r="Y839" s="523"/>
      <c r="Z839" s="523"/>
      <c r="AA839" s="523"/>
      <c r="AB839" s="523"/>
      <c r="AC839" s="523"/>
    </row>
    <row r="840" spans="1:29">
      <c r="A840" s="523"/>
      <c r="B840" s="523"/>
      <c r="C840" s="523"/>
      <c r="D840" s="523"/>
      <c r="E840" s="523"/>
      <c r="F840" s="523"/>
      <c r="G840" s="523"/>
      <c r="H840" s="523"/>
      <c r="I840" s="523"/>
      <c r="J840" s="523"/>
      <c r="K840" s="538"/>
      <c r="L840" s="539"/>
      <c r="M840" s="523"/>
      <c r="N840" s="523"/>
      <c r="O840" s="523"/>
      <c r="P840" s="1789"/>
      <c r="Q840" s="523"/>
      <c r="R840" s="523"/>
      <c r="S840" s="523"/>
      <c r="T840" s="523"/>
      <c r="U840" s="523"/>
      <c r="V840" s="523"/>
      <c r="W840" s="523"/>
      <c r="X840" s="523"/>
      <c r="Y840" s="523"/>
      <c r="Z840" s="523"/>
      <c r="AA840" s="523"/>
      <c r="AB840" s="523"/>
      <c r="AC840" s="523"/>
    </row>
    <row r="841" spans="1:29">
      <c r="A841" s="523"/>
      <c r="B841" s="523"/>
      <c r="C841" s="523"/>
      <c r="D841" s="523"/>
      <c r="E841" s="523"/>
      <c r="F841" s="523"/>
      <c r="G841" s="523"/>
      <c r="H841" s="523"/>
      <c r="I841" s="523"/>
      <c r="J841" s="523"/>
      <c r="K841" s="538"/>
      <c r="L841" s="539"/>
      <c r="M841" s="523"/>
      <c r="N841" s="523"/>
      <c r="O841" s="523"/>
      <c r="P841" s="1789"/>
      <c r="Q841" s="523"/>
      <c r="R841" s="523"/>
      <c r="S841" s="523"/>
      <c r="T841" s="523"/>
      <c r="U841" s="523"/>
      <c r="V841" s="523"/>
      <c r="W841" s="523"/>
      <c r="X841" s="523"/>
      <c r="Y841" s="523"/>
      <c r="Z841" s="523"/>
      <c r="AA841" s="523"/>
      <c r="AB841" s="523"/>
      <c r="AC841" s="523"/>
    </row>
    <row r="842" spans="1:29">
      <c r="A842" s="523"/>
      <c r="B842" s="523"/>
      <c r="C842" s="523"/>
      <c r="D842" s="523"/>
      <c r="E842" s="523"/>
      <c r="F842" s="523"/>
      <c r="G842" s="523"/>
      <c r="H842" s="523"/>
      <c r="I842" s="523"/>
      <c r="J842" s="523"/>
      <c r="K842" s="538"/>
      <c r="L842" s="539"/>
      <c r="M842" s="523"/>
      <c r="N842" s="523"/>
      <c r="O842" s="523"/>
      <c r="P842" s="1789"/>
      <c r="Q842" s="523"/>
      <c r="R842" s="523"/>
      <c r="S842" s="523"/>
      <c r="T842" s="523"/>
      <c r="U842" s="523"/>
      <c r="V842" s="523"/>
      <c r="W842" s="523"/>
      <c r="X842" s="523"/>
      <c r="Y842" s="523"/>
      <c r="Z842" s="523"/>
      <c r="AA842" s="523"/>
      <c r="AB842" s="523"/>
      <c r="AC842" s="523"/>
    </row>
    <row r="843" spans="1:29">
      <c r="A843" s="523"/>
      <c r="B843" s="523"/>
      <c r="C843" s="523"/>
      <c r="D843" s="523"/>
      <c r="E843" s="523"/>
      <c r="F843" s="523"/>
      <c r="G843" s="523"/>
      <c r="H843" s="523"/>
      <c r="I843" s="523"/>
      <c r="J843" s="523"/>
      <c r="K843" s="538"/>
      <c r="L843" s="539"/>
      <c r="M843" s="523"/>
      <c r="N843" s="523"/>
      <c r="O843" s="523"/>
      <c r="P843" s="1789"/>
      <c r="Q843" s="523"/>
      <c r="R843" s="523"/>
      <c r="S843" s="523"/>
      <c r="T843" s="523"/>
      <c r="U843" s="523"/>
      <c r="V843" s="523"/>
      <c r="W843" s="523"/>
      <c r="X843" s="523"/>
      <c r="Y843" s="523"/>
      <c r="Z843" s="523"/>
      <c r="AA843" s="523"/>
      <c r="AB843" s="523"/>
      <c r="AC843" s="523"/>
    </row>
    <row r="844" spans="1:29">
      <c r="A844" s="523"/>
      <c r="B844" s="523"/>
      <c r="C844" s="523"/>
      <c r="D844" s="523"/>
      <c r="E844" s="523"/>
      <c r="F844" s="523"/>
      <c r="G844" s="523"/>
      <c r="H844" s="523"/>
      <c r="I844" s="523"/>
      <c r="J844" s="523"/>
      <c r="K844" s="538"/>
      <c r="L844" s="539"/>
      <c r="M844" s="523"/>
      <c r="N844" s="523"/>
      <c r="O844" s="523"/>
      <c r="P844" s="1789"/>
      <c r="Q844" s="523"/>
      <c r="R844" s="523"/>
      <c r="S844" s="523"/>
      <c r="T844" s="523"/>
      <c r="U844" s="523"/>
      <c r="V844" s="523"/>
      <c r="W844" s="523"/>
      <c r="X844" s="523"/>
      <c r="Y844" s="523"/>
      <c r="Z844" s="523"/>
      <c r="AA844" s="523"/>
      <c r="AB844" s="523"/>
      <c r="AC844" s="523"/>
    </row>
    <row r="845" spans="1:29">
      <c r="A845" s="523"/>
      <c r="B845" s="523"/>
      <c r="C845" s="523"/>
      <c r="D845" s="523"/>
      <c r="E845" s="523"/>
      <c r="F845" s="523"/>
      <c r="G845" s="523"/>
      <c r="H845" s="523"/>
      <c r="I845" s="523"/>
      <c r="J845" s="523"/>
      <c r="K845" s="538"/>
      <c r="L845" s="539"/>
      <c r="M845" s="523"/>
      <c r="N845" s="523"/>
      <c r="O845" s="523"/>
      <c r="P845" s="1789"/>
      <c r="Q845" s="523"/>
      <c r="R845" s="523"/>
      <c r="S845" s="523"/>
      <c r="T845" s="523"/>
      <c r="U845" s="523"/>
      <c r="V845" s="523"/>
      <c r="W845" s="523"/>
      <c r="X845" s="523"/>
      <c r="Y845" s="523"/>
      <c r="Z845" s="523"/>
      <c r="AA845" s="523"/>
      <c r="AB845" s="523"/>
      <c r="AC845" s="523"/>
    </row>
    <row r="846" spans="1:29">
      <c r="A846" s="523"/>
      <c r="B846" s="523"/>
      <c r="C846" s="523"/>
      <c r="D846" s="523"/>
      <c r="E846" s="523"/>
      <c r="F846" s="523"/>
      <c r="G846" s="523"/>
      <c r="H846" s="523"/>
      <c r="I846" s="523"/>
      <c r="J846" s="523"/>
      <c r="K846" s="538"/>
      <c r="L846" s="539"/>
      <c r="M846" s="523"/>
      <c r="N846" s="523"/>
      <c r="O846" s="523"/>
      <c r="P846" s="1789"/>
      <c r="Q846" s="523"/>
      <c r="R846" s="523"/>
      <c r="S846" s="523"/>
      <c r="T846" s="523"/>
      <c r="U846" s="523"/>
      <c r="V846" s="523"/>
      <c r="W846" s="523"/>
      <c r="X846" s="523"/>
      <c r="Y846" s="523"/>
      <c r="Z846" s="523"/>
      <c r="AA846" s="523"/>
      <c r="AB846" s="523"/>
      <c r="AC846" s="523"/>
    </row>
    <row r="847" spans="1:29">
      <c r="A847" s="523"/>
      <c r="B847" s="523"/>
      <c r="C847" s="523"/>
      <c r="D847" s="523"/>
      <c r="E847" s="523"/>
      <c r="F847" s="523"/>
      <c r="G847" s="523"/>
      <c r="H847" s="523"/>
      <c r="I847" s="523"/>
      <c r="J847" s="523"/>
      <c r="K847" s="538"/>
      <c r="L847" s="539"/>
      <c r="M847" s="523"/>
      <c r="N847" s="523"/>
      <c r="O847" s="523"/>
      <c r="P847" s="1789"/>
      <c r="Q847" s="523"/>
      <c r="R847" s="523"/>
      <c r="S847" s="523"/>
      <c r="T847" s="523"/>
      <c r="U847" s="523"/>
      <c r="V847" s="523"/>
      <c r="W847" s="523"/>
      <c r="X847" s="523"/>
      <c r="Y847" s="523"/>
      <c r="Z847" s="523"/>
      <c r="AA847" s="523"/>
      <c r="AB847" s="523"/>
      <c r="AC847" s="523"/>
    </row>
    <row r="848" spans="1:29">
      <c r="A848" s="523"/>
      <c r="B848" s="523"/>
      <c r="C848" s="523"/>
      <c r="D848" s="523"/>
      <c r="E848" s="523"/>
      <c r="F848" s="523"/>
      <c r="G848" s="523"/>
      <c r="H848" s="523"/>
      <c r="I848" s="523"/>
      <c r="J848" s="523"/>
      <c r="K848" s="538"/>
      <c r="L848" s="539"/>
      <c r="M848" s="523"/>
      <c r="N848" s="523"/>
      <c r="O848" s="523"/>
      <c r="P848" s="1789"/>
      <c r="Q848" s="523"/>
      <c r="R848" s="523"/>
      <c r="S848" s="523"/>
      <c r="T848" s="523"/>
      <c r="U848" s="523"/>
      <c r="V848" s="523"/>
      <c r="W848" s="523"/>
      <c r="X848" s="523"/>
      <c r="Y848" s="523"/>
      <c r="Z848" s="523"/>
      <c r="AA848" s="523"/>
      <c r="AB848" s="523"/>
      <c r="AC848" s="523"/>
    </row>
    <row r="849" spans="1:29">
      <c r="A849" s="523"/>
      <c r="B849" s="523"/>
      <c r="C849" s="523"/>
      <c r="D849" s="523"/>
      <c r="E849" s="523"/>
      <c r="F849" s="523"/>
      <c r="G849" s="523"/>
      <c r="H849" s="523"/>
      <c r="I849" s="523"/>
      <c r="J849" s="523"/>
      <c r="K849" s="538"/>
      <c r="L849" s="539"/>
      <c r="M849" s="523"/>
      <c r="N849" s="523"/>
      <c r="O849" s="523"/>
      <c r="P849" s="1789"/>
      <c r="Q849" s="523"/>
      <c r="R849" s="523"/>
      <c r="S849" s="523"/>
      <c r="T849" s="523"/>
      <c r="U849" s="523"/>
      <c r="V849" s="523"/>
      <c r="W849" s="523"/>
      <c r="X849" s="523"/>
      <c r="Y849" s="523"/>
      <c r="Z849" s="523"/>
      <c r="AA849" s="523"/>
      <c r="AB849" s="523"/>
      <c r="AC849" s="523"/>
    </row>
    <row r="850" spans="1:29">
      <c r="A850" s="523"/>
      <c r="B850" s="523"/>
      <c r="C850" s="523"/>
      <c r="D850" s="523"/>
      <c r="E850" s="523"/>
      <c r="F850" s="523"/>
      <c r="G850" s="523"/>
      <c r="H850" s="523"/>
      <c r="I850" s="523"/>
      <c r="J850" s="523"/>
      <c r="K850" s="538"/>
      <c r="L850" s="539"/>
      <c r="M850" s="523"/>
      <c r="N850" s="523"/>
      <c r="O850" s="523"/>
      <c r="P850" s="1789"/>
      <c r="Q850" s="523"/>
      <c r="R850" s="523"/>
      <c r="S850" s="523"/>
      <c r="T850" s="523"/>
      <c r="U850" s="523"/>
      <c r="V850" s="523"/>
      <c r="W850" s="523"/>
      <c r="X850" s="523"/>
      <c r="Y850" s="523"/>
      <c r="Z850" s="523"/>
      <c r="AA850" s="523"/>
      <c r="AB850" s="523"/>
      <c r="AC850" s="523"/>
    </row>
    <row r="851" spans="1:29">
      <c r="A851" s="523"/>
      <c r="B851" s="523"/>
      <c r="C851" s="523"/>
      <c r="D851" s="523"/>
      <c r="E851" s="523"/>
      <c r="F851" s="523"/>
      <c r="G851" s="523"/>
      <c r="H851" s="523"/>
      <c r="I851" s="523"/>
      <c r="J851" s="523"/>
      <c r="K851" s="538"/>
      <c r="L851" s="539"/>
      <c r="M851" s="523"/>
      <c r="N851" s="523"/>
      <c r="O851" s="523"/>
      <c r="P851" s="1789"/>
      <c r="Q851" s="523"/>
      <c r="R851" s="523"/>
      <c r="S851" s="523"/>
      <c r="T851" s="523"/>
      <c r="U851" s="523"/>
      <c r="V851" s="523"/>
      <c r="W851" s="523"/>
      <c r="X851" s="523"/>
      <c r="Y851" s="523"/>
      <c r="Z851" s="523"/>
      <c r="AA851" s="523"/>
      <c r="AB851" s="523"/>
      <c r="AC851" s="523"/>
    </row>
    <row r="852" spans="1:29">
      <c r="A852" s="523"/>
      <c r="B852" s="523"/>
      <c r="C852" s="523"/>
      <c r="D852" s="523"/>
      <c r="E852" s="523"/>
      <c r="F852" s="523"/>
      <c r="G852" s="523"/>
      <c r="H852" s="523"/>
      <c r="I852" s="523"/>
      <c r="J852" s="523"/>
      <c r="K852" s="538"/>
      <c r="L852" s="539"/>
      <c r="M852" s="523"/>
      <c r="N852" s="523"/>
      <c r="O852" s="523"/>
      <c r="P852" s="1789"/>
      <c r="Q852" s="523"/>
      <c r="R852" s="523"/>
      <c r="S852" s="523"/>
      <c r="T852" s="523"/>
      <c r="U852" s="523"/>
      <c r="V852" s="523"/>
      <c r="W852" s="523"/>
      <c r="X852" s="523"/>
      <c r="Y852" s="523"/>
      <c r="Z852" s="523"/>
      <c r="AA852" s="523"/>
      <c r="AB852" s="523"/>
      <c r="AC852" s="523"/>
    </row>
    <row r="853" spans="1:29">
      <c r="A853" s="523"/>
      <c r="B853" s="523"/>
      <c r="C853" s="523"/>
      <c r="D853" s="523"/>
      <c r="E853" s="523"/>
      <c r="F853" s="523"/>
      <c r="G853" s="523"/>
      <c r="H853" s="523"/>
      <c r="I853" s="523"/>
      <c r="J853" s="523"/>
      <c r="K853" s="538"/>
      <c r="L853" s="539"/>
      <c r="M853" s="523"/>
      <c r="N853" s="523"/>
      <c r="O853" s="523"/>
      <c r="P853" s="1789"/>
      <c r="Q853" s="523"/>
      <c r="R853" s="523"/>
      <c r="S853" s="523"/>
      <c r="T853" s="523"/>
      <c r="U853" s="523"/>
      <c r="V853" s="523"/>
      <c r="W853" s="523"/>
      <c r="X853" s="523"/>
      <c r="Y853" s="523"/>
      <c r="Z853" s="523"/>
      <c r="AA853" s="523"/>
      <c r="AB853" s="523"/>
      <c r="AC853"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7" priority="4">
      <formula>$D$49="简单平均"</formula>
    </cfRule>
  </conditionalFormatting>
  <conditionalFormatting sqref="H49">
    <cfRule type="expression" dxfId="7" priority="3">
      <formula>$D$49="简单平均"</formula>
    </cfRule>
  </conditionalFormatting>
  <conditionalFormatting sqref="J49">
    <cfRule type="expression" dxfId="7"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8"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3">
    <dataValidation type="list" allowBlank="1" showInputMessage="1" showErrorMessage="1" sqref="D1">
      <formula1>项目类型</formula1>
    </dataValidation>
    <dataValidation type="list" allowBlank="1" showInputMessage="1" showErrorMessage="1" sqref="C8 E8 G8 I8">
      <formula1>办公交易情况</formula1>
    </dataValidation>
    <dataValidation type="list" allowBlank="1" showInputMessage="1" showErrorMessage="1" sqref="F1">
      <formula1>"售价,租金"</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43 E43 G43 I43">
      <formula1>办公内部装修</formula1>
    </dataValidation>
    <dataValidation type="list" allowBlank="1" showInputMessage="1" showErrorMessage="1" sqref="C16 E16 G16 I16">
      <formula1>办公集聚程度</formula1>
    </dataValidation>
    <dataValidation type="list" allowBlank="1" showInputMessage="1" showErrorMessage="1" sqref="C20 E20 G20 I20">
      <formula1>公共配套设施</formula1>
    </dataValidation>
    <dataValidation type="list" allowBlank="1" showInputMessage="1" showErrorMessage="1" sqref="D49">
      <formula1>"简单平均,加权平均"</formula1>
    </dataValidation>
    <dataValidation type="list" allowBlank="1" showInputMessage="1" showErrorMessage="1" sqref="C40 E40 G40 I40">
      <formula1>办公基础设施水平</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49"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115" zoomScaleNormal="115" topLeftCell="A7" workbookViewId="0">
      <selection activeCell="D2" sqref="D2"/>
    </sheetView>
  </sheetViews>
  <sheetFormatPr defaultColWidth="9" defaultRowHeight="13.5"/>
  <sheetData/>
  <pageMargins left="0.75" right="0.75" top="1" bottom="1" header="0.5" footer="0.5"/>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R118"/>
  <sheetViews>
    <sheetView view="pageBreakPreview" zoomScale="70" zoomScaleNormal="60" workbookViewId="0">
      <selection activeCell="G65" sqref="G65"/>
    </sheetView>
  </sheetViews>
  <sheetFormatPr defaultColWidth="12" defaultRowHeight="12"/>
  <cols>
    <col min="1" max="1" width="9.75" style="1387" customWidth="1"/>
    <col min="2" max="2" width="20.875" style="1388" customWidth="1"/>
    <col min="3" max="4" width="12" style="1389"/>
    <col min="5" max="5" width="14.625" style="1389" customWidth="1"/>
    <col min="6" max="8" width="12" style="1389"/>
    <col min="9" max="9" width="12.25" style="1389" customWidth="1"/>
    <col min="10" max="10" width="12" style="1389"/>
    <col min="11" max="11" width="9.625" style="1386" customWidth="1"/>
    <col min="12" max="12" width="12" style="1389"/>
    <col min="13" max="14" width="10.625" style="1389" customWidth="1"/>
    <col min="15" max="17" width="12" style="1389"/>
    <col min="18" max="18" width="12" style="1387"/>
    <col min="19" max="22" width="15.5" style="1387" customWidth="1"/>
    <col min="23" max="28" width="12" style="1389"/>
    <col min="29" max="29" width="9.375" style="1387" customWidth="1"/>
    <col min="30" max="35" width="9.375" style="1390" customWidth="1"/>
    <col min="36" max="39" width="9.375" style="1387" customWidth="1"/>
    <col min="40" max="41" width="9.375" style="1389" customWidth="1"/>
    <col min="42" max="16384" width="12" style="1389"/>
  </cols>
  <sheetData>
    <row r="1" ht="20.25" spans="1:29">
      <c r="A1" s="1391" t="s">
        <v>803</v>
      </c>
      <c r="B1" s="1392"/>
      <c r="C1" s="1393" t="s">
        <v>389</v>
      </c>
      <c r="D1" s="1394">
        <f>SUM(D29:D30,D33:D39)</f>
        <v>25022.71</v>
      </c>
      <c r="E1" s="1393" t="s">
        <v>392</v>
      </c>
      <c r="F1" s="1395">
        <f>'数据-基础表'!A3</f>
        <v>20468.06</v>
      </c>
      <c r="G1" s="1396"/>
      <c r="H1" s="1396"/>
      <c r="I1" s="1396"/>
      <c r="J1" s="1396"/>
      <c r="K1" s="1594"/>
      <c r="L1" s="1595" t="s">
        <v>804</v>
      </c>
      <c r="M1" s="1596">
        <f>SUMPRODUCT((区片价!B5:B9=I2)*(区片价!C3:F3=E2)*(区片价!C5:F9))</f>
        <v>0</v>
      </c>
      <c r="N1" s="1597">
        <f>SUMPRODUCT((因素修正幅度!B5:B9=I2)*(因素修正幅度!C3:F3=E2)*(因素修正幅度!C5:F9))</f>
        <v>0</v>
      </c>
      <c r="O1" s="1594"/>
      <c r="P1" s="1594"/>
      <c r="Q1" s="1594"/>
      <c r="R1" s="1685" t="s">
        <v>805</v>
      </c>
      <c r="S1" s="1685" t="s">
        <v>806</v>
      </c>
      <c r="T1" s="1685" t="s">
        <v>769</v>
      </c>
      <c r="U1" s="1685" t="s">
        <v>807</v>
      </c>
      <c r="V1" s="1685" t="s">
        <v>637</v>
      </c>
      <c r="W1" s="1594"/>
      <c r="X1" s="1594"/>
      <c r="Y1" s="1594"/>
      <c r="Z1" s="1594"/>
      <c r="AA1" s="1594"/>
      <c r="AB1" s="1594"/>
      <c r="AC1" s="1697"/>
    </row>
    <row r="2" ht="15.75" spans="1:29">
      <c r="A2" s="1393" t="s">
        <v>775</v>
      </c>
      <c r="B2" s="1397">
        <f ca="1">C26</f>
        <v>22423</v>
      </c>
      <c r="C2" s="1398" t="s">
        <v>808</v>
      </c>
      <c r="D2" s="1399" t="s">
        <v>348</v>
      </c>
      <c r="E2" s="1400" t="s">
        <v>377</v>
      </c>
      <c r="F2" s="1399" t="s">
        <v>217</v>
      </c>
      <c r="G2" s="1401" t="str">
        <f>IF(E2="商业",项目基本情况!B43,IF(E2="办公",项目基本情况!C43,IF(E2="住宅",项目基本情况!D43,项目基本情况!E43)))</f>
        <v>八级</v>
      </c>
      <c r="H2" s="1399" t="s">
        <v>424</v>
      </c>
      <c r="I2" s="1598" t="str">
        <f>IF(E2="商业",项目基本情况!B44,IF(E2="办公",项目基本情况!C44,IF(E2="住宅",项目基本情况!D44,项目基本情况!E44)))</f>
        <v>Ⅷ-02</v>
      </c>
      <c r="J2" s="1599"/>
      <c r="K2" s="1600"/>
      <c r="L2" s="1601" t="s">
        <v>809</v>
      </c>
      <c r="M2" s="1602">
        <f>SUMPRODUCT((区片价!B10:B28=I2)*(区片价!C3:F3=E2)*(区片价!C10:F28))</f>
        <v>0</v>
      </c>
      <c r="N2" s="1603">
        <f>SUMPRODUCT((因素修正幅度!B10:B28=I2)*(因素修正幅度!C3:F3=E2)*(因素修正幅度!C10:F28))</f>
        <v>0</v>
      </c>
      <c r="O2" s="1600"/>
      <c r="P2" s="1594"/>
      <c r="Q2" s="1594"/>
      <c r="R2" s="1686">
        <v>1</v>
      </c>
      <c r="S2" s="1686">
        <f>ROUND(IF(G3&gt;1,IF(R2&lt;7,SUMPRODUCT((B93:B98=R2)*(C92:N92=G2)*(C93:N98)),SUMIF(C92:N92,G2,C100:N100)),IF(R2&lt;7,SUMPRODUCT((B102:B107=R2)*(C92:N92=G2)*(C102:N107)),SUMIF(C92:N92,G2,C109:N109))),4)</f>
        <v>1.942</v>
      </c>
      <c r="T2" s="1686">
        <f ca="1">ROUND($C$5*$C$18*$C$19*$C$20*S2*$C$24,0)</f>
        <v>14892</v>
      </c>
      <c r="U2" s="1687"/>
      <c r="V2" s="1686">
        <f ca="1">ROUND(T2*U2/10000,0)</f>
        <v>0</v>
      </c>
      <c r="W2" s="1594"/>
      <c r="X2" s="1594"/>
      <c r="Y2" s="1594"/>
      <c r="Z2" s="1594"/>
      <c r="AA2" s="1594"/>
      <c r="AB2" s="1594"/>
      <c r="AC2" s="1697"/>
    </row>
    <row r="3" ht="15.75" spans="1:29">
      <c r="A3" s="1402" t="s">
        <v>714</v>
      </c>
      <c r="B3" s="1397">
        <f ca="1">ROUND(B2*10000/D1,0)</f>
        <v>8961</v>
      </c>
      <c r="C3" s="1398" t="s">
        <v>810</v>
      </c>
      <c r="D3" s="1399" t="s">
        <v>811</v>
      </c>
      <c r="E3" s="1403" t="s">
        <v>812</v>
      </c>
      <c r="F3" s="1404" t="s">
        <v>813</v>
      </c>
      <c r="G3" s="1405">
        <f>IF(F3="宗地容积率",'数据-汇总表'!I4,IF(F3="估价对象容积率",'数据-汇总表'!I6,'数据-汇总表'!I7))</f>
        <v>1.22</v>
      </c>
      <c r="H3" s="1406" t="s">
        <v>814</v>
      </c>
      <c r="I3" s="1604"/>
      <c r="J3" s="1599" t="s">
        <v>815</v>
      </c>
      <c r="K3" s="1600"/>
      <c r="L3" s="1601" t="s">
        <v>816</v>
      </c>
      <c r="M3" s="1602">
        <f>SUMPRODUCT((区片价!B29:B48=I2)*(区片价!C3:F3=E2)*(区片价!C29:F48))</f>
        <v>0</v>
      </c>
      <c r="N3" s="1603">
        <f>SUMPRODUCT((因素修正幅度!B29:B48=I2)*(因素修正幅度!C3:F3=E2)*(因素修正幅度!C29:F48))</f>
        <v>0</v>
      </c>
      <c r="O3" s="1600"/>
      <c r="P3" s="1594"/>
      <c r="Q3" s="1594"/>
      <c r="R3" s="1686">
        <v>2</v>
      </c>
      <c r="S3" s="1686">
        <f>ROUND(IF(G3&gt;1,IF(R3&lt;7,SUMPRODUCT((B93:B98=R3)*(C92:N92=G2)*(C93:N98)),SUMIF(C92:N92,G2,C100:N100)),IF(R3&lt;7,SUMPRODUCT((B102:B107=R3)*(C92:N92=G2)*(C102:N107)),SUMIF(C92:N92,G2,C109:N109))),4)</f>
        <v>1.2799</v>
      </c>
      <c r="T3" s="1686">
        <f ca="1" t="shared" ref="T3:T16" si="0">ROUND($C$5*$C$18*$C$19*$C$20*S3*$C$24,0)</f>
        <v>9815</v>
      </c>
      <c r="U3" s="1687"/>
      <c r="V3" s="1686">
        <f ca="1" t="shared" ref="V3:V16" si="1">ROUND(T3*U3/10000,0)</f>
        <v>0</v>
      </c>
      <c r="W3" s="1594"/>
      <c r="X3" s="1594"/>
      <c r="Y3" s="1594"/>
      <c r="Z3" s="1594"/>
      <c r="AA3" s="1594"/>
      <c r="AB3" s="1594"/>
      <c r="AC3" s="1697"/>
    </row>
    <row r="4" ht="28.5" spans="1:29">
      <c r="A4" s="1407" t="s">
        <v>817</v>
      </c>
      <c r="B4" s="1408">
        <f ca="1">ROUND(B2*10000/F1,0)</f>
        <v>10955</v>
      </c>
      <c r="C4" s="1409" t="s">
        <v>810</v>
      </c>
      <c r="D4" s="1409">
        <f ca="1">ROUND(B2/(F1/666.67),0)</f>
        <v>730</v>
      </c>
      <c r="E4" s="1409" t="s">
        <v>818</v>
      </c>
      <c r="F4" s="1410"/>
      <c r="G4" s="1410"/>
      <c r="H4" s="1410"/>
      <c r="I4" s="1410"/>
      <c r="J4" s="1605"/>
      <c r="K4" s="1606"/>
      <c r="L4" s="1601" t="s">
        <v>819</v>
      </c>
      <c r="M4" s="1602">
        <f>SUMPRODUCT((区片价!B49:B75=I2)*(区片价!C3:F3=E2)*(区片价!C49:F75))</f>
        <v>0</v>
      </c>
      <c r="N4" s="1603">
        <f>SUMPRODUCT((因素修正幅度!B49:B75=I2)*(因素修正幅度!C3:F3=E2)*(因素修正幅度!C49:F75))</f>
        <v>0</v>
      </c>
      <c r="O4" s="1606"/>
      <c r="P4" s="1594"/>
      <c r="Q4" s="1594"/>
      <c r="R4" s="1686">
        <v>3</v>
      </c>
      <c r="S4" s="1686">
        <f>ROUND(IF(G3&gt;1,IF(R4&lt;7,SUMPRODUCT((B93:B98=R4)*(C92:N92=G2)*(C93:N98)),SUMIF(C92:N92,G2,C100:N100)),IF(R4&lt;7,SUMPRODUCT((B102:B107=R4)*(C92:N92=G2)*(C102:N107)),SUMIF(C92:N92,G2,C109:N109))),4)</f>
        <v>1.0072</v>
      </c>
      <c r="T4" s="1686">
        <f ca="1" t="shared" si="0"/>
        <v>7724</v>
      </c>
      <c r="U4" s="1687"/>
      <c r="V4" s="1686">
        <f ca="1" t="shared" si="1"/>
        <v>0</v>
      </c>
      <c r="W4" s="1594"/>
      <c r="X4" s="1594"/>
      <c r="Y4" s="1594"/>
      <c r="Z4" s="1594"/>
      <c r="AA4" s="1594"/>
      <c r="AB4" s="1594"/>
      <c r="AC4" s="1697"/>
    </row>
    <row r="5" s="1385" customFormat="1" ht="15.75" spans="1:39">
      <c r="A5" s="1411" t="s">
        <v>820</v>
      </c>
      <c r="B5" s="1412" t="s">
        <v>821</v>
      </c>
      <c r="C5" s="1413">
        <f>ROUND(IF(E2="商业",C6*C7+C16,(IF(E2="住宅",C6*C12+C16,C6+C16))),0)</f>
        <v>5835</v>
      </c>
      <c r="D5" s="1414">
        <f>ROUND(C6+C16,0)</f>
        <v>5835</v>
      </c>
      <c r="E5" s="1414"/>
      <c r="F5" s="1415"/>
      <c r="G5" s="1416"/>
      <c r="H5" s="1416"/>
      <c r="I5" s="1416"/>
      <c r="J5" s="1607"/>
      <c r="K5" s="1608"/>
      <c r="L5" s="1601" t="s">
        <v>822</v>
      </c>
      <c r="M5" s="1602">
        <f>SUMPRODUCT((区片价!B76:B109=I2)*(区片价!C3:F3=E2)*(区片价!C76:F109))</f>
        <v>0</v>
      </c>
      <c r="N5" s="1603">
        <f>SUMPRODUCT((因素修正幅度!B76:B109=I2)*(因素修正幅度!C3:F3=E2)*(因素修正幅度!C76:F109))</f>
        <v>0</v>
      </c>
      <c r="O5" s="1608"/>
      <c r="P5" s="1609"/>
      <c r="Q5" s="1594"/>
      <c r="R5" s="1686">
        <v>4</v>
      </c>
      <c r="S5" s="1686">
        <f>ROUND(IF(G3&gt;1,IF(R5&lt;7,SUMPRODUCT((B93:B98=R5)*(C92:N92=G2)*(C93:N98)),SUMIF(C92:N92,G2,C100:N100)),IF(R5&lt;7,SUMPRODUCT((B102:B107=R5)*(C92:N92=G2)*(C102:N107)),SUMIF(C92:N92,G2,C109:N109))),4)</f>
        <v>0.7525</v>
      </c>
      <c r="T5" s="1686">
        <f ca="1" t="shared" si="0"/>
        <v>5771</v>
      </c>
      <c r="U5" s="1687"/>
      <c r="V5" s="1686">
        <f ca="1" t="shared" si="1"/>
        <v>0</v>
      </c>
      <c r="W5" s="1594"/>
      <c r="X5" s="1594"/>
      <c r="Y5" s="1594"/>
      <c r="Z5" s="1594"/>
      <c r="AA5" s="1594"/>
      <c r="AB5" s="1594"/>
      <c r="AC5" s="1699"/>
      <c r="AD5" s="1700"/>
      <c r="AE5" s="1700"/>
      <c r="AF5" s="1700"/>
      <c r="AG5" s="1700"/>
      <c r="AH5" s="1700"/>
      <c r="AI5" s="1700"/>
      <c r="AJ5" s="1709"/>
      <c r="AK5" s="1709"/>
      <c r="AL5" s="1709"/>
      <c r="AM5" s="1709"/>
    </row>
    <row r="6" ht="15.75" spans="1:36">
      <c r="A6" s="1417" t="s">
        <v>823</v>
      </c>
      <c r="B6" s="1418" t="s">
        <v>821</v>
      </c>
      <c r="C6" s="1419">
        <f>SUMIF(L1:L12,基准地价!G2,M1:M12)</f>
        <v>5820</v>
      </c>
      <c r="D6" s="1420" t="s">
        <v>824</v>
      </c>
      <c r="E6" s="1421"/>
      <c r="F6" s="1421"/>
      <c r="G6" s="1422"/>
      <c r="H6" s="1422"/>
      <c r="I6" s="1422"/>
      <c r="J6" s="1610"/>
      <c r="K6" s="1611"/>
      <c r="L6" s="1601" t="s">
        <v>825</v>
      </c>
      <c r="M6" s="1602">
        <f>SUMPRODUCT((区片价!B110:B157=I2)*(区片价!C3:F3=E2)*(区片价!C110:F157))</f>
        <v>0</v>
      </c>
      <c r="N6" s="1603">
        <f>SUMPRODUCT((因素修正幅度!B110:B157=I2)*(因素修正幅度!C3:F3=E2)*(因素修正幅度!C110:F157))</f>
        <v>0</v>
      </c>
      <c r="O6" s="1611"/>
      <c r="P6" s="1612"/>
      <c r="Q6" s="1594"/>
      <c r="R6" s="1686">
        <v>5</v>
      </c>
      <c r="S6" s="1686">
        <f>ROUND(IF(G3&gt;1,IF(R6&lt;7,SUMPRODUCT((B93:B98=R6)*(C92:N92=G2)*(C93:N98)),SUMIF(C92:N92,G2,C100:N100)),IF(R6&lt;7,SUMPRODUCT((B102:B107=R6)*(C92:N92=G2)*(C102:N107)),SUMIF(C92:N92,G2,C109:N109))),4)</f>
        <v>0.5659</v>
      </c>
      <c r="T6" s="1686">
        <f ca="1" t="shared" si="0"/>
        <v>4340</v>
      </c>
      <c r="U6" s="1687"/>
      <c r="V6" s="1686">
        <f ca="1" t="shared" si="1"/>
        <v>0</v>
      </c>
      <c r="W6" s="1594"/>
      <c r="X6" s="1594"/>
      <c r="Y6" s="1594"/>
      <c r="Z6" s="1594"/>
      <c r="AA6" s="1594"/>
      <c r="AB6" s="1594"/>
      <c r="AC6" s="1699"/>
      <c r="AD6" s="1700"/>
      <c r="AE6" s="1700"/>
      <c r="AF6" s="1700"/>
      <c r="AG6" s="1700"/>
      <c r="AH6" s="1700"/>
      <c r="AI6" s="1700"/>
      <c r="AJ6" s="1709"/>
    </row>
    <row r="7" ht="24" spans="1:36">
      <c r="A7" s="1423" t="str">
        <f>IF(E2="商业",IF(C8="不临58条商业街","",2),"")</f>
        <v/>
      </c>
      <c r="B7" s="1424" t="s">
        <v>826</v>
      </c>
      <c r="C7" s="1425">
        <f>IF(C8="不临58条商业街",1,ROUND(1+(1.6*E8+1.2*E9+0.8*E10+0.4*E11)*C9,4))</f>
        <v>1</v>
      </c>
      <c r="D7" s="1426" t="s">
        <v>827</v>
      </c>
      <c r="E7" s="1427"/>
      <c r="F7" s="1428"/>
      <c r="G7" s="1429"/>
      <c r="H7" s="1429"/>
      <c r="I7" s="1429"/>
      <c r="J7" s="1613"/>
      <c r="K7" s="1611"/>
      <c r="L7" s="1601" t="s">
        <v>828</v>
      </c>
      <c r="M7" s="1602">
        <f>SUMPRODUCT((区片价!B158:B205=I2)*(区片价!C3:F3=E2)*(区片价!C158:F205))</f>
        <v>0</v>
      </c>
      <c r="N7" s="1603">
        <f>SUMPRODUCT((因素修正幅度!B158:B205=I2)*(因素修正幅度!C3:F3=E2)*(因素修正幅度!C158:F205))</f>
        <v>0</v>
      </c>
      <c r="O7" s="1611"/>
      <c r="P7" s="1612"/>
      <c r="Q7" s="1594"/>
      <c r="R7" s="1686">
        <v>6</v>
      </c>
      <c r="S7" s="1686">
        <f>ROUND(IF(G3&gt;1,IF(R7&lt;7,SUMPRODUCT((B93:B98=R7)*(C92:N92=G2)*(C93:N98)),SUMIF(C92:N92,G2,C100:N100)),IF(R7&lt;7,SUMPRODUCT((B102:B107=R7)*(C92:N92=G2)*(C102:N107)),SUMIF(C92:N92,G2,C109:N109))),4)</f>
        <v>0.4525</v>
      </c>
      <c r="T7" s="1686">
        <f ca="1" t="shared" si="0"/>
        <v>3470</v>
      </c>
      <c r="U7" s="1687"/>
      <c r="V7" s="1686">
        <f ca="1" t="shared" si="1"/>
        <v>0</v>
      </c>
      <c r="W7" s="1688" t="s">
        <v>829</v>
      </c>
      <c r="X7" s="1689" t="str">
        <f>G2</f>
        <v>八级</v>
      </c>
      <c r="Y7" s="1689" t="s">
        <v>830</v>
      </c>
      <c r="Z7" s="1701">
        <f>G3</f>
        <v>1.22</v>
      </c>
      <c r="AA7" s="1694"/>
      <c r="AB7" s="1694"/>
      <c r="AC7" s="1638"/>
      <c r="AD7" s="1702"/>
      <c r="AE7" s="1702"/>
      <c r="AF7" s="1702"/>
      <c r="AG7" s="1702"/>
      <c r="AH7" s="1702"/>
      <c r="AI7" s="1702"/>
      <c r="AJ7" s="1710"/>
    </row>
    <row r="8" ht="24.75" spans="1:36">
      <c r="A8" s="1430"/>
      <c r="B8" s="1406" t="s">
        <v>831</v>
      </c>
      <c r="C8" s="1431" t="s">
        <v>832</v>
      </c>
      <c r="D8" s="1432" t="s">
        <v>833</v>
      </c>
      <c r="E8" s="1433" t="e">
        <f>ROUND(C11/E7,4)</f>
        <v>#DIV/0!</v>
      </c>
      <c r="F8" s="1434" t="s">
        <v>834</v>
      </c>
      <c r="G8" s="1435"/>
      <c r="H8" s="1435"/>
      <c r="I8" s="1435"/>
      <c r="J8" s="1614"/>
      <c r="K8" s="1611"/>
      <c r="L8" s="1601" t="s">
        <v>835</v>
      </c>
      <c r="M8" s="1602">
        <f>SUMPRODUCT((区片价!B206:B244=I2)*(区片价!C3:F3=E2)*(区片价!C206:F244))</f>
        <v>5820</v>
      </c>
      <c r="N8" s="1603">
        <f>SUMPRODUCT((因素修正幅度!B206:B244=I2)*(因素修正幅度!C3:F3=E2)*(因素修正幅度!C206:F244))</f>
        <v>0.15</v>
      </c>
      <c r="O8" s="1611"/>
      <c r="P8" s="1594"/>
      <c r="Q8" s="1594"/>
      <c r="R8" s="1686">
        <v>7</v>
      </c>
      <c r="S8" s="1687"/>
      <c r="T8" s="1686">
        <f ca="1" t="shared" si="0"/>
        <v>0</v>
      </c>
      <c r="U8" s="1687"/>
      <c r="V8" s="1686">
        <f ca="1" t="shared" si="1"/>
        <v>0</v>
      </c>
      <c r="W8" s="1690" t="s">
        <v>836</v>
      </c>
      <c r="X8" s="1691"/>
      <c r="Y8" s="1528" t="s">
        <v>837</v>
      </c>
      <c r="Z8" s="1528" t="s">
        <v>838</v>
      </c>
      <c r="AA8" s="1528" t="s">
        <v>839</v>
      </c>
      <c r="AB8" s="1528" t="s">
        <v>840</v>
      </c>
      <c r="AC8" s="1528" t="s">
        <v>841</v>
      </c>
      <c r="AD8" s="1528" t="s">
        <v>842</v>
      </c>
      <c r="AE8" s="1528" t="s">
        <v>843</v>
      </c>
      <c r="AF8" s="1528" t="s">
        <v>844</v>
      </c>
      <c r="AG8" s="1528" t="s">
        <v>845</v>
      </c>
      <c r="AH8" s="1528" t="s">
        <v>846</v>
      </c>
      <c r="AI8" s="1528" t="s">
        <v>847</v>
      </c>
      <c r="AJ8" s="1528" t="s">
        <v>848</v>
      </c>
    </row>
    <row r="9" ht="15" spans="1:36">
      <c r="A9" s="1430"/>
      <c r="B9" s="1406" t="s">
        <v>849</v>
      </c>
      <c r="C9" s="1436">
        <f>SUMIF(修正!C59:C119,C8,修正!E59:E119)</f>
        <v>0</v>
      </c>
      <c r="D9" s="1437" t="s">
        <v>850</v>
      </c>
      <c r="E9" s="1437" t="e">
        <f>ROUND(C11/E7,4)</f>
        <v>#DIV/0!</v>
      </c>
      <c r="F9" s="1434" t="s">
        <v>851</v>
      </c>
      <c r="G9" s="1435"/>
      <c r="H9" s="1435"/>
      <c r="I9" s="1435"/>
      <c r="J9" s="1614"/>
      <c r="K9" s="1611"/>
      <c r="L9" s="1601" t="s">
        <v>852</v>
      </c>
      <c r="M9" s="1602">
        <f>SUMPRODUCT((区片价!B245:B289=I2)*(区片价!C3:F3=E2)*(区片价!C245:F289))</f>
        <v>0</v>
      </c>
      <c r="N9" s="1603">
        <f>SUMPRODUCT((因素修正幅度!B245:B289=I2)*(因素修正幅度!C3:F3=E2)*(因素修正幅度!C245:F289))</f>
        <v>0</v>
      </c>
      <c r="O9" s="1611"/>
      <c r="P9" s="1594"/>
      <c r="Q9" s="1594"/>
      <c r="R9" s="1686">
        <v>8</v>
      </c>
      <c r="S9" s="1687"/>
      <c r="T9" s="1686">
        <f ca="1" t="shared" si="0"/>
        <v>0</v>
      </c>
      <c r="U9" s="1687"/>
      <c r="V9" s="1686">
        <f ca="1" t="shared" si="1"/>
        <v>0</v>
      </c>
      <c r="W9" s="1688" t="s">
        <v>853</v>
      </c>
      <c r="X9" s="1692" t="s">
        <v>854</v>
      </c>
      <c r="Y9" s="1703"/>
      <c r="Z9" s="1704">
        <f t="shared" ref="Z9:AJ9" si="2">$Y$9</f>
        <v>0</v>
      </c>
      <c r="AA9" s="1704">
        <f t="shared" si="2"/>
        <v>0</v>
      </c>
      <c r="AB9" s="1704">
        <f t="shared" si="2"/>
        <v>0</v>
      </c>
      <c r="AC9" s="1704">
        <f t="shared" si="2"/>
        <v>0</v>
      </c>
      <c r="AD9" s="1704">
        <f t="shared" si="2"/>
        <v>0</v>
      </c>
      <c r="AE9" s="1704">
        <f t="shared" si="2"/>
        <v>0</v>
      </c>
      <c r="AF9" s="1704">
        <f t="shared" si="2"/>
        <v>0</v>
      </c>
      <c r="AG9" s="1704">
        <f t="shared" si="2"/>
        <v>0</v>
      </c>
      <c r="AH9" s="1704">
        <f t="shared" si="2"/>
        <v>0</v>
      </c>
      <c r="AI9" s="1704">
        <f t="shared" si="2"/>
        <v>0</v>
      </c>
      <c r="AJ9" s="1704">
        <f t="shared" si="2"/>
        <v>0</v>
      </c>
    </row>
    <row r="10" ht="15" spans="1:36">
      <c r="A10" s="1430"/>
      <c r="B10" s="1406" t="s">
        <v>855</v>
      </c>
      <c r="C10" s="1437">
        <f>SUMIF(修正!C59:C119,C8,修正!F59:F119)</f>
        <v>0</v>
      </c>
      <c r="D10" s="1437" t="s">
        <v>856</v>
      </c>
      <c r="E10" s="1437" t="e">
        <f>ROUND(C11/E7,4)</f>
        <v>#DIV/0!</v>
      </c>
      <c r="F10" s="1434" t="s">
        <v>857</v>
      </c>
      <c r="G10" s="1435"/>
      <c r="H10" s="1435"/>
      <c r="I10" s="1435"/>
      <c r="J10" s="1614"/>
      <c r="K10" s="1611"/>
      <c r="L10" s="1601" t="s">
        <v>858</v>
      </c>
      <c r="M10" s="1602">
        <f>SUMPRODUCT((区片价!B290:B316=I2)*(区片价!C3:F3=E2)*(区片价!C290:F316))</f>
        <v>0</v>
      </c>
      <c r="N10" s="1603">
        <f>SUMPRODUCT((因素修正幅度!B290:B316=I2)*(因素修正幅度!C3:F3=E2)*(因素修正幅度!C290:F316))</f>
        <v>0</v>
      </c>
      <c r="O10" s="1611"/>
      <c r="P10" s="1594"/>
      <c r="Q10" s="1594"/>
      <c r="R10" s="1686">
        <v>9</v>
      </c>
      <c r="S10" s="1687"/>
      <c r="T10" s="1686">
        <f ca="1" t="shared" si="0"/>
        <v>0</v>
      </c>
      <c r="U10" s="1687"/>
      <c r="V10" s="1686">
        <f ca="1" t="shared" si="1"/>
        <v>0</v>
      </c>
      <c r="W10" s="1688"/>
      <c r="X10" s="1692">
        <v>7</v>
      </c>
      <c r="Y10" s="1705">
        <f>(-0.163*(Y9^2)-0.59*Y9+7617)*(10^(-4))</f>
        <v>0.7617</v>
      </c>
      <c r="Z10" s="1705">
        <f>(-0.163*(Z9^2)-0.59*Z9+7617)*(10^(-4))</f>
        <v>0.7617</v>
      </c>
      <c r="AA10" s="1705">
        <f>(-0.161*(AA9^2)-7.509*AA9+6533)*(10^(-4))</f>
        <v>0.6533</v>
      </c>
      <c r="AB10" s="1705">
        <f>(-0.161*(AB9^2)-7.509*AB9+6533)*(10^(-4))</f>
        <v>0.6533</v>
      </c>
      <c r="AC10" s="1705">
        <f>(-0.161*(AC9^2)-7.509*AC9+6533)*(10^(-4))</f>
        <v>0.6533</v>
      </c>
      <c r="AD10" s="1705">
        <f>(-0.161*(AD9^2)-7.509*AD9+6533)*(10^(-4))</f>
        <v>0.6533</v>
      </c>
      <c r="AE10" s="1705">
        <f>(-0.161*(AE9^2)-7.509*AE9+6533)*(10^(-4))</f>
        <v>0.6533</v>
      </c>
      <c r="AF10" s="1705">
        <f>(-0.214*(AF9^2)-21.991*AF9+4665)*(10^(-4))</f>
        <v>0.4665</v>
      </c>
      <c r="AG10" s="1705">
        <f>(-0.214*(AG9^2)-21.991*AG9+4665)*(10^(-4))</f>
        <v>0.4665</v>
      </c>
      <c r="AH10" s="1705">
        <f>(-0.214*(AH9^2)-21.991*AH9+4665)*(10^(-4))</f>
        <v>0.4665</v>
      </c>
      <c r="AI10" s="1705">
        <f>(-0.214*(AI9^2)-21.991*AI9+4665)*(10^(-4))</f>
        <v>0.4665</v>
      </c>
      <c r="AJ10" s="1705">
        <f>(-0.214*(AJ9^2)-21.991*AJ9+4665)*(10^(-4))</f>
        <v>0.4665</v>
      </c>
    </row>
    <row r="11" ht="15.75" customHeight="1" spans="1:36">
      <c r="A11" s="1430"/>
      <c r="B11" s="1438" t="s">
        <v>859</v>
      </c>
      <c r="C11" s="1439">
        <f>C10/4</f>
        <v>0</v>
      </c>
      <c r="D11" s="1439" t="s">
        <v>860</v>
      </c>
      <c r="E11" s="1439" t="e">
        <f>ROUND(C11/E7,4)</f>
        <v>#DIV/0!</v>
      </c>
      <c r="F11" s="1440" t="s">
        <v>861</v>
      </c>
      <c r="G11" s="1441"/>
      <c r="H11" s="1441"/>
      <c r="I11" s="1441"/>
      <c r="J11" s="1615"/>
      <c r="K11" s="1611"/>
      <c r="L11" s="1601" t="s">
        <v>862</v>
      </c>
      <c r="M11" s="1602">
        <f>SUMPRODUCT((区片价!B317:B337=I2)*(区片价!C3:F3=E2)*(区片价!C317:F337))</f>
        <v>0</v>
      </c>
      <c r="N11" s="1603">
        <f>SUMPRODUCT((因素修正幅度!B317:B337=I2)*(因素修正幅度!C3:F3=E2)*(因素修正幅度!C317:F337))</f>
        <v>0</v>
      </c>
      <c r="O11" s="1611"/>
      <c r="P11" s="1594"/>
      <c r="Q11" s="1594"/>
      <c r="R11" s="1686">
        <v>10</v>
      </c>
      <c r="S11" s="1687"/>
      <c r="T11" s="1686">
        <f ca="1" t="shared" si="0"/>
        <v>0</v>
      </c>
      <c r="U11" s="1687"/>
      <c r="V11" s="1686">
        <f ca="1" t="shared" si="1"/>
        <v>0</v>
      </c>
      <c r="W11" s="1688" t="s">
        <v>863</v>
      </c>
      <c r="X11" s="1437" t="s">
        <v>830</v>
      </c>
      <c r="Y11" s="1598">
        <f>$G$3</f>
        <v>1.22</v>
      </c>
      <c r="Z11" s="1598">
        <f t="shared" ref="Z11:AJ11" si="3">$G$3</f>
        <v>1.22</v>
      </c>
      <c r="AA11" s="1598">
        <f t="shared" si="3"/>
        <v>1.22</v>
      </c>
      <c r="AB11" s="1598">
        <f t="shared" si="3"/>
        <v>1.22</v>
      </c>
      <c r="AC11" s="1598">
        <f t="shared" si="3"/>
        <v>1.22</v>
      </c>
      <c r="AD11" s="1598">
        <f t="shared" si="3"/>
        <v>1.22</v>
      </c>
      <c r="AE11" s="1598">
        <f t="shared" si="3"/>
        <v>1.22</v>
      </c>
      <c r="AF11" s="1598">
        <f t="shared" si="3"/>
        <v>1.22</v>
      </c>
      <c r="AG11" s="1598">
        <f t="shared" si="3"/>
        <v>1.22</v>
      </c>
      <c r="AH11" s="1598">
        <f t="shared" si="3"/>
        <v>1.22</v>
      </c>
      <c r="AI11" s="1598">
        <f t="shared" si="3"/>
        <v>1.22</v>
      </c>
      <c r="AJ11" s="1598">
        <f t="shared" si="3"/>
        <v>1.22</v>
      </c>
    </row>
    <row r="12" ht="25.5" spans="1:36">
      <c r="A12" s="1423" t="s">
        <v>864</v>
      </c>
      <c r="B12" s="1442" t="s">
        <v>865</v>
      </c>
      <c r="C12" s="1425">
        <f>ROUND(C15*D15*E15*F15*G15*H15*I15*J15,4)</f>
        <v>1</v>
      </c>
      <c r="D12" s="1443" t="s">
        <v>866</v>
      </c>
      <c r="E12" s="1444"/>
      <c r="F12" s="1444"/>
      <c r="G12" s="1445"/>
      <c r="H12" s="1445"/>
      <c r="I12" s="1445"/>
      <c r="J12" s="1616"/>
      <c r="K12" s="1611"/>
      <c r="L12" s="1617" t="s">
        <v>867</v>
      </c>
      <c r="M12" s="1618">
        <f>SUMPRODUCT((区片价!B338:B344=I2)*(区片价!C3:F3=E2)*(区片价!C338:F344))</f>
        <v>0</v>
      </c>
      <c r="N12" s="1619">
        <f>SUMPRODUCT((因素修正幅度!B338:B344=I2)*(因素修正幅度!C3:F3=E2)*(因素修正幅度!C338:F344))</f>
        <v>0</v>
      </c>
      <c r="O12" s="1611"/>
      <c r="P12" s="1594"/>
      <c r="Q12" s="1594"/>
      <c r="R12" s="1686">
        <v>11</v>
      </c>
      <c r="S12" s="1687"/>
      <c r="T12" s="1686">
        <f ca="1" t="shared" si="0"/>
        <v>0</v>
      </c>
      <c r="U12" s="1687"/>
      <c r="V12" s="1686">
        <f ca="1" t="shared" si="1"/>
        <v>0</v>
      </c>
      <c r="W12" s="1688"/>
      <c r="X12" s="1693" t="s">
        <v>868</v>
      </c>
      <c r="Y12" s="1704">
        <f t="shared" ref="Y12:AJ12" si="4">Y9</f>
        <v>0</v>
      </c>
      <c r="Z12" s="1704">
        <f t="shared" si="4"/>
        <v>0</v>
      </c>
      <c r="AA12" s="1704">
        <f t="shared" si="4"/>
        <v>0</v>
      </c>
      <c r="AB12" s="1704">
        <f t="shared" si="4"/>
        <v>0</v>
      </c>
      <c r="AC12" s="1704">
        <f t="shared" si="4"/>
        <v>0</v>
      </c>
      <c r="AD12" s="1704">
        <f t="shared" si="4"/>
        <v>0</v>
      </c>
      <c r="AE12" s="1704">
        <f t="shared" si="4"/>
        <v>0</v>
      </c>
      <c r="AF12" s="1704">
        <f t="shared" si="4"/>
        <v>0</v>
      </c>
      <c r="AG12" s="1704">
        <f t="shared" si="4"/>
        <v>0</v>
      </c>
      <c r="AH12" s="1704">
        <f t="shared" si="4"/>
        <v>0</v>
      </c>
      <c r="AI12" s="1704">
        <f t="shared" si="4"/>
        <v>0</v>
      </c>
      <c r="AJ12" s="1704">
        <f t="shared" si="4"/>
        <v>0</v>
      </c>
    </row>
    <row r="13" ht="24" spans="1:36">
      <c r="A13" s="1446"/>
      <c r="B13" s="1447" t="s">
        <v>869</v>
      </c>
      <c r="C13" s="1448" t="s">
        <v>870</v>
      </c>
      <c r="D13" s="1321" t="s">
        <v>871</v>
      </c>
      <c r="E13" s="1321" t="s">
        <v>872</v>
      </c>
      <c r="F13" s="1449" t="s">
        <v>873</v>
      </c>
      <c r="G13" s="1450" t="s">
        <v>874</v>
      </c>
      <c r="H13" s="1451" t="s">
        <v>874</v>
      </c>
      <c r="I13" s="1620" t="s">
        <v>874</v>
      </c>
      <c r="J13" s="1621" t="s">
        <v>874</v>
      </c>
      <c r="K13" s="1622"/>
      <c r="L13" s="1622"/>
      <c r="M13" s="1622"/>
      <c r="N13" s="1622"/>
      <c r="O13" s="1622"/>
      <c r="P13" s="1594"/>
      <c r="Q13" s="1594"/>
      <c r="R13" s="1686">
        <v>12</v>
      </c>
      <c r="S13" s="1687"/>
      <c r="T13" s="1686">
        <f ca="1" t="shared" si="0"/>
        <v>0</v>
      </c>
      <c r="U13" s="1687"/>
      <c r="V13" s="1686">
        <f ca="1" t="shared" si="1"/>
        <v>0</v>
      </c>
      <c r="W13" s="1688"/>
      <c r="X13" s="1693"/>
      <c r="Y13" s="1705">
        <f>(-0.163*(Y12^2)-0.59*Y12+7617)*(10^(-4))/Y11</f>
        <v>0.624344262295082</v>
      </c>
      <c r="Z13" s="1705">
        <f t="shared" ref="Z13:AJ13" si="5">(-0.163*(Z12^2)-0.59*Z12+7617)*(10^(-4))/Z11</f>
        <v>0.624344262295082</v>
      </c>
      <c r="AA13" s="1705">
        <f t="shared" si="5"/>
        <v>0.624344262295082</v>
      </c>
      <c r="AB13" s="1705">
        <f t="shared" si="5"/>
        <v>0.624344262295082</v>
      </c>
      <c r="AC13" s="1705">
        <f t="shared" si="5"/>
        <v>0.624344262295082</v>
      </c>
      <c r="AD13" s="1705">
        <f t="shared" si="5"/>
        <v>0.624344262295082</v>
      </c>
      <c r="AE13" s="1705">
        <f t="shared" si="5"/>
        <v>0.624344262295082</v>
      </c>
      <c r="AF13" s="1705">
        <f t="shared" si="5"/>
        <v>0.624344262295082</v>
      </c>
      <c r="AG13" s="1705">
        <f t="shared" si="5"/>
        <v>0.624344262295082</v>
      </c>
      <c r="AH13" s="1705">
        <f t="shared" si="5"/>
        <v>0.624344262295082</v>
      </c>
      <c r="AI13" s="1705">
        <f t="shared" si="5"/>
        <v>0.624344262295082</v>
      </c>
      <c r="AJ13" s="1705">
        <f t="shared" si="5"/>
        <v>0.624344262295082</v>
      </c>
    </row>
    <row r="14" ht="12.75" customHeight="1" spans="1:29">
      <c r="A14" s="1446"/>
      <c r="B14" s="1452"/>
      <c r="C14" s="1453"/>
      <c r="D14" s="1454"/>
      <c r="E14" s="1454"/>
      <c r="F14" s="1455"/>
      <c r="G14" s="1456" t="s">
        <v>875</v>
      </c>
      <c r="H14" s="1457"/>
      <c r="I14" s="1623"/>
      <c r="J14" s="1624"/>
      <c r="K14" s="1625"/>
      <c r="L14" s="1625"/>
      <c r="M14" s="1625"/>
      <c r="N14" s="1625"/>
      <c r="O14" s="1625"/>
      <c r="P14" s="1594"/>
      <c r="Q14" s="1594"/>
      <c r="R14" s="1686">
        <v>13</v>
      </c>
      <c r="S14" s="1687"/>
      <c r="T14" s="1686">
        <f ca="1" t="shared" si="0"/>
        <v>0</v>
      </c>
      <c r="U14" s="1687"/>
      <c r="V14" s="1686">
        <f ca="1" t="shared" si="1"/>
        <v>0</v>
      </c>
      <c r="W14" s="1594"/>
      <c r="X14" s="1594"/>
      <c r="Y14" s="1594"/>
      <c r="Z14" s="1594"/>
      <c r="AA14" s="1594"/>
      <c r="AB14" s="1594"/>
      <c r="AC14" s="1697"/>
    </row>
    <row r="15" ht="13.5" customHeight="1" spans="1:29">
      <c r="A15" s="1458"/>
      <c r="B15" s="1459" t="s">
        <v>876</v>
      </c>
      <c r="C15" s="1439">
        <f>IF(C14="有",1.1,1)</f>
        <v>1</v>
      </c>
      <c r="D15" s="1439">
        <f>IF(D14="有",1.1,1)</f>
        <v>1</v>
      </c>
      <c r="E15" s="1439">
        <f>IF(E14="有",1.1,1)</f>
        <v>1</v>
      </c>
      <c r="F15" s="1439">
        <f>IF(F14="500米范围内",1.2,IF(F14="500-1000米",1.1,1))</f>
        <v>1</v>
      </c>
      <c r="G15" s="1460">
        <v>1</v>
      </c>
      <c r="H15" s="1460">
        <v>1</v>
      </c>
      <c r="I15" s="1460">
        <v>1</v>
      </c>
      <c r="J15" s="1626">
        <v>1</v>
      </c>
      <c r="K15" s="1627"/>
      <c r="L15" s="1627"/>
      <c r="M15" s="1627"/>
      <c r="N15" s="1627"/>
      <c r="O15" s="1627"/>
      <c r="P15" s="1594"/>
      <c r="Q15" s="1594"/>
      <c r="R15" s="1686">
        <v>14</v>
      </c>
      <c r="S15" s="1687"/>
      <c r="T15" s="1686">
        <f ca="1" t="shared" si="0"/>
        <v>0</v>
      </c>
      <c r="U15" s="1687"/>
      <c r="V15" s="1686">
        <f ca="1" t="shared" si="1"/>
        <v>0</v>
      </c>
      <c r="W15" s="1594"/>
      <c r="X15" s="1594"/>
      <c r="Y15" s="1594"/>
      <c r="Z15" s="1594"/>
      <c r="AA15" s="1594"/>
      <c r="AB15" s="1594"/>
      <c r="AC15" s="1697"/>
    </row>
    <row r="16" ht="24.6" customHeight="1" spans="1:29">
      <c r="A16" s="1423" t="s">
        <v>877</v>
      </c>
      <c r="B16" s="1424" t="s">
        <v>878</v>
      </c>
      <c r="C16" s="1461">
        <f>ROUND(IF(F17="与级别开发程度一致",0,(G17-E17)/C17),0)</f>
        <v>15</v>
      </c>
      <c r="D16" s="1462" t="s">
        <v>879</v>
      </c>
      <c r="E16" s="1463"/>
      <c r="F16" s="1462" t="s">
        <v>880</v>
      </c>
      <c r="G16" s="1463"/>
      <c r="H16" s="1464" t="s">
        <v>881</v>
      </c>
      <c r="I16" s="1464" t="s">
        <v>882</v>
      </c>
      <c r="J16" s="1464" t="s">
        <v>883</v>
      </c>
      <c r="K16" s="1464" t="s">
        <v>884</v>
      </c>
      <c r="L16" s="1464" t="s">
        <v>885</v>
      </c>
      <c r="M16" s="1464" t="s">
        <v>886</v>
      </c>
      <c r="N16" s="1464" t="s">
        <v>887</v>
      </c>
      <c r="O16" s="1628"/>
      <c r="P16" s="1594"/>
      <c r="Q16" s="1694"/>
      <c r="R16" s="1686">
        <v>15</v>
      </c>
      <c r="S16" s="1687"/>
      <c r="T16" s="1686">
        <f ca="1" t="shared" si="0"/>
        <v>0</v>
      </c>
      <c r="U16" s="1687"/>
      <c r="V16" s="1686">
        <f ca="1" t="shared" si="1"/>
        <v>0</v>
      </c>
      <c r="W16" s="1694"/>
      <c r="X16" s="1694"/>
      <c r="Y16" s="1694"/>
      <c r="Z16" s="1694"/>
      <c r="AA16" s="1694"/>
      <c r="AB16" s="1694"/>
      <c r="AC16" s="1638"/>
    </row>
    <row r="17" ht="24.75" spans="1:39">
      <c r="A17" s="1465"/>
      <c r="B17" s="1466" t="s">
        <v>888</v>
      </c>
      <c r="C17" s="1467">
        <f>SUMPRODUCT((修正!A2:A5=E2)*(修正!B1:M1=G2)*(修正!B2:M5))</f>
        <v>2</v>
      </c>
      <c r="D17" s="1468" t="str">
        <f>IF(OR(G2="八级",G2="九级",G2="十级",G2="十一级",G2="十二级"),"五通一平","七通一平")</f>
        <v>五通一平</v>
      </c>
      <c r="E17" s="1469">
        <f>SUMPRODUCT((修正!B1:M1=G2)*(修正!B15:M15))</f>
        <v>155</v>
      </c>
      <c r="F17" s="1470" t="s">
        <v>889</v>
      </c>
      <c r="G17" s="1469">
        <f>SUM(H17:O17)</f>
        <v>185</v>
      </c>
      <c r="H17" s="1471">
        <f>SUMPRODUCT((七通一平=H16)*(修正!B1:M1=G2)*(修正!B6:M14))</f>
        <v>50</v>
      </c>
      <c r="I17" s="1471">
        <f>SUMPRODUCT((七通一平=I16)*(修正!B1:M1=G2)*(修正!B6:M14))</f>
        <v>40</v>
      </c>
      <c r="J17" s="1471">
        <f>SUMPRODUCT((七通一平=J16)*(修正!B1:M1=G2)*(修正!B6:M14))</f>
        <v>10</v>
      </c>
      <c r="K17" s="1471">
        <f>SUMPRODUCT((七通一平=K16)*(修正!B1:M1=G2)*(修正!B6:M14))</f>
        <v>20</v>
      </c>
      <c r="L17" s="1471">
        <f>SUMPRODUCT((七通一平=L16)*(修正!B1:M1=G2)*(修正!B6:M14))</f>
        <v>25</v>
      </c>
      <c r="M17" s="1471">
        <f>SUMPRODUCT((七通一平=M16)*(修正!B1:M1=G2)*(修正!B6:M14))</f>
        <v>10</v>
      </c>
      <c r="N17" s="1471">
        <f>SUMPRODUCT((七通一平=N16)*(修正!B1:M1=G2)*(修正!B6:M14))</f>
        <v>30</v>
      </c>
      <c r="O17" s="1629">
        <f>SUMPRODUCT((七通一平=O16)*(修正!B1:M1=G2)*(修正!B6:M14))</f>
        <v>0</v>
      </c>
      <c r="P17" s="1594"/>
      <c r="Q17" s="1694"/>
      <c r="R17" s="1638"/>
      <c r="S17" s="1638"/>
      <c r="T17" s="1638"/>
      <c r="U17" s="1638"/>
      <c r="V17" s="1638"/>
      <c r="W17" s="1694"/>
      <c r="X17" s="1694"/>
      <c r="Y17" s="1694"/>
      <c r="Z17" s="1694"/>
      <c r="AA17" s="1694"/>
      <c r="AB17" s="1694"/>
      <c r="AC17" s="1638"/>
      <c r="AH17" s="1386"/>
      <c r="AI17" s="1386"/>
      <c r="AJ17" s="1389"/>
      <c r="AK17" s="1389"/>
      <c r="AL17" s="1389"/>
      <c r="AM17" s="1389"/>
    </row>
    <row r="18" s="1385" customFormat="1" ht="15.75" spans="1:38">
      <c r="A18" s="1472" t="s">
        <v>890</v>
      </c>
      <c r="B18" s="1473" t="s">
        <v>891</v>
      </c>
      <c r="C18" s="1474">
        <f>SUMIF(修正!C18:C39,E3,修正!E18:E39)</f>
        <v>0.9</v>
      </c>
      <c r="D18" s="1475"/>
      <c r="E18" s="1476"/>
      <c r="F18" s="1477"/>
      <c r="G18" s="1478"/>
      <c r="H18" s="1478"/>
      <c r="I18" s="1478"/>
      <c r="J18" s="1630"/>
      <c r="K18" s="1608"/>
      <c r="L18" s="1478"/>
      <c r="M18" s="1478"/>
      <c r="N18" s="1478"/>
      <c r="O18" s="1478"/>
      <c r="P18" s="1631"/>
      <c r="Q18" s="1695"/>
      <c r="R18" s="1695"/>
      <c r="S18" s="1695"/>
      <c r="T18" s="1695"/>
      <c r="U18" s="1695"/>
      <c r="V18" s="1695"/>
      <c r="W18" s="1638"/>
      <c r="X18" s="1638"/>
      <c r="Y18" s="1638"/>
      <c r="Z18" s="1638"/>
      <c r="AA18" s="1694"/>
      <c r="AB18" s="1694"/>
      <c r="AC18" s="1654"/>
      <c r="AD18" s="1706"/>
      <c r="AE18" s="1706"/>
      <c r="AF18" s="1706"/>
      <c r="AG18" s="1706"/>
      <c r="AH18" s="1390"/>
      <c r="AI18" s="1390"/>
      <c r="AJ18" s="1387"/>
      <c r="AK18" s="1387"/>
      <c r="AL18" s="1387"/>
    </row>
    <row r="19" s="1385" customFormat="1" ht="27.75" spans="1:35">
      <c r="A19" s="1479" t="s">
        <v>892</v>
      </c>
      <c r="B19" s="1480" t="s">
        <v>893</v>
      </c>
      <c r="C19" s="1481">
        <f>ROUND(IF(H19="按公示增长率计算",SUMPRODUCT((地价!A3:A36=YEAR(G19)&amp;"-"&amp;ROUNDUP(MONTH(G19)/3,0))*(地价!X2:AB2=E2)*(地价!X3:AB36)),IF(H19="地价指数",M20/M19,(1+I19)^O19)),4)</f>
        <v>1.3963</v>
      </c>
      <c r="D19" s="1482" t="s">
        <v>894</v>
      </c>
      <c r="E19" s="1483">
        <v>41640</v>
      </c>
      <c r="F19" s="1482" t="s">
        <v>354</v>
      </c>
      <c r="G19" s="1484">
        <f>'数据-取费表'!B2</f>
        <v>44519</v>
      </c>
      <c r="H19" s="1485" t="s">
        <v>895</v>
      </c>
      <c r="I19" s="1632" t="str">
        <f>IF(H19="季度增幅（自定义）",SUMIF(N21:N24,E2,O21:O24),"")</f>
        <v/>
      </c>
      <c r="J19" s="1633"/>
      <c r="K19" s="1608"/>
      <c r="L19" s="1634" t="s">
        <v>896</v>
      </c>
      <c r="M19" s="1635">
        <f>ROUND(SUMIF(地价!B2:F2,E2,地价!B36:F36),0)</f>
        <v>258</v>
      </c>
      <c r="N19" s="1636" t="s">
        <v>897</v>
      </c>
      <c r="O19" s="1637">
        <f>ROUNDDOWN(DATEDIF(E19,G19,"M")/3,0)</f>
        <v>31</v>
      </c>
      <c r="P19" s="1638"/>
      <c r="Q19" s="1696"/>
      <c r="R19" s="1654"/>
      <c r="S19" s="1654"/>
      <c r="T19" s="1654"/>
      <c r="U19" s="1654"/>
      <c r="V19" s="1654"/>
      <c r="W19" s="1654"/>
      <c r="X19" s="1654"/>
      <c r="Y19" s="1390"/>
      <c r="Z19" s="1390"/>
      <c r="AA19" s="1390"/>
      <c r="AB19" s="1390"/>
      <c r="AC19" s="1706"/>
      <c r="AD19" s="1707"/>
      <c r="AE19" s="1708"/>
      <c r="AF19" s="1387"/>
      <c r="AG19" s="1709"/>
      <c r="AH19" s="1709"/>
      <c r="AI19" s="1709"/>
    </row>
    <row r="20" s="1385" customFormat="1" ht="27.75" spans="1:30">
      <c r="A20" s="1472" t="s">
        <v>898</v>
      </c>
      <c r="B20" s="1486" t="s">
        <v>899</v>
      </c>
      <c r="C20" s="1487">
        <f ca="1">ROUND(POWER(1+G20,J20-I20)*(POWER(1+G20,I20)-1)/(POWER(1+G20,J20)-1),4)</f>
        <v>1</v>
      </c>
      <c r="D20" s="1488" t="s">
        <v>900</v>
      </c>
      <c r="E20" s="1489">
        <f ca="1">存贷款利率!I4/100</f>
        <v>0.0435</v>
      </c>
      <c r="F20" s="1488" t="s">
        <v>901</v>
      </c>
      <c r="G20" s="1490">
        <f ca="1">SUMIF(M26:P26,E2,M28:P28)</f>
        <v>0.052</v>
      </c>
      <c r="H20" s="1488" t="s">
        <v>902</v>
      </c>
      <c r="I20" s="1639">
        <v>50</v>
      </c>
      <c r="J20" s="1640">
        <f>IF(E2="住宅",70,IF(E2="商业",40,50))</f>
        <v>50</v>
      </c>
      <c r="K20" s="1627"/>
      <c r="L20" s="1641" t="s">
        <v>903</v>
      </c>
      <c r="M20" s="1642">
        <f>ROUND(SUMPRODUCT((地价!A4:A36=YEAR(G19)&amp;"-"&amp;ROUNDUP(MONTH(G19)/3,0))*(地价!B2:F2=E2)*(地价!B4:F36)),0)</f>
        <v>352</v>
      </c>
      <c r="N20" s="1643" t="s">
        <v>904</v>
      </c>
      <c r="O20" s="1644" t="s">
        <v>905</v>
      </c>
      <c r="P20" s="1645" t="s">
        <v>906</v>
      </c>
      <c r="Q20" s="1696"/>
      <c r="R20" s="1654"/>
      <c r="S20" s="1654"/>
      <c r="T20" s="1654"/>
      <c r="U20" s="1654"/>
      <c r="V20" s="1654"/>
      <c r="W20" s="1654"/>
      <c r="X20" s="1654"/>
      <c r="Y20" s="1706"/>
      <c r="Z20" s="1706"/>
      <c r="AA20" s="1706"/>
      <c r="AB20" s="1706"/>
      <c r="AC20" s="1706"/>
      <c r="AD20" s="1706"/>
    </row>
    <row r="21" s="1385" customFormat="1" ht="14.25" spans="1:30">
      <c r="A21" s="1491" t="s">
        <v>907</v>
      </c>
      <c r="B21" s="1492" t="s">
        <v>176</v>
      </c>
      <c r="C21" s="1493">
        <f>IF(B21="容积率修正",IF(G3&lt;=10,D22,J22),C23)</f>
        <v>1.1686</v>
      </c>
      <c r="D21" s="1494"/>
      <c r="E21" s="1494"/>
      <c r="F21" s="1494"/>
      <c r="G21" s="1494"/>
      <c r="H21" s="1494"/>
      <c r="I21" s="1494"/>
      <c r="J21" s="1646"/>
      <c r="K21" s="1608"/>
      <c r="L21" s="1494"/>
      <c r="M21" s="1494"/>
      <c r="N21" s="1647" t="s">
        <v>376</v>
      </c>
      <c r="O21" s="1648"/>
      <c r="P21" s="1649">
        <f>SUMPRODUCT((地价!A3:A36=YEAR(G19)&amp;"-"&amp;ROUNDUP(MONTH(G19)/3,0))*(地价!AD2:AH2=N21)*(地价!AD3:AH36))</f>
        <v>0.0105</v>
      </c>
      <c r="Q21" s="1696"/>
      <c r="R21" s="1654"/>
      <c r="S21" s="1654"/>
      <c r="T21" s="1654"/>
      <c r="U21" s="1654"/>
      <c r="V21" s="1654"/>
      <c r="W21" s="1654"/>
      <c r="X21" s="1654"/>
      <c r="Y21" s="1390"/>
      <c r="Z21" s="1390"/>
      <c r="AA21" s="1390"/>
      <c r="AB21" s="1390"/>
      <c r="AC21" s="1706"/>
      <c r="AD21" s="1706"/>
    </row>
    <row r="22" s="1385" customFormat="1" ht="14.25" spans="1:30">
      <c r="A22" s="1495" t="s">
        <v>823</v>
      </c>
      <c r="B22" s="1496" t="s">
        <v>908</v>
      </c>
      <c r="C22" s="1497" t="s">
        <v>909</v>
      </c>
      <c r="D22" s="1497">
        <f>IF(E22=G22,F22,IF(G3&lt;=10,ROUND(F22+(H22-F22)*(G3-E22)/(G22-E22),4),"——"))</f>
        <v>1.1686</v>
      </c>
      <c r="E22" s="1405">
        <f>ROUNDDOWN(G3,1)</f>
        <v>1.2</v>
      </c>
      <c r="F22" s="14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1.1742</v>
      </c>
      <c r="G22" s="1405">
        <f>ROUNDUP(G3,1)</f>
        <v>1.3</v>
      </c>
      <c r="H22" s="14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1.146</v>
      </c>
      <c r="I22" s="1497" t="s">
        <v>910</v>
      </c>
      <c r="J22" s="1497" t="str">
        <f>IF(G3&gt;10,D113,"——")</f>
        <v>——</v>
      </c>
      <c r="K22" s="1650"/>
      <c r="L22" s="1494"/>
      <c r="M22" s="1494"/>
      <c r="N22" s="1647" t="s">
        <v>377</v>
      </c>
      <c r="O22" s="1648"/>
      <c r="P22" s="1649">
        <f>SUMPRODUCT((地价!A3:A36=YEAR(G19)&amp;"-"&amp;ROUNDUP(MONTH(G19)/3,0))*(地价!AD2:AH2=N22)*(地价!AD3:AH36))</f>
        <v>0.0105</v>
      </c>
      <c r="Q22" s="1696"/>
      <c r="R22" s="1654"/>
      <c r="S22" s="1654"/>
      <c r="T22" s="1654"/>
      <c r="U22" s="1654"/>
      <c r="V22" s="1654"/>
      <c r="W22" s="1654"/>
      <c r="X22" s="1654"/>
      <c r="Y22" s="1706"/>
      <c r="Z22" s="1706"/>
      <c r="AA22" s="1706"/>
      <c r="AB22" s="1706"/>
      <c r="AC22" s="1706"/>
      <c r="AD22" s="1706"/>
    </row>
    <row r="23" ht="15.75" spans="1:39">
      <c r="A23" s="1495" t="s">
        <v>864</v>
      </c>
      <c r="B23" s="1496" t="s">
        <v>911</v>
      </c>
      <c r="C23" s="1498">
        <f>ROUND(IF(G3&gt;1,IF(I3&lt;7,SUMPRODUCT((B93:B98=I3)*(C92:N92=G2)*(C93:N98)),SUMIF(C92:N92,G2,C100:N100)),IF(I3&lt;7,SUMPRODUCT((B102:B107=I3)*(C92:N92=G2)*(C102:N107)),SUMIF(C92:N92,G2,C109:N109))),4)</f>
        <v>0</v>
      </c>
      <c r="D23" s="1499"/>
      <c r="E23" s="1499"/>
      <c r="F23" s="1500"/>
      <c r="G23" s="1501"/>
      <c r="H23" s="1502"/>
      <c r="I23" s="1651"/>
      <c r="J23" s="1651"/>
      <c r="K23" s="1652"/>
      <c r="L23" s="1396"/>
      <c r="M23" s="1396"/>
      <c r="N23" s="1647" t="s">
        <v>375</v>
      </c>
      <c r="O23" s="1648"/>
      <c r="P23" s="1649">
        <f>SUMPRODUCT((地价!A3:A36=YEAR(G19)&amp;"-"&amp;ROUNDUP(MONTH(G19)/3,0))*(地价!AD2:AH2=N23)*(地价!AD3:AH36))</f>
        <v>0.0183</v>
      </c>
      <c r="Q23" s="1696"/>
      <c r="R23" s="1654"/>
      <c r="S23" s="1654"/>
      <c r="T23" s="1654"/>
      <c r="U23" s="1654"/>
      <c r="V23" s="1654"/>
      <c r="W23" s="1654"/>
      <c r="X23" s="1654"/>
      <c r="Y23" s="1390"/>
      <c r="Z23" s="1390"/>
      <c r="AA23" s="1390"/>
      <c r="AB23" s="1390"/>
      <c r="AC23" s="1390"/>
      <c r="AE23" s="1387"/>
      <c r="AF23" s="1387"/>
      <c r="AG23" s="1387"/>
      <c r="AH23" s="1387"/>
      <c r="AI23" s="1387"/>
      <c r="AJ23" s="1389"/>
      <c r="AK23" s="1389"/>
      <c r="AL23" s="1389"/>
      <c r="AM23" s="1389"/>
    </row>
    <row r="24" s="1385" customFormat="1" ht="15.75" spans="1:30">
      <c r="A24" s="1503" t="s">
        <v>912</v>
      </c>
      <c r="B24" s="1412" t="s">
        <v>913</v>
      </c>
      <c r="C24" s="1504">
        <f>SUMIF(A44:A87,E2,B44:B87)</f>
        <v>1.0458</v>
      </c>
      <c r="D24" s="1505"/>
      <c r="E24" s="1506"/>
      <c r="F24" s="1506"/>
      <c r="G24" s="1506"/>
      <c r="H24" s="1506"/>
      <c r="I24" s="1506"/>
      <c r="J24" s="1506"/>
      <c r="K24" s="1652"/>
      <c r="L24" s="1494"/>
      <c r="M24" s="1494"/>
      <c r="N24" s="1647" t="s">
        <v>164</v>
      </c>
      <c r="O24" s="1653"/>
      <c r="P24" s="1649">
        <f>SUMPRODUCT((地价!A3:A36=YEAR(G19)&amp;"-"&amp;ROUNDUP(MONTH(G19)/3,0))*(地价!AD2:AH2=N24)*(地价!AD3:AH36))</f>
        <v>0.0122</v>
      </c>
      <c r="Q24" s="1696"/>
      <c r="R24" s="1654"/>
      <c r="S24" s="1654"/>
      <c r="T24" s="1654"/>
      <c r="U24" s="1654"/>
      <c r="V24" s="1654"/>
      <c r="W24" s="1654"/>
      <c r="X24" s="1654"/>
      <c r="Y24" s="1706"/>
      <c r="Z24" s="1706"/>
      <c r="AA24" s="1706"/>
      <c r="AB24" s="1706"/>
      <c r="AC24" s="1706"/>
      <c r="AD24" s="1706"/>
    </row>
    <row r="25" ht="15" spans="1:39">
      <c r="A25" s="1503" t="s">
        <v>914</v>
      </c>
      <c r="B25" s="1507" t="s">
        <v>915</v>
      </c>
      <c r="C25" s="1508"/>
      <c r="D25" s="1429"/>
      <c r="E25" s="1429"/>
      <c r="F25" s="1509"/>
      <c r="G25" s="1429"/>
      <c r="H25" s="1429"/>
      <c r="I25" s="1429"/>
      <c r="J25" s="1613"/>
      <c r="K25" s="1611"/>
      <c r="L25" s="1654"/>
      <c r="M25" s="1654"/>
      <c r="N25" s="1655" t="s">
        <v>916</v>
      </c>
      <c r="O25" s="1656"/>
      <c r="P25" s="1657">
        <f>SUMPRODUCT((地价!A3:A36=YEAR(G19)&amp;"-"&amp;ROUNDUP(MONTH(G19)/3,0))*(地价!AD2:AH2=N25)*(地价!AD3:AH36))</f>
        <v>0.0166</v>
      </c>
      <c r="Q25" s="1696"/>
      <c r="R25" s="1654"/>
      <c r="S25" s="1654"/>
      <c r="T25" s="1654"/>
      <c r="U25" s="1654"/>
      <c r="V25" s="1654"/>
      <c r="W25" s="1654"/>
      <c r="X25" s="1654"/>
      <c r="Y25" s="1390"/>
      <c r="Z25" s="1390"/>
      <c r="AA25" s="1390"/>
      <c r="AB25" s="1390"/>
      <c r="AC25" s="1390"/>
      <c r="AE25" s="1387"/>
      <c r="AF25" s="1387"/>
      <c r="AG25" s="1387"/>
      <c r="AH25" s="1387"/>
      <c r="AI25" s="1389"/>
      <c r="AJ25" s="1389"/>
      <c r="AK25" s="1389"/>
      <c r="AL25" s="1389"/>
      <c r="AM25" s="1389"/>
    </row>
    <row r="26" ht="14.25" spans="1:39">
      <c r="A26" s="1510"/>
      <c r="B26" s="1496" t="s">
        <v>783</v>
      </c>
      <c r="C26" s="1511">
        <f ca="1">IF(B21="容积率修正",E29+SUM(E33:E39),SUM(V2:V16)+SUM(E33:E39))</f>
        <v>22423</v>
      </c>
      <c r="D26" s="1512"/>
      <c r="E26" s="1457"/>
      <c r="F26" s="1513"/>
      <c r="G26" s="1457"/>
      <c r="H26" s="1457"/>
      <c r="I26" s="1457"/>
      <c r="J26" s="1658"/>
      <c r="K26" s="1611"/>
      <c r="L26" s="1659" t="s">
        <v>348</v>
      </c>
      <c r="M26" s="1426" t="s">
        <v>376</v>
      </c>
      <c r="N26" s="1426" t="s">
        <v>377</v>
      </c>
      <c r="O26" s="1426" t="s">
        <v>375</v>
      </c>
      <c r="P26" s="1660" t="s">
        <v>164</v>
      </c>
      <c r="Q26" s="1696"/>
      <c r="R26" s="1654"/>
      <c r="S26" s="1654"/>
      <c r="T26" s="1654"/>
      <c r="U26" s="1654"/>
      <c r="V26" s="1654"/>
      <c r="W26" s="1654"/>
      <c r="X26" s="1654"/>
      <c r="Y26" s="1706"/>
      <c r="Z26" s="1706"/>
      <c r="AA26" s="1706"/>
      <c r="AB26" s="1706"/>
      <c r="AC26" s="1390"/>
      <c r="AE26" s="1387"/>
      <c r="AF26" s="1387"/>
      <c r="AG26" s="1387"/>
      <c r="AH26" s="1387"/>
      <c r="AI26" s="1389"/>
      <c r="AJ26" s="1389"/>
      <c r="AK26" s="1389"/>
      <c r="AL26" s="1389"/>
      <c r="AM26" s="1389"/>
    </row>
    <row r="27" ht="15" spans="1:29">
      <c r="A27" s="1510"/>
      <c r="B27" s="1514" t="s">
        <v>917</v>
      </c>
      <c r="C27" s="1515">
        <f ca="1">E30+SUM(I33:I39)</f>
        <v>0</v>
      </c>
      <c r="D27" s="1516"/>
      <c r="E27" s="1517"/>
      <c r="F27" s="1518"/>
      <c r="G27" s="1517"/>
      <c r="H27" s="1517"/>
      <c r="I27" s="1517"/>
      <c r="J27" s="1661"/>
      <c r="K27" s="1611"/>
      <c r="L27" s="1662" t="s">
        <v>918</v>
      </c>
      <c r="M27" s="1436">
        <v>0.25</v>
      </c>
      <c r="N27" s="1436">
        <v>0.2</v>
      </c>
      <c r="O27" s="1436">
        <v>0.15</v>
      </c>
      <c r="P27" s="1663">
        <v>0.1</v>
      </c>
      <c r="Q27" s="1654"/>
      <c r="R27" s="1696"/>
      <c r="S27" s="1696"/>
      <c r="T27" s="1696"/>
      <c r="U27" s="1696"/>
      <c r="V27" s="1696"/>
      <c r="W27" s="1654"/>
      <c r="X27" s="1654"/>
      <c r="Y27" s="1654"/>
      <c r="Z27" s="1654"/>
      <c r="AA27" s="1654"/>
      <c r="AB27" s="1654"/>
      <c r="AC27" s="1654"/>
    </row>
    <row r="28" ht="15" spans="1:33">
      <c r="A28" s="1519"/>
      <c r="B28" s="1520" t="s">
        <v>919</v>
      </c>
      <c r="C28" s="1521" t="s">
        <v>920</v>
      </c>
      <c r="D28" s="1521" t="s">
        <v>389</v>
      </c>
      <c r="E28" s="1522" t="s">
        <v>637</v>
      </c>
      <c r="F28" s="1523"/>
      <c r="G28" s="1445"/>
      <c r="H28" s="1445"/>
      <c r="I28" s="1445"/>
      <c r="J28" s="1616"/>
      <c r="K28" s="1611"/>
      <c r="L28" s="1664" t="s">
        <v>901</v>
      </c>
      <c r="M28" s="1665">
        <f ca="1">ROUND($E$20*(1+M27),3)</f>
        <v>0.054</v>
      </c>
      <c r="N28" s="1665">
        <f ca="1">ROUND($E$20*(1+N27),3)</f>
        <v>0.052</v>
      </c>
      <c r="O28" s="1665">
        <f ca="1">ROUND($E$20*(1+O27),3)</f>
        <v>0.05</v>
      </c>
      <c r="P28" s="1666">
        <f ca="1">ROUND($E$20*(1+P27),3)</f>
        <v>0.048</v>
      </c>
      <c r="Q28" s="1654"/>
      <c r="R28" s="1696"/>
      <c r="S28" s="1696"/>
      <c r="T28" s="1696"/>
      <c r="U28" s="1696"/>
      <c r="V28" s="1696"/>
      <c r="W28" s="1654"/>
      <c r="X28" s="1654"/>
      <c r="Y28" s="1654"/>
      <c r="Z28" s="1654"/>
      <c r="AA28" s="1654"/>
      <c r="AB28" s="1654"/>
      <c r="AC28" s="1654"/>
      <c r="AD28" s="1706"/>
      <c r="AE28" s="1706"/>
      <c r="AF28" s="1706"/>
      <c r="AG28" s="1706"/>
    </row>
    <row r="29" ht="14.25" spans="1:40">
      <c r="A29" s="1524"/>
      <c r="B29" s="1525" t="s">
        <v>921</v>
      </c>
      <c r="C29" s="1526">
        <f ca="1">ROUND(C5*C18*C19*C20*C21*C24,0)</f>
        <v>8961</v>
      </c>
      <c r="D29" s="1527">
        <f>'数据-汇总表'!F19</f>
        <v>25022.71</v>
      </c>
      <c r="E29" s="1528">
        <f ca="1">ROUND(C29*D29/10000,0)</f>
        <v>22423</v>
      </c>
      <c r="F29" s="1529" t="s">
        <v>922</v>
      </c>
      <c r="G29" s="1530"/>
      <c r="H29" s="1530"/>
      <c r="I29" s="1530"/>
      <c r="J29" s="1667"/>
      <c r="K29" s="1668"/>
      <c r="L29" s="1668"/>
      <c r="M29" s="1668"/>
      <c r="N29" s="1668"/>
      <c r="O29" s="1668"/>
      <c r="P29" s="1594"/>
      <c r="Q29" s="1654"/>
      <c r="R29" s="1654"/>
      <c r="S29" s="1654"/>
      <c r="T29" s="1654"/>
      <c r="U29" s="1654"/>
      <c r="V29" s="1654"/>
      <c r="W29" s="1696"/>
      <c r="X29" s="1696"/>
      <c r="Y29" s="1696"/>
      <c r="Z29" s="1696"/>
      <c r="AA29" s="1696"/>
      <c r="AB29" s="1654"/>
      <c r="AC29" s="1654"/>
      <c r="AD29" s="1654"/>
      <c r="AE29" s="1654"/>
      <c r="AF29" s="1654"/>
      <c r="AG29" s="1654"/>
      <c r="AH29" s="1654"/>
      <c r="AJ29" s="1390"/>
      <c r="AK29" s="1390"/>
      <c r="AL29" s="1390"/>
      <c r="AM29" s="1386"/>
      <c r="AN29" s="1386"/>
    </row>
    <row r="30" ht="24.75" spans="1:40">
      <c r="A30" s="1531"/>
      <c r="B30" s="1532" t="s">
        <v>923</v>
      </c>
      <c r="C30" s="1471">
        <f ca="1">ROUND(IF(E2="工业",C29*M39,C29*M38),0)</f>
        <v>2240</v>
      </c>
      <c r="D30" s="1533"/>
      <c r="E30" s="1528">
        <f ca="1">ROUND(C30*D30/10000,0)</f>
        <v>0</v>
      </c>
      <c r="F30" s="1534" t="s">
        <v>924</v>
      </c>
      <c r="G30" s="1535"/>
      <c r="H30" s="1535"/>
      <c r="I30" s="1535"/>
      <c r="J30" s="1669"/>
      <c r="K30" s="1611"/>
      <c r="L30" s="1611"/>
      <c r="M30" s="1611"/>
      <c r="N30" s="1611"/>
      <c r="O30" s="1611"/>
      <c r="P30" s="1594"/>
      <c r="Q30" s="1594"/>
      <c r="R30" s="1594"/>
      <c r="S30" s="1594"/>
      <c r="T30" s="1594"/>
      <c r="U30" s="1594"/>
      <c r="V30" s="1594"/>
      <c r="W30" s="1697"/>
      <c r="X30" s="1697"/>
      <c r="Y30" s="1697"/>
      <c r="Z30" s="1697"/>
      <c r="AA30" s="1697"/>
      <c r="AB30" s="1594"/>
      <c r="AC30" s="1594"/>
      <c r="AD30" s="1594"/>
      <c r="AE30" s="1594"/>
      <c r="AF30" s="1594"/>
      <c r="AG30" s="1594"/>
      <c r="AH30" s="1594"/>
      <c r="AI30" s="1706"/>
      <c r="AJ30" s="1706"/>
      <c r="AK30" s="1706"/>
      <c r="AL30" s="1706"/>
      <c r="AM30" s="1386"/>
      <c r="AN30" s="1386"/>
    </row>
    <row r="31" spans="1:40">
      <c r="A31" s="1536"/>
      <c r="B31" s="1537" t="s">
        <v>925</v>
      </c>
      <c r="C31" s="1538" t="s">
        <v>926</v>
      </c>
      <c r="D31" s="1445"/>
      <c r="E31" s="1538"/>
      <c r="F31" s="1538"/>
      <c r="G31" s="1443" t="s">
        <v>924</v>
      </c>
      <c r="H31" s="1445"/>
      <c r="I31" s="1670"/>
      <c r="J31" s="1616"/>
      <c r="K31" s="1611"/>
      <c r="L31" s="1611"/>
      <c r="M31" s="1611"/>
      <c r="N31" s="1611"/>
      <c r="O31" s="1611"/>
      <c r="P31" s="1594"/>
      <c r="Q31" s="1594"/>
      <c r="R31" s="1594"/>
      <c r="S31" s="1594"/>
      <c r="T31" s="1594"/>
      <c r="U31" s="1594"/>
      <c r="V31" s="1594"/>
      <c r="W31" s="1697"/>
      <c r="X31" s="1697"/>
      <c r="Y31" s="1697"/>
      <c r="Z31" s="1697"/>
      <c r="AA31" s="1697"/>
      <c r="AB31" s="1594"/>
      <c r="AC31" s="1594"/>
      <c r="AD31" s="1594"/>
      <c r="AE31" s="1594"/>
      <c r="AF31" s="1594"/>
      <c r="AG31" s="1594"/>
      <c r="AH31" s="1594"/>
      <c r="AJ31" s="1390"/>
      <c r="AK31" s="1390"/>
      <c r="AL31" s="1390"/>
      <c r="AM31" s="1386"/>
      <c r="AN31" s="1386"/>
    </row>
    <row r="32" ht="24" spans="1:40">
      <c r="A32" s="1524"/>
      <c r="B32" s="1539"/>
      <c r="C32" s="1540" t="s">
        <v>920</v>
      </c>
      <c r="D32" s="1541" t="s">
        <v>389</v>
      </c>
      <c r="E32" s="1541" t="s">
        <v>637</v>
      </c>
      <c r="F32" s="1394" t="s">
        <v>927</v>
      </c>
      <c r="G32" s="1542" t="s">
        <v>920</v>
      </c>
      <c r="H32" s="1542" t="s">
        <v>389</v>
      </c>
      <c r="I32" s="1542" t="s">
        <v>637</v>
      </c>
      <c r="J32" s="1671"/>
      <c r="K32" s="1672"/>
      <c r="L32" s="1672"/>
      <c r="M32" s="1672"/>
      <c r="N32" s="1672"/>
      <c r="O32" s="1672"/>
      <c r="P32" s="1594"/>
      <c r="Q32" s="1594"/>
      <c r="R32" s="1594"/>
      <c r="S32" s="1594"/>
      <c r="T32" s="1594"/>
      <c r="U32" s="1594"/>
      <c r="V32" s="1594"/>
      <c r="W32" s="1697"/>
      <c r="X32" s="1697"/>
      <c r="Y32" s="1697"/>
      <c r="Z32" s="1697"/>
      <c r="AA32" s="1697"/>
      <c r="AB32" s="1594"/>
      <c r="AC32" s="1594"/>
      <c r="AD32" s="1594"/>
      <c r="AE32" s="1594"/>
      <c r="AF32" s="1594"/>
      <c r="AG32" s="1594"/>
      <c r="AH32" s="1594"/>
      <c r="AI32" s="1386"/>
      <c r="AJ32" s="1386"/>
      <c r="AK32" s="1386"/>
      <c r="AL32" s="1386"/>
      <c r="AM32" s="1386"/>
      <c r="AN32" s="1386"/>
    </row>
    <row r="33" ht="12.75" spans="1:44">
      <c r="A33" s="1543"/>
      <c r="B33" s="1544" t="s">
        <v>928</v>
      </c>
      <c r="C33" s="1526">
        <f ca="1">ROUND(D5*C19*C20*C24*F33,0)</f>
        <v>5112</v>
      </c>
      <c r="D33" s="1545"/>
      <c r="E33" s="1437">
        <f ca="1">ROUND(C33*D33/10000,0)</f>
        <v>0</v>
      </c>
      <c r="F33" s="1437">
        <f>SUMIF(修正!A45:A56,G2,修正!B45:B56)</f>
        <v>0.6</v>
      </c>
      <c r="G33" s="1437">
        <f ca="1" t="shared" ref="G33" si="6">ROUND(IF(E2="工业",C33*$M$39,C33*$M$38),0)</f>
        <v>1278</v>
      </c>
      <c r="H33" s="1437">
        <f>D33</f>
        <v>0</v>
      </c>
      <c r="I33" s="1437">
        <f ca="1">ROUND(G33*H33/10000,0)</f>
        <v>0</v>
      </c>
      <c r="J33" s="1543" t="s">
        <v>929</v>
      </c>
      <c r="K33" s="1622"/>
      <c r="L33" s="1622"/>
      <c r="M33" s="1622"/>
      <c r="N33" s="1622"/>
      <c r="O33" s="1622"/>
      <c r="P33" s="1594"/>
      <c r="Q33" s="1594"/>
      <c r="R33" s="1594"/>
      <c r="S33" s="1594"/>
      <c r="T33" s="1594"/>
      <c r="U33" s="1594"/>
      <c r="V33" s="1594"/>
      <c r="W33" s="1697"/>
      <c r="X33" s="1697"/>
      <c r="Y33" s="1697"/>
      <c r="Z33" s="1697"/>
      <c r="AA33" s="1697"/>
      <c r="AB33" s="1594"/>
      <c r="AC33" s="1594"/>
      <c r="AD33" s="1594"/>
      <c r="AE33" s="1594"/>
      <c r="AF33" s="1594"/>
      <c r="AG33" s="1594"/>
      <c r="AH33" s="1697"/>
      <c r="AJ33" s="1390"/>
      <c r="AK33" s="1390"/>
      <c r="AL33" s="1390"/>
      <c r="AM33" s="1390"/>
      <c r="AN33" s="1390"/>
      <c r="AO33" s="1387"/>
      <c r="AP33" s="1387"/>
      <c r="AQ33" s="1387"/>
      <c r="AR33" s="1387"/>
    </row>
    <row r="34" ht="12.75" spans="1:44">
      <c r="A34" s="1546"/>
      <c r="B34" s="1448" t="s">
        <v>930</v>
      </c>
      <c r="C34" s="1526">
        <f ca="1">ROUND(D5*C19*C20*C24*F34,0)</f>
        <v>2556</v>
      </c>
      <c r="D34" s="1545"/>
      <c r="E34" s="1437">
        <f ca="1" t="shared" ref="E34:E39" si="7">ROUND(C34*D34/10000,0)</f>
        <v>0</v>
      </c>
      <c r="F34" s="1437">
        <f>SUMIF(修正!A45:A56,G2,修正!C45:C56)</f>
        <v>0.3</v>
      </c>
      <c r="G34" s="1437">
        <f ca="1">ROUND(IF(E2="工业",C34*$M$39,C34*$M$38),0)</f>
        <v>639</v>
      </c>
      <c r="H34" s="1437">
        <f t="shared" ref="H34:H39" si="8">D34</f>
        <v>0</v>
      </c>
      <c r="I34" s="1437">
        <f ca="1" t="shared" ref="I34:I39" si="9">ROUND(G34*H34/10000,0)</f>
        <v>0</v>
      </c>
      <c r="J34" s="1546"/>
      <c r="K34" s="1622"/>
      <c r="L34" s="1622"/>
      <c r="M34" s="1622"/>
      <c r="N34" s="1622"/>
      <c r="O34" s="1622"/>
      <c r="P34" s="1594"/>
      <c r="Q34" s="1594"/>
      <c r="R34" s="1594"/>
      <c r="S34" s="1594"/>
      <c r="T34" s="1594"/>
      <c r="U34" s="1594"/>
      <c r="V34" s="1594"/>
      <c r="W34" s="1697"/>
      <c r="X34" s="1697"/>
      <c r="Y34" s="1697"/>
      <c r="Z34" s="1697"/>
      <c r="AA34" s="1697"/>
      <c r="AB34" s="1594"/>
      <c r="AC34" s="1594"/>
      <c r="AD34" s="1594"/>
      <c r="AE34" s="1594"/>
      <c r="AF34" s="1594"/>
      <c r="AG34" s="1594"/>
      <c r="AH34" s="1697"/>
      <c r="AJ34" s="1390"/>
      <c r="AK34" s="1390"/>
      <c r="AL34" s="1390"/>
      <c r="AM34" s="1390"/>
      <c r="AN34" s="1390"/>
      <c r="AO34" s="1387"/>
      <c r="AP34" s="1387"/>
      <c r="AQ34" s="1387"/>
      <c r="AR34" s="1387"/>
    </row>
    <row r="35" ht="12.75" spans="1:44">
      <c r="A35" s="1546"/>
      <c r="B35" s="1448" t="s">
        <v>931</v>
      </c>
      <c r="C35" s="1526">
        <f ca="1">ROUND(D5*C19*C20*C24*F35,0)</f>
        <v>1704</v>
      </c>
      <c r="D35" s="1545"/>
      <c r="E35" s="1437">
        <f ca="1" t="shared" si="7"/>
        <v>0</v>
      </c>
      <c r="F35" s="1437">
        <f>SUMIF(修正!A45:A56,G2,修正!D45:D56)</f>
        <v>0.2</v>
      </c>
      <c r="G35" s="1437">
        <f ca="1">ROUND(IF(E2="工业",C35*$M$39,C35*$M$38),0)</f>
        <v>426</v>
      </c>
      <c r="H35" s="1437">
        <f t="shared" si="8"/>
        <v>0</v>
      </c>
      <c r="I35" s="1437">
        <f ca="1" t="shared" si="9"/>
        <v>0</v>
      </c>
      <c r="J35" s="1546"/>
      <c r="K35" s="1622"/>
      <c r="L35" s="1622"/>
      <c r="M35" s="1622"/>
      <c r="N35" s="1622"/>
      <c r="O35" s="1622"/>
      <c r="P35" s="1594"/>
      <c r="Q35" s="1594"/>
      <c r="R35" s="1594"/>
      <c r="S35" s="1594"/>
      <c r="T35" s="1594"/>
      <c r="U35" s="1594"/>
      <c r="V35" s="1594"/>
      <c r="W35" s="1697"/>
      <c r="X35" s="1697"/>
      <c r="Y35" s="1697"/>
      <c r="Z35" s="1697"/>
      <c r="AA35" s="1697"/>
      <c r="AB35" s="1594"/>
      <c r="AC35" s="1594"/>
      <c r="AD35" s="1594"/>
      <c r="AE35" s="1594"/>
      <c r="AF35" s="1594"/>
      <c r="AG35" s="1594"/>
      <c r="AH35" s="1697"/>
      <c r="AJ35" s="1390"/>
      <c r="AK35" s="1390"/>
      <c r="AL35" s="1390"/>
      <c r="AM35" s="1390"/>
      <c r="AN35" s="1390"/>
      <c r="AO35" s="1387"/>
      <c r="AP35" s="1387"/>
      <c r="AQ35" s="1387"/>
      <c r="AR35" s="1387"/>
    </row>
    <row r="36" ht="13.5" spans="1:44">
      <c r="A36" s="1547"/>
      <c r="B36" s="1448" t="s">
        <v>932</v>
      </c>
      <c r="C36" s="1526">
        <f ca="1">ROUND(D5*C19*C20*C24*F36,0)</f>
        <v>1704</v>
      </c>
      <c r="D36" s="1545"/>
      <c r="E36" s="1437">
        <f ca="1" t="shared" si="7"/>
        <v>0</v>
      </c>
      <c r="F36" s="1437">
        <f>SUMIF(修正!A45:A56,G2,修正!E45:E56)</f>
        <v>0.2</v>
      </c>
      <c r="G36" s="1437">
        <f ca="1">ROUND(IF(E2="工业",C36*$M$39,C36*$M$38),0)</f>
        <v>426</v>
      </c>
      <c r="H36" s="1437">
        <f t="shared" si="8"/>
        <v>0</v>
      </c>
      <c r="I36" s="1437">
        <f ca="1" t="shared" si="9"/>
        <v>0</v>
      </c>
      <c r="J36" s="1547"/>
      <c r="K36" s="1622"/>
      <c r="L36" s="1622"/>
      <c r="M36" s="1622"/>
      <c r="N36" s="1622"/>
      <c r="O36" s="1622"/>
      <c r="P36" s="1594"/>
      <c r="Q36" s="1594"/>
      <c r="R36" s="1594"/>
      <c r="S36" s="1594"/>
      <c r="T36" s="1594"/>
      <c r="U36" s="1594"/>
      <c r="V36" s="1594"/>
      <c r="W36" s="1697"/>
      <c r="X36" s="1697"/>
      <c r="Y36" s="1697"/>
      <c r="Z36" s="1697"/>
      <c r="AA36" s="1697"/>
      <c r="AB36" s="1594"/>
      <c r="AC36" s="1594"/>
      <c r="AD36" s="1594"/>
      <c r="AE36" s="1594"/>
      <c r="AF36" s="1594"/>
      <c r="AG36" s="1594"/>
      <c r="AH36" s="1697"/>
      <c r="AJ36" s="1390"/>
      <c r="AK36" s="1390"/>
      <c r="AL36" s="1390"/>
      <c r="AM36" s="1390"/>
      <c r="AN36" s="1390"/>
      <c r="AO36" s="1387"/>
      <c r="AP36" s="1387"/>
      <c r="AQ36" s="1387"/>
      <c r="AR36" s="1387"/>
    </row>
    <row r="37" ht="12.75" spans="1:29">
      <c r="A37" s="1548"/>
      <c r="B37" s="1448" t="s">
        <v>568</v>
      </c>
      <c r="C37" s="1437">
        <f ca="1">ROUND(D5*C19*C20*C24*F37,0)</f>
        <v>1704</v>
      </c>
      <c r="D37" s="1545"/>
      <c r="E37" s="1437">
        <f ca="1" t="shared" si="7"/>
        <v>0</v>
      </c>
      <c r="F37" s="1526">
        <f>SUMIF(修正!A45:A56,G2,修正!F45:F56)</f>
        <v>0.2</v>
      </c>
      <c r="G37" s="1437">
        <f ca="1">ROUND(IF(E2="工业",C37*$M$39,C37*$M$38),0)</f>
        <v>426</v>
      </c>
      <c r="H37" s="1437">
        <f t="shared" si="8"/>
        <v>0</v>
      </c>
      <c r="I37" s="1437">
        <f ca="1" t="shared" si="9"/>
        <v>0</v>
      </c>
      <c r="J37" s="1673"/>
      <c r="K37" s="1594"/>
      <c r="L37" s="1674" t="s">
        <v>933</v>
      </c>
      <c r="M37" s="1675"/>
      <c r="N37" s="1594"/>
      <c r="O37" s="1594"/>
      <c r="P37" s="1594"/>
      <c r="Q37" s="1594"/>
      <c r="R37" s="1697"/>
      <c r="S37" s="1697"/>
      <c r="T37" s="1697"/>
      <c r="U37" s="1697"/>
      <c r="V37" s="1697"/>
      <c r="W37" s="1594"/>
      <c r="X37" s="1594"/>
      <c r="Y37" s="1594"/>
      <c r="Z37" s="1594"/>
      <c r="AA37" s="1594"/>
      <c r="AB37" s="1594"/>
      <c r="AC37" s="1697"/>
    </row>
    <row r="38" ht="12.75" spans="1:29">
      <c r="A38" s="1548"/>
      <c r="B38" s="1448" t="s">
        <v>780</v>
      </c>
      <c r="C38" s="1437">
        <f ca="1">ROUND(D5*C19*C41*C24*F38,0)</f>
        <v>1569</v>
      </c>
      <c r="D38" s="1545"/>
      <c r="E38" s="1437">
        <f ca="1" t="shared" si="7"/>
        <v>0</v>
      </c>
      <c r="F38" s="1526">
        <f>SUMIF(修正!A45:A56,G2,修正!G45:G56)</f>
        <v>0.2</v>
      </c>
      <c r="G38" s="1437">
        <f ca="1">ROUND(IF(E2="工业",C38*$M$39,C38*$M$38),0)</f>
        <v>392</v>
      </c>
      <c r="H38" s="1437">
        <f t="shared" si="8"/>
        <v>0</v>
      </c>
      <c r="I38" s="1437">
        <f ca="1" t="shared" si="9"/>
        <v>0</v>
      </c>
      <c r="J38" s="1673"/>
      <c r="K38" s="1594"/>
      <c r="L38" s="1676" t="s">
        <v>934</v>
      </c>
      <c r="M38" s="1677">
        <v>0.25</v>
      </c>
      <c r="N38" s="1594"/>
      <c r="O38" s="1594"/>
      <c r="P38" s="1594"/>
      <c r="Q38" s="1594"/>
      <c r="R38" s="1697"/>
      <c r="S38" s="1697"/>
      <c r="T38" s="1697"/>
      <c r="U38" s="1697"/>
      <c r="V38" s="1697"/>
      <c r="W38" s="1594"/>
      <c r="X38" s="1594"/>
      <c r="Y38" s="1594"/>
      <c r="Z38" s="1594"/>
      <c r="AA38" s="1594"/>
      <c r="AB38" s="1594"/>
      <c r="AC38" s="1697"/>
    </row>
    <row r="39" ht="13.5" spans="1:29">
      <c r="A39" s="1531"/>
      <c r="B39" s="1549" t="s">
        <v>383</v>
      </c>
      <c r="C39" s="1471">
        <f ca="1">ROUND(D5*C19*C41*C24*F39,0)</f>
        <v>1176</v>
      </c>
      <c r="D39" s="1550"/>
      <c r="E39" s="1471">
        <f ca="1" t="shared" si="7"/>
        <v>0</v>
      </c>
      <c r="F39" s="1551">
        <f>SUMIF(修正!A45:A56,G2,修正!H45:H56)</f>
        <v>0.15</v>
      </c>
      <c r="G39" s="1471">
        <f ca="1">ROUND(IF(E2="工业",C39*$M$39,C39*$M$38),0)</f>
        <v>294</v>
      </c>
      <c r="H39" s="1471">
        <f t="shared" si="8"/>
        <v>0</v>
      </c>
      <c r="I39" s="1471">
        <f ca="1" t="shared" si="9"/>
        <v>0</v>
      </c>
      <c r="J39" s="1678"/>
      <c r="K39" s="1594"/>
      <c r="L39" s="1679" t="s">
        <v>935</v>
      </c>
      <c r="M39" s="1680">
        <v>0.15</v>
      </c>
      <c r="N39" s="1594"/>
      <c r="O39" s="1594"/>
      <c r="P39" s="1594"/>
      <c r="Q39" s="1594"/>
      <c r="R39" s="1697"/>
      <c r="S39" s="1697"/>
      <c r="T39" s="1697"/>
      <c r="U39" s="1697"/>
      <c r="V39" s="1697"/>
      <c r="W39" s="1594"/>
      <c r="X39" s="1594"/>
      <c r="Y39" s="1594"/>
      <c r="Z39" s="1594"/>
      <c r="AA39" s="1594"/>
      <c r="AB39" s="1594"/>
      <c r="AC39" s="1697"/>
    </row>
    <row r="40" s="1386" customFormat="1" spans="2:39">
      <c r="B40" s="1552"/>
      <c r="C40" s="1552"/>
      <c r="D40" s="1552"/>
      <c r="E40" s="1552"/>
      <c r="F40" s="1552"/>
      <c r="G40" s="1552"/>
      <c r="H40" s="1552"/>
      <c r="I40" s="1552"/>
      <c r="J40" s="1552"/>
      <c r="K40" s="1552"/>
      <c r="L40" s="1552"/>
      <c r="M40" s="1552"/>
      <c r="N40" s="1552"/>
      <c r="O40" s="1552"/>
      <c r="P40" s="1552"/>
      <c r="Q40" s="1552"/>
      <c r="R40" s="1698"/>
      <c r="S40" s="1698"/>
      <c r="T40" s="1698"/>
      <c r="U40" s="1698"/>
      <c r="V40" s="1698"/>
      <c r="W40" s="1552"/>
      <c r="X40" s="1552"/>
      <c r="Y40" s="1552"/>
      <c r="Z40" s="1552"/>
      <c r="AA40" s="1552"/>
      <c r="AB40" s="1552"/>
      <c r="AC40" s="1698"/>
      <c r="AD40" s="1390"/>
      <c r="AE40" s="1390"/>
      <c r="AF40" s="1390"/>
      <c r="AG40" s="1390"/>
      <c r="AH40" s="1390"/>
      <c r="AI40" s="1390"/>
      <c r="AJ40" s="1390"/>
      <c r="AK40" s="1390"/>
      <c r="AL40" s="1390"/>
      <c r="AM40" s="1390"/>
    </row>
    <row r="41" s="1386" customFormat="1" ht="12.75" spans="1:39">
      <c r="A41" s="1390"/>
      <c r="B41" s="1553" t="s">
        <v>936</v>
      </c>
      <c r="C41" s="1554">
        <f ca="1">ROUND(POWER(1+E41,H41-G41)*(POWER(1+E41,G41)-1)/(POWER(1+E41,H41)-1),4)</f>
        <v>0.9205</v>
      </c>
      <c r="D41" s="1555" t="s">
        <v>937</v>
      </c>
      <c r="E41" s="1556">
        <f ca="1">G20</f>
        <v>0.052</v>
      </c>
      <c r="F41" s="1555" t="s">
        <v>938</v>
      </c>
      <c r="G41" s="1557">
        <f>项目基本情况!F19</f>
        <v>37.1</v>
      </c>
      <c r="H41" s="1555">
        <v>50</v>
      </c>
      <c r="I41" s="1552"/>
      <c r="J41" s="1552"/>
      <c r="K41" s="1552"/>
      <c r="L41" s="1552"/>
      <c r="M41" s="1552"/>
      <c r="N41" s="1552"/>
      <c r="O41" s="1552"/>
      <c r="P41" s="1552"/>
      <c r="Q41" s="1552"/>
      <c r="R41" s="1698"/>
      <c r="S41" s="1698"/>
      <c r="T41" s="1698"/>
      <c r="U41" s="1698"/>
      <c r="V41" s="1698"/>
      <c r="W41" s="1552"/>
      <c r="X41" s="1552"/>
      <c r="Y41" s="1552"/>
      <c r="Z41" s="1552"/>
      <c r="AA41" s="1552"/>
      <c r="AB41" s="1552"/>
      <c r="AC41" s="1698"/>
      <c r="AD41" s="1390"/>
      <c r="AE41" s="1390"/>
      <c r="AF41" s="1390"/>
      <c r="AG41" s="1390"/>
      <c r="AH41" s="1390"/>
      <c r="AI41" s="1390"/>
      <c r="AJ41" s="1390"/>
      <c r="AK41" s="1390"/>
      <c r="AL41" s="1390"/>
      <c r="AM41" s="1390"/>
    </row>
    <row r="42" s="1386" customFormat="1" spans="1:39">
      <c r="A42" s="1390"/>
      <c r="B42" s="1558"/>
      <c r="C42" s="1552"/>
      <c r="D42" s="1552"/>
      <c r="E42" s="1552"/>
      <c r="F42" s="1552"/>
      <c r="G42" s="1552"/>
      <c r="H42" s="1552"/>
      <c r="I42" s="1552"/>
      <c r="J42" s="1552"/>
      <c r="K42" s="1552"/>
      <c r="L42" s="1552"/>
      <c r="M42" s="1552"/>
      <c r="N42" s="1552"/>
      <c r="O42" s="1552"/>
      <c r="P42" s="1552"/>
      <c r="Q42" s="1552"/>
      <c r="R42" s="1698"/>
      <c r="S42" s="1698"/>
      <c r="T42" s="1698"/>
      <c r="U42" s="1698"/>
      <c r="V42" s="1698"/>
      <c r="W42" s="1552"/>
      <c r="X42" s="1552"/>
      <c r="Y42" s="1552"/>
      <c r="Z42" s="1552"/>
      <c r="AA42" s="1552"/>
      <c r="AB42" s="1552"/>
      <c r="AC42" s="1698"/>
      <c r="AD42" s="1390"/>
      <c r="AE42" s="1390"/>
      <c r="AF42" s="1390"/>
      <c r="AG42" s="1390"/>
      <c r="AH42" s="1390"/>
      <c r="AI42" s="1390"/>
      <c r="AJ42" s="1390"/>
      <c r="AK42" s="1390"/>
      <c r="AL42" s="1390"/>
      <c r="AM42" s="1390"/>
    </row>
    <row r="43" s="1386" customFormat="1" spans="1:39">
      <c r="A43" s="1390"/>
      <c r="B43" s="1558"/>
      <c r="C43" s="1552"/>
      <c r="D43" s="1552"/>
      <c r="E43" s="1552"/>
      <c r="F43" s="1552"/>
      <c r="G43" s="1552"/>
      <c r="H43" s="1552"/>
      <c r="I43" s="1552"/>
      <c r="J43" s="1552"/>
      <c r="K43" s="1552"/>
      <c r="L43" s="1552"/>
      <c r="M43" s="1552"/>
      <c r="N43" s="1552"/>
      <c r="O43" s="1552"/>
      <c r="P43" s="1552"/>
      <c r="Q43" s="1552"/>
      <c r="R43" s="1698"/>
      <c r="S43" s="1698"/>
      <c r="T43" s="1698"/>
      <c r="U43" s="1698"/>
      <c r="V43" s="1698"/>
      <c r="W43" s="1552"/>
      <c r="X43" s="1552"/>
      <c r="Y43" s="1552"/>
      <c r="Z43" s="1552"/>
      <c r="AA43" s="1552"/>
      <c r="AB43" s="1552"/>
      <c r="AC43" s="1698"/>
      <c r="AD43" s="1390"/>
      <c r="AE43" s="1390"/>
      <c r="AF43" s="1390"/>
      <c r="AG43" s="1390"/>
      <c r="AH43" s="1390"/>
      <c r="AI43" s="1390"/>
      <c r="AJ43" s="1390"/>
      <c r="AK43" s="1390"/>
      <c r="AL43" s="1390"/>
      <c r="AM43" s="1390"/>
    </row>
    <row r="44" s="1386" customFormat="1" ht="15" spans="1:39">
      <c r="A44" s="1559" t="s">
        <v>939</v>
      </c>
      <c r="B44" s="1560"/>
      <c r="C44" s="1561"/>
      <c r="D44" s="1562"/>
      <c r="E44" s="1562"/>
      <c r="F44" s="1563"/>
      <c r="G44" s="1302"/>
      <c r="H44" s="1563"/>
      <c r="I44" s="1302"/>
      <c r="J44" s="1302"/>
      <c r="K44" s="1302"/>
      <c r="L44" s="1302"/>
      <c r="M44" s="1302"/>
      <c r="O44" s="1552"/>
      <c r="P44" s="1552"/>
      <c r="Q44" s="1552"/>
      <c r="R44" s="1698"/>
      <c r="S44" s="1698"/>
      <c r="T44" s="1698"/>
      <c r="U44" s="1698"/>
      <c r="V44" s="1698"/>
      <c r="W44" s="1552"/>
      <c r="X44" s="1552"/>
      <c r="Y44" s="1552"/>
      <c r="Z44" s="1552"/>
      <c r="AA44" s="1552"/>
      <c r="AB44" s="1552"/>
      <c r="AC44" s="1698"/>
      <c r="AD44" s="1390"/>
      <c r="AE44" s="1390"/>
      <c r="AF44" s="1390"/>
      <c r="AG44" s="1390"/>
      <c r="AH44" s="1390"/>
      <c r="AI44" s="1390"/>
      <c r="AJ44" s="1390"/>
      <c r="AK44" s="1390"/>
      <c r="AL44" s="1390"/>
      <c r="AM44" s="1390"/>
    </row>
    <row r="45" s="1386" customFormat="1" ht="15" hidden="1" spans="1:39">
      <c r="A45" s="1564" t="s">
        <v>376</v>
      </c>
      <c r="B45" s="1565">
        <f>1+E47</f>
        <v>1</v>
      </c>
      <c r="C45" s="1566"/>
      <c r="D45" s="1567"/>
      <c r="E45" s="1568"/>
      <c r="F45" s="1569"/>
      <c r="G45" s="1563"/>
      <c r="H45" s="1563"/>
      <c r="I45" s="1302"/>
      <c r="J45" s="1302"/>
      <c r="K45" s="1302"/>
      <c r="L45" s="1302"/>
      <c r="M45" s="1302"/>
      <c r="O45" s="1552"/>
      <c r="P45" s="1552"/>
      <c r="Q45" s="1552"/>
      <c r="R45" s="1698"/>
      <c r="S45" s="1698"/>
      <c r="T45" s="1698"/>
      <c r="U45" s="1698"/>
      <c r="V45" s="1698"/>
      <c r="W45" s="1552"/>
      <c r="X45" s="1552"/>
      <c r="Y45" s="1552"/>
      <c r="Z45" s="1552"/>
      <c r="AA45" s="1552"/>
      <c r="AB45" s="1552"/>
      <c r="AC45" s="1698"/>
      <c r="AD45" s="1390"/>
      <c r="AE45" s="1390"/>
      <c r="AF45" s="1390"/>
      <c r="AG45" s="1390"/>
      <c r="AH45" s="1390"/>
      <c r="AI45" s="1390"/>
      <c r="AJ45" s="1390"/>
      <c r="AK45" s="1390"/>
      <c r="AL45" s="1390"/>
      <c r="AM45" s="1390"/>
    </row>
    <row r="46" s="1386" customFormat="1" ht="24" hidden="1" spans="1:40">
      <c r="A46" s="1354" t="s">
        <v>940</v>
      </c>
      <c r="B46" s="1570" t="s">
        <v>941</v>
      </c>
      <c r="C46" s="1571" t="s">
        <v>942</v>
      </c>
      <c r="D46" s="1572" t="s">
        <v>943</v>
      </c>
      <c r="E46" s="1573" t="s">
        <v>944</v>
      </c>
      <c r="F46" s="1574" t="s">
        <v>945</v>
      </c>
      <c r="G46" s="1572" t="s">
        <v>946</v>
      </c>
      <c r="H46" s="1575" t="s">
        <v>947</v>
      </c>
      <c r="I46" s="1572" t="s">
        <v>948</v>
      </c>
      <c r="J46" s="1681" t="s">
        <v>250</v>
      </c>
      <c r="K46" s="1681" t="s">
        <v>262</v>
      </c>
      <c r="L46" s="1681" t="s">
        <v>272</v>
      </c>
      <c r="M46" s="1681" t="s">
        <v>282</v>
      </c>
      <c r="N46" s="1681" t="s">
        <v>289</v>
      </c>
      <c r="P46" s="1552"/>
      <c r="Q46" s="1552"/>
      <c r="R46" s="1698"/>
      <c r="S46" s="1698"/>
      <c r="T46" s="1698"/>
      <c r="U46" s="1698"/>
      <c r="V46" s="1698"/>
      <c r="W46" s="1552"/>
      <c r="X46" s="1552"/>
      <c r="Y46" s="1552"/>
      <c r="Z46" s="1552"/>
      <c r="AA46" s="1552"/>
      <c r="AB46" s="1552"/>
      <c r="AC46" s="1552"/>
      <c r="AD46" s="1698"/>
      <c r="AE46" s="1390"/>
      <c r="AF46" s="1390"/>
      <c r="AG46" s="1390"/>
      <c r="AH46" s="1390"/>
      <c r="AI46" s="1390"/>
      <c r="AJ46" s="1390"/>
      <c r="AK46" s="1390"/>
      <c r="AL46" s="1390"/>
      <c r="AM46" s="1390"/>
      <c r="AN46" s="1390"/>
    </row>
    <row r="47" s="1386" customFormat="1" ht="36" hidden="1" spans="1:40">
      <c r="A47" s="1354" t="s">
        <v>949</v>
      </c>
      <c r="B47" s="1576" t="str">
        <f>估价对象房地状况!C16</f>
        <v>估价对象位于XX商圈，周边商业氛围成熟，人流量大，商业繁华度好</v>
      </c>
      <c r="C47" s="1577"/>
      <c r="D47" s="1578">
        <f t="shared" ref="D47:D55" si="10">SUMIF($J$46:$N$46,C47,J47:N47)</f>
        <v>0</v>
      </c>
      <c r="E47" s="1579">
        <f>ROUND(SUM(D47:D55),4)</f>
        <v>0</v>
      </c>
      <c r="F47" s="1580" t="str">
        <f>IF(E2="商业",SUMIF(L1:L12,G2,N1:N12),"——")</f>
        <v>——</v>
      </c>
      <c r="G47" s="1581"/>
      <c r="H47" s="1582" t="str">
        <f t="shared" ref="H47:H55" si="11">IFERROR(ROUNDDOWN(($F$47*I47/2),4),"——")</f>
        <v>——</v>
      </c>
      <c r="I47" s="1682">
        <v>0.33</v>
      </c>
      <c r="J47" s="1683">
        <f t="shared" ref="J47:J55" si="12">K47+$G47</f>
        <v>0</v>
      </c>
      <c r="K47" s="1683">
        <f t="shared" ref="K47:K55" si="13">$L47+$G47</f>
        <v>0</v>
      </c>
      <c r="L47" s="1683">
        <v>0</v>
      </c>
      <c r="M47" s="1683">
        <f t="shared" ref="M47:N55" si="14">L47-$G47</f>
        <v>0</v>
      </c>
      <c r="N47" s="1683">
        <f t="shared" si="14"/>
        <v>0</v>
      </c>
      <c r="P47" s="1552"/>
      <c r="Q47" s="1552"/>
      <c r="R47" s="1698"/>
      <c r="S47" s="1698"/>
      <c r="T47" s="1698"/>
      <c r="U47" s="1698"/>
      <c r="V47" s="1698"/>
      <c r="W47" s="1552"/>
      <c r="X47" s="1552"/>
      <c r="Y47" s="1552"/>
      <c r="Z47" s="1552"/>
      <c r="AA47" s="1552"/>
      <c r="AB47" s="1552"/>
      <c r="AC47" s="1552"/>
      <c r="AD47" s="1698"/>
      <c r="AE47" s="1390"/>
      <c r="AF47" s="1390"/>
      <c r="AG47" s="1390"/>
      <c r="AH47" s="1390"/>
      <c r="AI47" s="1390"/>
      <c r="AJ47" s="1390"/>
      <c r="AK47" s="1390"/>
      <c r="AL47" s="1390"/>
      <c r="AM47" s="1390"/>
      <c r="AN47" s="1390"/>
    </row>
    <row r="48" s="1386" customFormat="1" ht="48" hidden="1" spans="1:40">
      <c r="A48" s="1354" t="s">
        <v>685</v>
      </c>
      <c r="B48" s="1570" t="str">
        <f>估价对象房地状况!C18</f>
        <v>估价对象周边道路状况、公共交通通达情况、停车便捷程度，综合评价交通便捷度较好</v>
      </c>
      <c r="C48" s="1577"/>
      <c r="D48" s="1578">
        <f t="shared" si="10"/>
        <v>0</v>
      </c>
      <c r="E48" s="1583"/>
      <c r="F48" s="1580"/>
      <c r="G48" s="1581"/>
      <c r="H48" s="1582" t="str">
        <f t="shared" si="11"/>
        <v>——</v>
      </c>
      <c r="I48" s="1682">
        <v>0.25</v>
      </c>
      <c r="J48" s="1683">
        <f t="shared" si="12"/>
        <v>0</v>
      </c>
      <c r="K48" s="1683">
        <f t="shared" si="13"/>
        <v>0</v>
      </c>
      <c r="L48" s="1683">
        <v>0</v>
      </c>
      <c r="M48" s="1683">
        <f t="shared" si="14"/>
        <v>0</v>
      </c>
      <c r="N48" s="1683">
        <f t="shared" si="14"/>
        <v>0</v>
      </c>
      <c r="P48" s="1552"/>
      <c r="Q48" s="1552"/>
      <c r="R48" s="1698"/>
      <c r="S48" s="1698"/>
      <c r="T48" s="1698"/>
      <c r="U48" s="1698"/>
      <c r="V48" s="1698"/>
      <c r="W48" s="1552"/>
      <c r="X48" s="1552"/>
      <c r="Y48" s="1552"/>
      <c r="Z48" s="1552"/>
      <c r="AA48" s="1552"/>
      <c r="AB48" s="1552"/>
      <c r="AC48" s="1552"/>
      <c r="AD48" s="1698"/>
      <c r="AE48" s="1390"/>
      <c r="AF48" s="1390"/>
      <c r="AG48" s="1390"/>
      <c r="AH48" s="1390"/>
      <c r="AI48" s="1390"/>
      <c r="AJ48" s="1390"/>
      <c r="AK48" s="1390"/>
      <c r="AL48" s="1390"/>
      <c r="AM48" s="1390"/>
      <c r="AN48" s="1390"/>
    </row>
    <row r="49" s="1386" customFormat="1" ht="24" hidden="1" spans="1:40">
      <c r="A49" s="1354" t="s">
        <v>697</v>
      </c>
      <c r="B49" s="1570">
        <f>估价对象房地状况!C19</f>
        <v>0</v>
      </c>
      <c r="C49" s="1577"/>
      <c r="D49" s="1578">
        <f t="shared" si="10"/>
        <v>0</v>
      </c>
      <c r="E49" s="1583"/>
      <c r="F49" s="1580"/>
      <c r="G49" s="1581"/>
      <c r="H49" s="1582" t="str">
        <f t="shared" si="11"/>
        <v>——</v>
      </c>
      <c r="I49" s="1682">
        <v>0.05</v>
      </c>
      <c r="J49" s="1683">
        <f t="shared" si="12"/>
        <v>0</v>
      </c>
      <c r="K49" s="1683">
        <f t="shared" si="13"/>
        <v>0</v>
      </c>
      <c r="L49" s="1683">
        <v>0</v>
      </c>
      <c r="M49" s="1683">
        <f t="shared" si="14"/>
        <v>0</v>
      </c>
      <c r="N49" s="1683">
        <f t="shared" si="14"/>
        <v>0</v>
      </c>
      <c r="P49" s="1552"/>
      <c r="Q49" s="1552"/>
      <c r="R49" s="1698"/>
      <c r="S49" s="1698"/>
      <c r="T49" s="1698"/>
      <c r="U49" s="1698"/>
      <c r="V49" s="1698"/>
      <c r="W49" s="1552"/>
      <c r="X49" s="1552"/>
      <c r="Y49" s="1552"/>
      <c r="Z49" s="1552"/>
      <c r="AA49" s="1552"/>
      <c r="AB49" s="1552"/>
      <c r="AC49" s="1552"/>
      <c r="AD49" s="1698"/>
      <c r="AE49" s="1390"/>
      <c r="AF49" s="1390"/>
      <c r="AG49" s="1390"/>
      <c r="AH49" s="1390"/>
      <c r="AI49" s="1390"/>
      <c r="AJ49" s="1390"/>
      <c r="AK49" s="1390"/>
      <c r="AL49" s="1390"/>
      <c r="AM49" s="1390"/>
      <c r="AN49" s="1390"/>
    </row>
    <row r="50" s="1386" customFormat="1" ht="36" hidden="1" spans="1:40">
      <c r="A50" s="1354" t="s">
        <v>950</v>
      </c>
      <c r="B50" s="1584" t="s">
        <v>951</v>
      </c>
      <c r="C50" s="1577"/>
      <c r="D50" s="1578">
        <f t="shared" si="10"/>
        <v>0</v>
      </c>
      <c r="E50" s="1583"/>
      <c r="F50" s="1580"/>
      <c r="G50" s="1581"/>
      <c r="H50" s="1582" t="str">
        <f t="shared" si="11"/>
        <v>——</v>
      </c>
      <c r="I50" s="1682">
        <v>0.05</v>
      </c>
      <c r="J50" s="1683">
        <f t="shared" si="12"/>
        <v>0</v>
      </c>
      <c r="K50" s="1683">
        <f t="shared" si="13"/>
        <v>0</v>
      </c>
      <c r="L50" s="1683">
        <v>0</v>
      </c>
      <c r="M50" s="1683">
        <f t="shared" si="14"/>
        <v>0</v>
      </c>
      <c r="N50" s="1683">
        <f t="shared" si="14"/>
        <v>0</v>
      </c>
      <c r="P50" s="1552"/>
      <c r="Q50" s="1552"/>
      <c r="R50" s="1698"/>
      <c r="S50" s="1698"/>
      <c r="T50" s="1698"/>
      <c r="U50" s="1698"/>
      <c r="V50" s="1698"/>
      <c r="W50" s="1552"/>
      <c r="X50" s="1552"/>
      <c r="Y50" s="1552"/>
      <c r="Z50" s="1552"/>
      <c r="AA50" s="1552"/>
      <c r="AB50" s="1552"/>
      <c r="AC50" s="1552"/>
      <c r="AD50" s="1698"/>
      <c r="AE50" s="1390"/>
      <c r="AF50" s="1390"/>
      <c r="AG50" s="1390"/>
      <c r="AH50" s="1390"/>
      <c r="AI50" s="1390"/>
      <c r="AJ50" s="1390"/>
      <c r="AK50" s="1390"/>
      <c r="AL50" s="1390"/>
      <c r="AM50" s="1390"/>
      <c r="AN50" s="1390"/>
    </row>
    <row r="51" s="1386" customFormat="1" ht="24" hidden="1" spans="1:40">
      <c r="A51" s="1354" t="s">
        <v>952</v>
      </c>
      <c r="B51" s="1570">
        <f>估价对象房地状况!C24</f>
        <v>0</v>
      </c>
      <c r="C51" s="1577"/>
      <c r="D51" s="1578">
        <f t="shared" si="10"/>
        <v>0</v>
      </c>
      <c r="E51" s="1583"/>
      <c r="F51" s="1580"/>
      <c r="G51" s="1581"/>
      <c r="H51" s="1582" t="str">
        <f t="shared" si="11"/>
        <v>——</v>
      </c>
      <c r="I51" s="1682">
        <v>0.08</v>
      </c>
      <c r="J51" s="1683">
        <f t="shared" si="12"/>
        <v>0</v>
      </c>
      <c r="K51" s="1683">
        <f t="shared" si="13"/>
        <v>0</v>
      </c>
      <c r="L51" s="1683">
        <v>0</v>
      </c>
      <c r="M51" s="1683">
        <f t="shared" si="14"/>
        <v>0</v>
      </c>
      <c r="N51" s="1683">
        <f t="shared" si="14"/>
        <v>0</v>
      </c>
      <c r="P51" s="1552"/>
      <c r="Q51" s="1552"/>
      <c r="R51" s="1698"/>
      <c r="S51" s="1698"/>
      <c r="T51" s="1698"/>
      <c r="U51" s="1698"/>
      <c r="V51" s="1698"/>
      <c r="W51" s="1552"/>
      <c r="X51" s="1552"/>
      <c r="Y51" s="1552"/>
      <c r="Z51" s="1552"/>
      <c r="AA51" s="1552"/>
      <c r="AB51" s="1552"/>
      <c r="AC51" s="1552"/>
      <c r="AD51" s="1698"/>
      <c r="AE51" s="1390"/>
      <c r="AF51" s="1390"/>
      <c r="AG51" s="1390"/>
      <c r="AH51" s="1390"/>
      <c r="AI51" s="1390"/>
      <c r="AJ51" s="1390"/>
      <c r="AK51" s="1390"/>
      <c r="AL51" s="1390"/>
      <c r="AM51" s="1390"/>
      <c r="AN51" s="1390"/>
    </row>
    <row r="52" s="1386" customFormat="1" ht="24" hidden="1" spans="1:40">
      <c r="A52" s="1354" t="s">
        <v>953</v>
      </c>
      <c r="B52" s="1585" t="s">
        <v>954</v>
      </c>
      <c r="C52" s="1577"/>
      <c r="D52" s="1578">
        <f t="shared" si="10"/>
        <v>0</v>
      </c>
      <c r="E52" s="1583"/>
      <c r="F52" s="1580"/>
      <c r="G52" s="1581"/>
      <c r="H52" s="1582" t="str">
        <f t="shared" si="11"/>
        <v>——</v>
      </c>
      <c r="I52" s="1682">
        <v>0.03</v>
      </c>
      <c r="J52" s="1683">
        <f t="shared" si="12"/>
        <v>0</v>
      </c>
      <c r="K52" s="1683">
        <f t="shared" si="13"/>
        <v>0</v>
      </c>
      <c r="L52" s="1683">
        <v>0</v>
      </c>
      <c r="M52" s="1683">
        <f t="shared" si="14"/>
        <v>0</v>
      </c>
      <c r="N52" s="1683">
        <f t="shared" si="14"/>
        <v>0</v>
      </c>
      <c r="P52" s="1552"/>
      <c r="Q52" s="1552"/>
      <c r="R52" s="1698"/>
      <c r="S52" s="1698"/>
      <c r="T52" s="1698"/>
      <c r="U52" s="1698"/>
      <c r="V52" s="1698"/>
      <c r="W52" s="1552"/>
      <c r="X52" s="1552"/>
      <c r="Y52" s="1552"/>
      <c r="Z52" s="1552"/>
      <c r="AA52" s="1552"/>
      <c r="AB52" s="1552"/>
      <c r="AC52" s="1552"/>
      <c r="AD52" s="1698"/>
      <c r="AE52" s="1390"/>
      <c r="AF52" s="1390"/>
      <c r="AG52" s="1390"/>
      <c r="AH52" s="1390"/>
      <c r="AI52" s="1390"/>
      <c r="AJ52" s="1390"/>
      <c r="AK52" s="1390"/>
      <c r="AL52" s="1390"/>
      <c r="AM52" s="1390"/>
      <c r="AN52" s="1390"/>
    </row>
    <row r="53" s="1386" customFormat="1" ht="24" hidden="1" spans="1:40">
      <c r="A53" s="1586" t="s">
        <v>955</v>
      </c>
      <c r="B53" s="1587" t="str">
        <f>估价对象房地状况!C21</f>
        <v>估价对象所在区域公共配套设施齐备情况</v>
      </c>
      <c r="C53" s="1577"/>
      <c r="D53" s="1578">
        <f t="shared" si="10"/>
        <v>0</v>
      </c>
      <c r="E53" s="1583"/>
      <c r="F53" s="1580"/>
      <c r="G53" s="1581"/>
      <c r="H53" s="1582" t="str">
        <f t="shared" si="11"/>
        <v>——</v>
      </c>
      <c r="I53" s="1682">
        <v>0.05</v>
      </c>
      <c r="J53" s="1683">
        <f t="shared" si="12"/>
        <v>0</v>
      </c>
      <c r="K53" s="1683">
        <f t="shared" si="13"/>
        <v>0</v>
      </c>
      <c r="L53" s="1683">
        <v>0</v>
      </c>
      <c r="M53" s="1683">
        <f t="shared" si="14"/>
        <v>0</v>
      </c>
      <c r="N53" s="1683">
        <f t="shared" si="14"/>
        <v>0</v>
      </c>
      <c r="P53" s="1552"/>
      <c r="Q53" s="1552"/>
      <c r="R53" s="1698"/>
      <c r="S53" s="1698"/>
      <c r="T53" s="1698"/>
      <c r="U53" s="1698"/>
      <c r="V53" s="1698"/>
      <c r="W53" s="1552"/>
      <c r="X53" s="1552"/>
      <c r="Y53" s="1552"/>
      <c r="Z53" s="1552"/>
      <c r="AA53" s="1552"/>
      <c r="AB53" s="1552"/>
      <c r="AC53" s="1552"/>
      <c r="AD53" s="1698"/>
      <c r="AE53" s="1390"/>
      <c r="AF53" s="1390"/>
      <c r="AG53" s="1390"/>
      <c r="AH53" s="1390"/>
      <c r="AI53" s="1390"/>
      <c r="AJ53" s="1390"/>
      <c r="AK53" s="1390"/>
      <c r="AL53" s="1390"/>
      <c r="AM53" s="1390"/>
      <c r="AN53" s="1390"/>
    </row>
    <row r="54" s="1386" customFormat="1" ht="24" hidden="1" spans="1:40">
      <c r="A54" s="1586" t="s">
        <v>956</v>
      </c>
      <c r="B54" s="1570" t="str">
        <f>估价对象房地状况!C22</f>
        <v>估价对象所在区域基础设施水平</v>
      </c>
      <c r="C54" s="1577"/>
      <c r="D54" s="1578">
        <f t="shared" si="10"/>
        <v>0</v>
      </c>
      <c r="E54" s="1583"/>
      <c r="F54" s="1580"/>
      <c r="G54" s="1581"/>
      <c r="H54" s="1582" t="str">
        <f t="shared" si="11"/>
        <v>——</v>
      </c>
      <c r="I54" s="1682">
        <v>0.1</v>
      </c>
      <c r="J54" s="1683">
        <f t="shared" si="12"/>
        <v>0</v>
      </c>
      <c r="K54" s="1683">
        <f t="shared" si="13"/>
        <v>0</v>
      </c>
      <c r="L54" s="1683">
        <v>0</v>
      </c>
      <c r="M54" s="1683">
        <f t="shared" si="14"/>
        <v>0</v>
      </c>
      <c r="N54" s="1683">
        <f t="shared" si="14"/>
        <v>0</v>
      </c>
      <c r="P54" s="1552"/>
      <c r="Q54" s="1552"/>
      <c r="R54" s="1698"/>
      <c r="S54" s="1698"/>
      <c r="T54" s="1698"/>
      <c r="U54" s="1698"/>
      <c r="V54" s="1698"/>
      <c r="W54" s="1552"/>
      <c r="X54" s="1552"/>
      <c r="Y54" s="1552"/>
      <c r="Z54" s="1552"/>
      <c r="AA54" s="1552"/>
      <c r="AB54" s="1552"/>
      <c r="AC54" s="1552"/>
      <c r="AD54" s="1698"/>
      <c r="AE54" s="1390"/>
      <c r="AF54" s="1390"/>
      <c r="AG54" s="1390"/>
      <c r="AH54" s="1390"/>
      <c r="AI54" s="1390"/>
      <c r="AJ54" s="1390"/>
      <c r="AK54" s="1390"/>
      <c r="AL54" s="1390"/>
      <c r="AM54" s="1390"/>
      <c r="AN54" s="1390"/>
    </row>
    <row r="55" s="1386" customFormat="1" ht="24.75" hidden="1" spans="1:40">
      <c r="A55" s="1588" t="s">
        <v>957</v>
      </c>
      <c r="B55" s="1589" t="str">
        <f>估价对象房地状况!C20</f>
        <v>区域自然环境：；人文环境；综合评价环境状况一般</v>
      </c>
      <c r="C55" s="1577"/>
      <c r="D55" s="1578">
        <f t="shared" si="10"/>
        <v>0</v>
      </c>
      <c r="E55" s="1590"/>
      <c r="F55" s="1580"/>
      <c r="G55" s="1581"/>
      <c r="H55" s="1582" t="str">
        <f t="shared" si="11"/>
        <v>——</v>
      </c>
      <c r="I55" s="1684">
        <v>0.06</v>
      </c>
      <c r="J55" s="1683">
        <f t="shared" si="12"/>
        <v>0</v>
      </c>
      <c r="K55" s="1683">
        <f t="shared" si="13"/>
        <v>0</v>
      </c>
      <c r="L55" s="1683">
        <v>0</v>
      </c>
      <c r="M55" s="1683">
        <f t="shared" si="14"/>
        <v>0</v>
      </c>
      <c r="N55" s="1683">
        <f t="shared" si="14"/>
        <v>0</v>
      </c>
      <c r="P55" s="1552"/>
      <c r="Q55" s="1552"/>
      <c r="R55" s="1698"/>
      <c r="S55" s="1698"/>
      <c r="T55" s="1698"/>
      <c r="U55" s="1698"/>
      <c r="V55" s="1698"/>
      <c r="W55" s="1552"/>
      <c r="X55" s="1552"/>
      <c r="Y55" s="1552"/>
      <c r="Z55" s="1552"/>
      <c r="AA55" s="1552"/>
      <c r="AB55" s="1552"/>
      <c r="AC55" s="1552"/>
      <c r="AD55" s="1698"/>
      <c r="AE55" s="1390"/>
      <c r="AF55" s="1390"/>
      <c r="AG55" s="1390"/>
      <c r="AH55" s="1390"/>
      <c r="AI55" s="1390"/>
      <c r="AJ55" s="1390"/>
      <c r="AK55" s="1390"/>
      <c r="AL55" s="1390"/>
      <c r="AM55" s="1390"/>
      <c r="AN55" s="1390"/>
    </row>
    <row r="56" s="1386" customFormat="1" ht="15" spans="1:40">
      <c r="A56" s="1564" t="s">
        <v>377</v>
      </c>
      <c r="B56" s="1565">
        <f>1+E58</f>
        <v>1.0458</v>
      </c>
      <c r="C56" s="1591"/>
      <c r="D56" s="1567"/>
      <c r="E56" s="1568"/>
      <c r="F56" s="1569"/>
      <c r="G56" s="1563"/>
      <c r="H56" s="1563"/>
      <c r="I56" s="1563"/>
      <c r="J56" s="1302"/>
      <c r="K56" s="1302"/>
      <c r="L56" s="1302"/>
      <c r="M56" s="1302"/>
      <c r="N56" s="1302"/>
      <c r="P56" s="1552"/>
      <c r="Q56" s="1552"/>
      <c r="R56" s="1698"/>
      <c r="S56" s="1698"/>
      <c r="T56" s="1698"/>
      <c r="U56" s="1698"/>
      <c r="V56" s="1698"/>
      <c r="W56" s="1552"/>
      <c r="X56" s="1552"/>
      <c r="Y56" s="1552"/>
      <c r="Z56" s="1552"/>
      <c r="AA56" s="1552"/>
      <c r="AB56" s="1552"/>
      <c r="AC56" s="1552"/>
      <c r="AD56" s="1698"/>
      <c r="AE56" s="1390"/>
      <c r="AF56" s="1390"/>
      <c r="AG56" s="1390"/>
      <c r="AH56" s="1390"/>
      <c r="AI56" s="1390"/>
      <c r="AJ56" s="1390"/>
      <c r="AK56" s="1390"/>
      <c r="AL56" s="1390"/>
      <c r="AM56" s="1390"/>
      <c r="AN56" s="1390"/>
    </row>
    <row r="57" s="1386" customFormat="1" ht="24" spans="1:40">
      <c r="A57" s="1354" t="s">
        <v>940</v>
      </c>
      <c r="B57" s="1570"/>
      <c r="C57" s="1571" t="s">
        <v>942</v>
      </c>
      <c r="D57" s="1572" t="s">
        <v>943</v>
      </c>
      <c r="E57" s="1573" t="s">
        <v>944</v>
      </c>
      <c r="F57" s="1574" t="s">
        <v>945</v>
      </c>
      <c r="G57" s="1572" t="s">
        <v>946</v>
      </c>
      <c r="H57" s="1575" t="s">
        <v>947</v>
      </c>
      <c r="I57" s="1572" t="s">
        <v>948</v>
      </c>
      <c r="J57" s="1681" t="s">
        <v>250</v>
      </c>
      <c r="K57" s="1681" t="s">
        <v>262</v>
      </c>
      <c r="L57" s="1681" t="s">
        <v>272</v>
      </c>
      <c r="M57" s="1681" t="s">
        <v>282</v>
      </c>
      <c r="N57" s="1681" t="s">
        <v>289</v>
      </c>
      <c r="P57" s="1552"/>
      <c r="Q57" s="1552"/>
      <c r="R57" s="1698"/>
      <c r="S57" s="1698"/>
      <c r="T57" s="1698"/>
      <c r="U57" s="1698"/>
      <c r="V57" s="1698"/>
      <c r="W57" s="1552"/>
      <c r="X57" s="1552"/>
      <c r="Y57" s="1552"/>
      <c r="Z57" s="1552"/>
      <c r="AA57" s="1552"/>
      <c r="AB57" s="1552"/>
      <c r="AC57" s="1552"/>
      <c r="AD57" s="1698"/>
      <c r="AE57" s="1390"/>
      <c r="AF57" s="1390"/>
      <c r="AG57" s="1390"/>
      <c r="AH57" s="1390"/>
      <c r="AI57" s="1390"/>
      <c r="AJ57" s="1390"/>
      <c r="AK57" s="1390"/>
      <c r="AL57" s="1390"/>
      <c r="AM57" s="1390"/>
      <c r="AN57" s="1390"/>
    </row>
    <row r="58" s="1386" customFormat="1" ht="36" spans="1:40">
      <c r="A58" s="1354" t="s">
        <v>687</v>
      </c>
      <c r="B58" s="1576" t="str">
        <f>估价对象房地状况!C17</f>
        <v>估价对象位于XX商圈，周边办公楼项目较多，入驻率高，办公集聚程度较好</v>
      </c>
      <c r="C58" s="1577" t="s">
        <v>958</v>
      </c>
      <c r="D58" s="1578">
        <f t="shared" ref="D58:D66" si="15">SUMIF($J$57:$N$57,C58,J58:N58)</f>
        <v>0.018</v>
      </c>
      <c r="E58" s="1579">
        <f>ROUND(SUM(D58:D66),4)</f>
        <v>0.0458</v>
      </c>
      <c r="F58" s="1580">
        <f>IF(E2="办公",SUMIF(L1:L12,G2,N1:N12),"——")</f>
        <v>0.15</v>
      </c>
      <c r="G58" s="1581">
        <v>0.018</v>
      </c>
      <c r="H58" s="1582">
        <f>IFERROR(ROUNDDOWN($F$58*I58/2,4),"——")</f>
        <v>0.018</v>
      </c>
      <c r="I58" s="1682">
        <v>0.24</v>
      </c>
      <c r="J58" s="1683">
        <f t="shared" ref="J58:J66" si="16">K58+$G58</f>
        <v>0.036</v>
      </c>
      <c r="K58" s="1683">
        <f t="shared" ref="K58:K66" si="17">$L58+$G58</f>
        <v>0.018</v>
      </c>
      <c r="L58" s="1683">
        <v>0</v>
      </c>
      <c r="M58" s="1683">
        <f t="shared" ref="M58:N66" si="18">L58-$G58</f>
        <v>-0.018</v>
      </c>
      <c r="N58" s="1683">
        <f t="shared" si="18"/>
        <v>-0.036</v>
      </c>
      <c r="P58" s="1552"/>
      <c r="Q58" s="1552"/>
      <c r="R58" s="1698"/>
      <c r="S58" s="1698"/>
      <c r="T58" s="1698"/>
      <c r="U58" s="1698"/>
      <c r="V58" s="1698"/>
      <c r="W58" s="1552"/>
      <c r="X58" s="1552"/>
      <c r="Y58" s="1552"/>
      <c r="Z58" s="1552"/>
      <c r="AA58" s="1552"/>
      <c r="AB58" s="1552"/>
      <c r="AC58" s="1552"/>
      <c r="AD58" s="1698"/>
      <c r="AE58" s="1390"/>
      <c r="AF58" s="1390"/>
      <c r="AG58" s="1390"/>
      <c r="AH58" s="1390"/>
      <c r="AI58" s="1390"/>
      <c r="AJ58" s="1390"/>
      <c r="AK58" s="1390"/>
      <c r="AL58" s="1390"/>
      <c r="AM58" s="1390"/>
      <c r="AN58" s="1390"/>
    </row>
    <row r="59" s="1386" customFormat="1" ht="48" spans="1:40">
      <c r="A59" s="1354" t="s">
        <v>685</v>
      </c>
      <c r="B59" s="1570" t="str">
        <f>估价对象房地状况!C18</f>
        <v>估价对象周边道路状况、公共交通通达情况、停车便捷程度，综合评价交通便捷度较好</v>
      </c>
      <c r="C59" s="1577" t="s">
        <v>958</v>
      </c>
      <c r="D59" s="1578">
        <f t="shared" si="15"/>
        <v>0.0225</v>
      </c>
      <c r="E59" s="1583"/>
      <c r="F59" s="1580"/>
      <c r="G59" s="1581">
        <v>0.0225</v>
      </c>
      <c r="H59" s="1592">
        <f t="shared" ref="H59:H66" si="19">IFERROR($F$58*I59/2,"——")</f>
        <v>0.0225</v>
      </c>
      <c r="I59" s="1682">
        <v>0.3</v>
      </c>
      <c r="J59" s="1683">
        <f t="shared" si="16"/>
        <v>0.045</v>
      </c>
      <c r="K59" s="1683">
        <f t="shared" si="17"/>
        <v>0.0225</v>
      </c>
      <c r="L59" s="1683">
        <v>0</v>
      </c>
      <c r="M59" s="1683">
        <f t="shared" si="18"/>
        <v>-0.0225</v>
      </c>
      <c r="N59" s="1683">
        <f t="shared" si="18"/>
        <v>-0.045</v>
      </c>
      <c r="P59" s="1552"/>
      <c r="Q59" s="1552"/>
      <c r="R59" s="1698"/>
      <c r="S59" s="1698"/>
      <c r="T59" s="1698"/>
      <c r="U59" s="1698"/>
      <c r="V59" s="1698"/>
      <c r="W59" s="1552"/>
      <c r="X59" s="1552"/>
      <c r="Y59" s="1552"/>
      <c r="Z59" s="1552"/>
      <c r="AA59" s="1552"/>
      <c r="AB59" s="1552"/>
      <c r="AC59" s="1552"/>
      <c r="AD59" s="1698"/>
      <c r="AE59" s="1390"/>
      <c r="AF59" s="1390"/>
      <c r="AG59" s="1390"/>
      <c r="AH59" s="1390"/>
      <c r="AI59" s="1390"/>
      <c r="AJ59" s="1390"/>
      <c r="AK59" s="1390"/>
      <c r="AL59" s="1390"/>
      <c r="AM59" s="1390"/>
      <c r="AN59" s="1390"/>
    </row>
    <row r="60" s="1386" customFormat="1" ht="24" spans="1:40">
      <c r="A60" s="1354" t="s">
        <v>697</v>
      </c>
      <c r="B60" s="1570">
        <f>估价对象房地状况!C19</f>
        <v>0</v>
      </c>
      <c r="C60" s="1577" t="s">
        <v>959</v>
      </c>
      <c r="D60" s="1578">
        <f t="shared" si="15"/>
        <v>0</v>
      </c>
      <c r="E60" s="1583"/>
      <c r="F60" s="1580"/>
      <c r="G60" s="1581">
        <v>0.006</v>
      </c>
      <c r="H60" s="1592">
        <f t="shared" si="19"/>
        <v>0.006</v>
      </c>
      <c r="I60" s="1682">
        <v>0.08</v>
      </c>
      <c r="J60" s="1683">
        <f t="shared" si="16"/>
        <v>0.012</v>
      </c>
      <c r="K60" s="1683">
        <f t="shared" si="17"/>
        <v>0.006</v>
      </c>
      <c r="L60" s="1683">
        <v>0</v>
      </c>
      <c r="M60" s="1683">
        <f t="shared" si="18"/>
        <v>-0.006</v>
      </c>
      <c r="N60" s="1683">
        <f t="shared" si="18"/>
        <v>-0.012</v>
      </c>
      <c r="P60" s="1552"/>
      <c r="Q60" s="1552"/>
      <c r="R60" s="1698"/>
      <c r="S60" s="1698"/>
      <c r="T60" s="1698"/>
      <c r="U60" s="1698"/>
      <c r="V60" s="1698"/>
      <c r="W60" s="1552"/>
      <c r="X60" s="1552"/>
      <c r="Y60" s="1552"/>
      <c r="Z60" s="1552"/>
      <c r="AA60" s="1552"/>
      <c r="AB60" s="1552"/>
      <c r="AC60" s="1552"/>
      <c r="AD60" s="1698"/>
      <c r="AE60" s="1390"/>
      <c r="AF60" s="1390"/>
      <c r="AG60" s="1390"/>
      <c r="AH60" s="1390"/>
      <c r="AI60" s="1390"/>
      <c r="AJ60" s="1390"/>
      <c r="AK60" s="1390"/>
      <c r="AL60" s="1390"/>
      <c r="AM60" s="1390"/>
      <c r="AN60" s="1390"/>
    </row>
    <row r="61" s="1386" customFormat="1" ht="36" spans="1:40">
      <c r="A61" s="1354" t="s">
        <v>950</v>
      </c>
      <c r="B61" s="1584" t="s">
        <v>951</v>
      </c>
      <c r="C61" s="1577" t="s">
        <v>959</v>
      </c>
      <c r="D61" s="1578">
        <f t="shared" si="15"/>
        <v>0</v>
      </c>
      <c r="E61" s="1583"/>
      <c r="F61" s="1580"/>
      <c r="G61" s="1581">
        <v>0.003</v>
      </c>
      <c r="H61" s="1592">
        <f t="shared" si="19"/>
        <v>0.003</v>
      </c>
      <c r="I61" s="1682">
        <v>0.04</v>
      </c>
      <c r="J61" s="1683">
        <f t="shared" si="16"/>
        <v>0.006</v>
      </c>
      <c r="K61" s="1683">
        <f t="shared" si="17"/>
        <v>0.003</v>
      </c>
      <c r="L61" s="1683">
        <v>0</v>
      </c>
      <c r="M61" s="1683">
        <f t="shared" si="18"/>
        <v>-0.003</v>
      </c>
      <c r="N61" s="1683">
        <f t="shared" si="18"/>
        <v>-0.006</v>
      </c>
      <c r="P61" s="1552"/>
      <c r="Q61" s="1552"/>
      <c r="R61" s="1698"/>
      <c r="S61" s="1698"/>
      <c r="T61" s="1698"/>
      <c r="U61" s="1698"/>
      <c r="V61" s="1698"/>
      <c r="W61" s="1552"/>
      <c r="X61" s="1552"/>
      <c r="Y61" s="1552"/>
      <c r="Z61" s="1552"/>
      <c r="AA61" s="1552"/>
      <c r="AB61" s="1552"/>
      <c r="AC61" s="1552"/>
      <c r="AD61" s="1698"/>
      <c r="AE61" s="1390"/>
      <c r="AF61" s="1390"/>
      <c r="AG61" s="1390"/>
      <c r="AH61" s="1390"/>
      <c r="AI61" s="1390"/>
      <c r="AJ61" s="1390"/>
      <c r="AK61" s="1390"/>
      <c r="AL61" s="1390"/>
      <c r="AM61" s="1390"/>
      <c r="AN61" s="1390"/>
    </row>
    <row r="62" s="1386" customFormat="1" ht="24" spans="1:40">
      <c r="A62" s="1354" t="s">
        <v>952</v>
      </c>
      <c r="B62" s="1570">
        <f>估价对象房地状况!C24</f>
        <v>0</v>
      </c>
      <c r="C62" s="1577" t="s">
        <v>1596</v>
      </c>
      <c r="D62" s="1578">
        <f t="shared" si="15"/>
        <v>-0.0075</v>
      </c>
      <c r="E62" s="1583"/>
      <c r="F62" s="1580"/>
      <c r="G62" s="1581">
        <v>0.00375</v>
      </c>
      <c r="H62" s="1592">
        <f t="shared" si="19"/>
        <v>0.00375</v>
      </c>
      <c r="I62" s="1682">
        <v>0.05</v>
      </c>
      <c r="J62" s="1683">
        <f t="shared" si="16"/>
        <v>0.0075</v>
      </c>
      <c r="K62" s="1683">
        <f t="shared" si="17"/>
        <v>0.00375</v>
      </c>
      <c r="L62" s="1683">
        <v>0</v>
      </c>
      <c r="M62" s="1683">
        <f t="shared" si="18"/>
        <v>-0.00375</v>
      </c>
      <c r="N62" s="1683">
        <f t="shared" si="18"/>
        <v>-0.0075</v>
      </c>
      <c r="P62" s="1552"/>
      <c r="Q62" s="1552"/>
      <c r="R62" s="1698"/>
      <c r="S62" s="1698"/>
      <c r="T62" s="1698"/>
      <c r="U62" s="1698"/>
      <c r="V62" s="1698"/>
      <c r="W62" s="1552"/>
      <c r="X62" s="1552"/>
      <c r="Y62" s="1552"/>
      <c r="Z62" s="1552"/>
      <c r="AA62" s="1552"/>
      <c r="AB62" s="1552"/>
      <c r="AC62" s="1552"/>
      <c r="AD62" s="1698"/>
      <c r="AE62" s="1390"/>
      <c r="AF62" s="1390"/>
      <c r="AG62" s="1390"/>
      <c r="AH62" s="1390"/>
      <c r="AI62" s="1390"/>
      <c r="AJ62" s="1390"/>
      <c r="AK62" s="1390"/>
      <c r="AL62" s="1390"/>
      <c r="AM62" s="1390"/>
      <c r="AN62" s="1390"/>
    </row>
    <row r="63" s="1386" customFormat="1" ht="24" spans="1:40">
      <c r="A63" s="1354" t="s">
        <v>953</v>
      </c>
      <c r="B63" s="1585" t="s">
        <v>954</v>
      </c>
      <c r="C63" s="1593" t="s">
        <v>958</v>
      </c>
      <c r="D63" s="1578">
        <f t="shared" si="15"/>
        <v>0.00375</v>
      </c>
      <c r="E63" s="1583"/>
      <c r="F63" s="1580"/>
      <c r="G63" s="1581">
        <v>0.00375</v>
      </c>
      <c r="H63" s="1592">
        <f t="shared" si="19"/>
        <v>0.00375</v>
      </c>
      <c r="I63" s="1682">
        <v>0.05</v>
      </c>
      <c r="J63" s="1683">
        <f t="shared" si="16"/>
        <v>0.0075</v>
      </c>
      <c r="K63" s="1683">
        <f t="shared" si="17"/>
        <v>0.00375</v>
      </c>
      <c r="L63" s="1683">
        <v>0</v>
      </c>
      <c r="M63" s="1683">
        <f t="shared" si="18"/>
        <v>-0.00375</v>
      </c>
      <c r="N63" s="1683">
        <f t="shared" si="18"/>
        <v>-0.0075</v>
      </c>
      <c r="P63" s="1552"/>
      <c r="Q63" s="1552"/>
      <c r="R63" s="1698"/>
      <c r="S63" s="1698"/>
      <c r="T63" s="1698"/>
      <c r="U63" s="1698"/>
      <c r="V63" s="1698"/>
      <c r="W63" s="1552"/>
      <c r="X63" s="1552"/>
      <c r="Y63" s="1552"/>
      <c r="Z63" s="1552"/>
      <c r="AA63" s="1552"/>
      <c r="AB63" s="1552"/>
      <c r="AC63" s="1552"/>
      <c r="AD63" s="1698"/>
      <c r="AE63" s="1390"/>
      <c r="AF63" s="1390"/>
      <c r="AG63" s="1390"/>
      <c r="AH63" s="1390"/>
      <c r="AI63" s="1390"/>
      <c r="AJ63" s="1390"/>
      <c r="AK63" s="1390"/>
      <c r="AL63" s="1390"/>
      <c r="AM63" s="1390"/>
      <c r="AN63" s="1390"/>
    </row>
    <row r="64" s="1386" customFormat="1" ht="24" spans="1:40">
      <c r="A64" s="1354" t="s">
        <v>955</v>
      </c>
      <c r="B64" s="1587" t="str">
        <f>估价对象房地状况!C21</f>
        <v>估价对象所在区域公共配套设施齐备情况</v>
      </c>
      <c r="C64" s="1577" t="s">
        <v>959</v>
      </c>
      <c r="D64" s="1578">
        <f t="shared" si="15"/>
        <v>0</v>
      </c>
      <c r="E64" s="1583"/>
      <c r="F64" s="1580"/>
      <c r="G64" s="1581">
        <v>0.0045</v>
      </c>
      <c r="H64" s="1592">
        <f t="shared" si="19"/>
        <v>0.0045</v>
      </c>
      <c r="I64" s="1682">
        <v>0.06</v>
      </c>
      <c r="J64" s="1683">
        <f t="shared" si="16"/>
        <v>0.009</v>
      </c>
      <c r="K64" s="1683">
        <f t="shared" si="17"/>
        <v>0.0045</v>
      </c>
      <c r="L64" s="1683">
        <v>0</v>
      </c>
      <c r="M64" s="1683">
        <f t="shared" si="18"/>
        <v>-0.0045</v>
      </c>
      <c r="N64" s="1683">
        <f t="shared" si="18"/>
        <v>-0.009</v>
      </c>
      <c r="P64" s="1552"/>
      <c r="Q64" s="1552"/>
      <c r="R64" s="1698"/>
      <c r="S64" s="1698"/>
      <c r="T64" s="1698"/>
      <c r="U64" s="1698"/>
      <c r="V64" s="1698"/>
      <c r="W64" s="1552"/>
      <c r="X64" s="1552"/>
      <c r="Y64" s="1552"/>
      <c r="Z64" s="1552"/>
      <c r="AA64" s="1552"/>
      <c r="AB64" s="1552"/>
      <c r="AC64" s="1552"/>
      <c r="AD64" s="1698"/>
      <c r="AE64" s="1390"/>
      <c r="AF64" s="1390"/>
      <c r="AG64" s="1390"/>
      <c r="AH64" s="1390"/>
      <c r="AI64" s="1390"/>
      <c r="AJ64" s="1390"/>
      <c r="AK64" s="1390"/>
      <c r="AL64" s="1390"/>
      <c r="AM64" s="1390"/>
      <c r="AN64" s="1390"/>
    </row>
    <row r="65" s="1386" customFormat="1" ht="24" spans="1:40">
      <c r="A65" s="1354" t="s">
        <v>956</v>
      </c>
      <c r="B65" s="1587" t="str">
        <f>估价对象房地状况!C22</f>
        <v>估价对象所在区域基础设施水平</v>
      </c>
      <c r="C65" s="1593" t="s">
        <v>958</v>
      </c>
      <c r="D65" s="1578">
        <f t="shared" si="15"/>
        <v>0.009</v>
      </c>
      <c r="E65" s="1583"/>
      <c r="F65" s="1580"/>
      <c r="G65" s="1581">
        <v>0.009</v>
      </c>
      <c r="H65" s="1592">
        <f t="shared" si="19"/>
        <v>0.009</v>
      </c>
      <c r="I65" s="1682">
        <v>0.12</v>
      </c>
      <c r="J65" s="1683">
        <f t="shared" si="16"/>
        <v>0.018</v>
      </c>
      <c r="K65" s="1683">
        <f t="shared" si="17"/>
        <v>0.009</v>
      </c>
      <c r="L65" s="1683">
        <v>0</v>
      </c>
      <c r="M65" s="1683">
        <f t="shared" si="18"/>
        <v>-0.009</v>
      </c>
      <c r="N65" s="1683">
        <f t="shared" si="18"/>
        <v>-0.018</v>
      </c>
      <c r="P65" s="1552"/>
      <c r="Q65" s="1552"/>
      <c r="R65" s="1698"/>
      <c r="S65" s="1698"/>
      <c r="T65" s="1698"/>
      <c r="U65" s="1698"/>
      <c r="V65" s="1698"/>
      <c r="W65" s="1552"/>
      <c r="X65" s="1552"/>
      <c r="Y65" s="1552"/>
      <c r="Z65" s="1552"/>
      <c r="AA65" s="1552"/>
      <c r="AB65" s="1552"/>
      <c r="AC65" s="1552"/>
      <c r="AD65" s="1698"/>
      <c r="AE65" s="1390"/>
      <c r="AF65" s="1390"/>
      <c r="AG65" s="1390"/>
      <c r="AH65" s="1390"/>
      <c r="AI65" s="1390"/>
      <c r="AJ65" s="1390"/>
      <c r="AK65" s="1390"/>
      <c r="AL65" s="1390"/>
      <c r="AM65" s="1390"/>
      <c r="AN65" s="1390"/>
    </row>
    <row r="66" s="1386" customFormat="1" ht="24.75" spans="1:40">
      <c r="A66" s="1588" t="s">
        <v>957</v>
      </c>
      <c r="B66" s="1711" t="str">
        <f>估价对象房地状况!C20</f>
        <v>区域自然环境：；人文环境；综合评价环境状况一般</v>
      </c>
      <c r="C66" s="1577" t="s">
        <v>959</v>
      </c>
      <c r="D66" s="1578">
        <f t="shared" si="15"/>
        <v>0</v>
      </c>
      <c r="E66" s="1590"/>
      <c r="F66" s="1580"/>
      <c r="G66" s="1581">
        <v>0.0045</v>
      </c>
      <c r="H66" s="1592">
        <f t="shared" si="19"/>
        <v>0.0045</v>
      </c>
      <c r="I66" s="1684">
        <v>0.06</v>
      </c>
      <c r="J66" s="1683">
        <f t="shared" si="16"/>
        <v>0.009</v>
      </c>
      <c r="K66" s="1683">
        <f t="shared" si="17"/>
        <v>0.0045</v>
      </c>
      <c r="L66" s="1683">
        <v>0</v>
      </c>
      <c r="M66" s="1683">
        <f t="shared" si="18"/>
        <v>-0.0045</v>
      </c>
      <c r="N66" s="1683">
        <f t="shared" si="18"/>
        <v>-0.009</v>
      </c>
      <c r="P66" s="1552"/>
      <c r="Q66" s="1552"/>
      <c r="R66" s="1698"/>
      <c r="S66" s="1698"/>
      <c r="T66" s="1698"/>
      <c r="U66" s="1698"/>
      <c r="V66" s="1698"/>
      <c r="W66" s="1552"/>
      <c r="X66" s="1552"/>
      <c r="Y66" s="1552"/>
      <c r="Z66" s="1552"/>
      <c r="AA66" s="1552"/>
      <c r="AB66" s="1552"/>
      <c r="AC66" s="1552"/>
      <c r="AD66" s="1698"/>
      <c r="AE66" s="1390"/>
      <c r="AF66" s="1390"/>
      <c r="AG66" s="1390"/>
      <c r="AH66" s="1390"/>
      <c r="AI66" s="1390"/>
      <c r="AJ66" s="1390"/>
      <c r="AK66" s="1390"/>
      <c r="AL66" s="1390"/>
      <c r="AM66" s="1390"/>
      <c r="AN66" s="1390"/>
    </row>
    <row r="67" s="1386" customFormat="1" ht="15" spans="1:40">
      <c r="A67" s="1564" t="s">
        <v>375</v>
      </c>
      <c r="B67" s="1565">
        <f>1+E69</f>
        <v>1</v>
      </c>
      <c r="C67" s="1591"/>
      <c r="D67" s="1567"/>
      <c r="E67" s="1568"/>
      <c r="F67" s="1569"/>
      <c r="G67" s="1563"/>
      <c r="H67" s="1563"/>
      <c r="I67" s="1563"/>
      <c r="J67" s="1302"/>
      <c r="K67" s="1302"/>
      <c r="L67" s="1302"/>
      <c r="M67" s="1302"/>
      <c r="N67" s="1302"/>
      <c r="P67" s="1552"/>
      <c r="Q67" s="1552"/>
      <c r="R67" s="1698"/>
      <c r="S67" s="1698"/>
      <c r="T67" s="1698"/>
      <c r="U67" s="1698"/>
      <c r="V67" s="1698"/>
      <c r="W67" s="1552"/>
      <c r="X67" s="1552"/>
      <c r="Y67" s="1552"/>
      <c r="Z67" s="1552"/>
      <c r="AA67" s="1552"/>
      <c r="AB67" s="1552"/>
      <c r="AC67" s="1552"/>
      <c r="AD67" s="1698"/>
      <c r="AE67" s="1390"/>
      <c r="AF67" s="1390"/>
      <c r="AG67" s="1390"/>
      <c r="AH67" s="1390"/>
      <c r="AI67" s="1390"/>
      <c r="AJ67" s="1390"/>
      <c r="AK67" s="1390"/>
      <c r="AL67" s="1390"/>
      <c r="AM67" s="1390"/>
      <c r="AN67" s="1390"/>
    </row>
    <row r="68" s="1386" customFormat="1" ht="24" spans="1:40">
      <c r="A68" s="1354" t="s">
        <v>940</v>
      </c>
      <c r="B68" s="1570"/>
      <c r="C68" s="1571" t="s">
        <v>942</v>
      </c>
      <c r="D68" s="1572" t="s">
        <v>943</v>
      </c>
      <c r="E68" s="1573" t="s">
        <v>944</v>
      </c>
      <c r="F68" s="1574" t="s">
        <v>945</v>
      </c>
      <c r="G68" s="1572" t="s">
        <v>946</v>
      </c>
      <c r="H68" s="1575" t="s">
        <v>947</v>
      </c>
      <c r="I68" s="1572" t="s">
        <v>948</v>
      </c>
      <c r="J68" s="1681" t="s">
        <v>250</v>
      </c>
      <c r="K68" s="1681" t="s">
        <v>262</v>
      </c>
      <c r="L68" s="1681" t="s">
        <v>272</v>
      </c>
      <c r="M68" s="1681" t="s">
        <v>282</v>
      </c>
      <c r="N68" s="1681" t="s">
        <v>289</v>
      </c>
      <c r="P68" s="1552"/>
      <c r="Q68" s="1552"/>
      <c r="R68" s="1698"/>
      <c r="S68" s="1698"/>
      <c r="T68" s="1698"/>
      <c r="U68" s="1698"/>
      <c r="V68" s="1698"/>
      <c r="W68" s="1552"/>
      <c r="X68" s="1552"/>
      <c r="Y68" s="1552"/>
      <c r="Z68" s="1552"/>
      <c r="AA68" s="1552"/>
      <c r="AB68" s="1552"/>
      <c r="AC68" s="1552"/>
      <c r="AD68" s="1698"/>
      <c r="AE68" s="1390"/>
      <c r="AF68" s="1390"/>
      <c r="AG68" s="1390"/>
      <c r="AH68" s="1390"/>
      <c r="AI68" s="1390"/>
      <c r="AJ68" s="1390"/>
      <c r="AK68" s="1390"/>
      <c r="AL68" s="1390"/>
      <c r="AM68" s="1390"/>
      <c r="AN68" s="1390"/>
    </row>
    <row r="69" s="1386" customFormat="1" ht="48" spans="1:40">
      <c r="A69" s="1354" t="s">
        <v>679</v>
      </c>
      <c r="B69" s="1576" t="str">
        <f>估价对象房地状况!C15</f>
        <v>估价对象周边居住用地比例、居住小区规模和社区发展完善程度，综合评价居住社区成熟度一般</v>
      </c>
      <c r="C69" s="1712"/>
      <c r="D69" s="1578">
        <f t="shared" ref="D69:D77" si="20">SUMIF($J$68:$N$68,C69,J69:N69)</f>
        <v>0</v>
      </c>
      <c r="E69" s="1579">
        <f>ROUND(SUM(D69:D77),4)</f>
        <v>0</v>
      </c>
      <c r="F69" s="1580" t="str">
        <f>IF(E2="住宅",SUMIF(L1:L12,G2,N1:N12),"——")</f>
        <v>——</v>
      </c>
      <c r="G69" s="1713"/>
      <c r="H69" s="1714" t="str">
        <f t="shared" ref="H69:H77" si="21">IFERROR(ROUNDDOWN($F$69*I69/2,4),"——")</f>
        <v>——</v>
      </c>
      <c r="I69" s="1682">
        <v>0.14</v>
      </c>
      <c r="J69" s="1683">
        <f t="shared" ref="J69:J77" si="22">K69+$G69</f>
        <v>0</v>
      </c>
      <c r="K69" s="1683">
        <f t="shared" ref="K69:K77" si="23">$L69+$G69</f>
        <v>0</v>
      </c>
      <c r="L69" s="1683">
        <v>0</v>
      </c>
      <c r="M69" s="1683">
        <f t="shared" ref="M69:N77" si="24">L69-$G69</f>
        <v>0</v>
      </c>
      <c r="N69" s="1683">
        <f t="shared" si="24"/>
        <v>0</v>
      </c>
      <c r="P69" s="1552"/>
      <c r="Q69" s="1552"/>
      <c r="R69" s="1698"/>
      <c r="S69" s="1698"/>
      <c r="T69" s="1698"/>
      <c r="U69" s="1698"/>
      <c r="V69" s="1698"/>
      <c r="W69" s="1552"/>
      <c r="X69" s="1552"/>
      <c r="Y69" s="1552"/>
      <c r="Z69" s="1552"/>
      <c r="AA69" s="1552"/>
      <c r="AB69" s="1552"/>
      <c r="AC69" s="1552"/>
      <c r="AD69" s="1698"/>
      <c r="AE69" s="1390"/>
      <c r="AF69" s="1390"/>
      <c r="AG69" s="1390"/>
      <c r="AH69" s="1390"/>
      <c r="AI69" s="1390"/>
      <c r="AJ69" s="1390"/>
      <c r="AK69" s="1390"/>
      <c r="AL69" s="1390"/>
      <c r="AM69" s="1390"/>
      <c r="AN69" s="1390"/>
    </row>
    <row r="70" s="1386" customFormat="1" ht="48" spans="1:40">
      <c r="A70" s="1354" t="s">
        <v>685</v>
      </c>
      <c r="B70" s="1570" t="str">
        <f>估价对象房地状况!C18</f>
        <v>估价对象周边道路状况、公共交通通达情况、停车便捷程度，综合评价交通便捷度较好</v>
      </c>
      <c r="C70" s="1712"/>
      <c r="D70" s="1578">
        <f t="shared" si="20"/>
        <v>0</v>
      </c>
      <c r="E70" s="1715"/>
      <c r="F70" s="1716"/>
      <c r="G70" s="1713"/>
      <c r="H70" s="1714" t="str">
        <f t="shared" si="21"/>
        <v>——</v>
      </c>
      <c r="I70" s="1682">
        <v>0.3</v>
      </c>
      <c r="J70" s="1683">
        <f t="shared" si="22"/>
        <v>0</v>
      </c>
      <c r="K70" s="1683">
        <f t="shared" si="23"/>
        <v>0</v>
      </c>
      <c r="L70" s="1683">
        <v>0</v>
      </c>
      <c r="M70" s="1683">
        <f t="shared" si="24"/>
        <v>0</v>
      </c>
      <c r="N70" s="1683">
        <f t="shared" si="24"/>
        <v>0</v>
      </c>
      <c r="P70" s="1552"/>
      <c r="Q70" s="1552"/>
      <c r="R70" s="1698"/>
      <c r="S70" s="1698"/>
      <c r="T70" s="1698"/>
      <c r="U70" s="1698"/>
      <c r="V70" s="1698"/>
      <c r="W70" s="1552"/>
      <c r="X70" s="1552"/>
      <c r="Y70" s="1552"/>
      <c r="Z70" s="1552"/>
      <c r="AA70" s="1552"/>
      <c r="AB70" s="1552"/>
      <c r="AC70" s="1552"/>
      <c r="AD70" s="1698"/>
      <c r="AE70" s="1390"/>
      <c r="AF70" s="1390"/>
      <c r="AG70" s="1390"/>
      <c r="AH70" s="1390"/>
      <c r="AI70" s="1390"/>
      <c r="AJ70" s="1390"/>
      <c r="AK70" s="1390"/>
      <c r="AL70" s="1390"/>
      <c r="AM70" s="1390"/>
      <c r="AN70" s="1390"/>
    </row>
    <row r="71" s="1386" customFormat="1" ht="24" spans="1:40">
      <c r="A71" s="1354" t="s">
        <v>697</v>
      </c>
      <c r="B71" s="1570">
        <f>估价对象房地状况!C19</f>
        <v>0</v>
      </c>
      <c r="C71" s="1712"/>
      <c r="D71" s="1578">
        <f t="shared" si="20"/>
        <v>0</v>
      </c>
      <c r="E71" s="1715"/>
      <c r="F71" s="1716"/>
      <c r="G71" s="1713"/>
      <c r="H71" s="1714" t="str">
        <f t="shared" si="21"/>
        <v>——</v>
      </c>
      <c r="I71" s="1682">
        <v>0.08</v>
      </c>
      <c r="J71" s="1683">
        <f t="shared" si="22"/>
        <v>0</v>
      </c>
      <c r="K71" s="1683">
        <f t="shared" si="23"/>
        <v>0</v>
      </c>
      <c r="L71" s="1683">
        <v>0</v>
      </c>
      <c r="M71" s="1683">
        <f t="shared" si="24"/>
        <v>0</v>
      </c>
      <c r="N71" s="1683">
        <f t="shared" si="24"/>
        <v>0</v>
      </c>
      <c r="P71" s="1552"/>
      <c r="Q71" s="1552"/>
      <c r="R71" s="1698"/>
      <c r="S71" s="1698"/>
      <c r="T71" s="1698"/>
      <c r="U71" s="1698"/>
      <c r="V71" s="1698"/>
      <c r="W71" s="1552"/>
      <c r="X71" s="1552"/>
      <c r="Y71" s="1552"/>
      <c r="Z71" s="1552"/>
      <c r="AA71" s="1552"/>
      <c r="AB71" s="1552"/>
      <c r="AC71" s="1552"/>
      <c r="AD71" s="1698"/>
      <c r="AE71" s="1390"/>
      <c r="AF71" s="1390"/>
      <c r="AG71" s="1390"/>
      <c r="AH71" s="1390"/>
      <c r="AI71" s="1390"/>
      <c r="AJ71" s="1390"/>
      <c r="AK71" s="1390"/>
      <c r="AL71" s="1390"/>
      <c r="AM71" s="1390"/>
      <c r="AN71" s="1390"/>
    </row>
    <row r="72" s="1386" customFormat="1" ht="14.25" spans="1:40">
      <c r="A72" s="1354" t="s">
        <v>961</v>
      </c>
      <c r="B72" s="1570">
        <f>估价对象房地状况!C24</f>
        <v>0</v>
      </c>
      <c r="C72" s="1712"/>
      <c r="D72" s="1578">
        <f t="shared" si="20"/>
        <v>0</v>
      </c>
      <c r="E72" s="1715"/>
      <c r="F72" s="1716"/>
      <c r="G72" s="1713"/>
      <c r="H72" s="1714" t="str">
        <f t="shared" si="21"/>
        <v>——</v>
      </c>
      <c r="I72" s="1682">
        <v>0.04</v>
      </c>
      <c r="J72" s="1683">
        <f t="shared" si="22"/>
        <v>0</v>
      </c>
      <c r="K72" s="1683">
        <f t="shared" si="23"/>
        <v>0</v>
      </c>
      <c r="L72" s="1683">
        <v>0</v>
      </c>
      <c r="M72" s="1683">
        <f t="shared" si="24"/>
        <v>0</v>
      </c>
      <c r="N72" s="1683">
        <f t="shared" si="24"/>
        <v>0</v>
      </c>
      <c r="P72" s="1552"/>
      <c r="Q72" s="1552"/>
      <c r="R72" s="1698"/>
      <c r="S72" s="1698"/>
      <c r="T72" s="1698"/>
      <c r="U72" s="1698"/>
      <c r="V72" s="1698"/>
      <c r="W72" s="1552"/>
      <c r="X72" s="1552"/>
      <c r="Y72" s="1552"/>
      <c r="Z72" s="1552"/>
      <c r="AA72" s="1552"/>
      <c r="AB72" s="1552"/>
      <c r="AC72" s="1552"/>
      <c r="AD72" s="1698"/>
      <c r="AE72" s="1390"/>
      <c r="AF72" s="1390"/>
      <c r="AG72" s="1390"/>
      <c r="AH72" s="1390"/>
      <c r="AI72" s="1390"/>
      <c r="AJ72" s="1390"/>
      <c r="AK72" s="1390"/>
      <c r="AL72" s="1390"/>
      <c r="AM72" s="1390"/>
      <c r="AN72" s="1390"/>
    </row>
    <row r="73" s="1386" customFormat="1" ht="24" spans="1:40">
      <c r="A73" s="1354" t="s">
        <v>955</v>
      </c>
      <c r="B73" s="1587" t="str">
        <f>估价对象房地状况!C21</f>
        <v>估价对象所在区域公共配套设施齐备情况</v>
      </c>
      <c r="C73" s="1712"/>
      <c r="D73" s="1578">
        <f t="shared" si="20"/>
        <v>0</v>
      </c>
      <c r="E73" s="1715"/>
      <c r="F73" s="1716"/>
      <c r="G73" s="1713"/>
      <c r="H73" s="1714" t="str">
        <f t="shared" si="21"/>
        <v>——</v>
      </c>
      <c r="I73" s="1682">
        <v>0.08</v>
      </c>
      <c r="J73" s="1683">
        <f t="shared" si="22"/>
        <v>0</v>
      </c>
      <c r="K73" s="1683">
        <f t="shared" si="23"/>
        <v>0</v>
      </c>
      <c r="L73" s="1683">
        <v>0</v>
      </c>
      <c r="M73" s="1683">
        <f t="shared" si="24"/>
        <v>0</v>
      </c>
      <c r="N73" s="1683">
        <f t="shared" si="24"/>
        <v>0</v>
      </c>
      <c r="P73" s="1552"/>
      <c r="Q73" s="1552"/>
      <c r="R73" s="1698"/>
      <c r="S73" s="1698"/>
      <c r="T73" s="1698"/>
      <c r="U73" s="1698"/>
      <c r="V73" s="1698"/>
      <c r="W73" s="1552"/>
      <c r="X73" s="1552"/>
      <c r="Y73" s="1552"/>
      <c r="Z73" s="1552"/>
      <c r="AA73" s="1552"/>
      <c r="AB73" s="1552"/>
      <c r="AC73" s="1552"/>
      <c r="AD73" s="1698"/>
      <c r="AE73" s="1390"/>
      <c r="AF73" s="1390"/>
      <c r="AG73" s="1390"/>
      <c r="AH73" s="1390"/>
      <c r="AI73" s="1390"/>
      <c r="AJ73" s="1390"/>
      <c r="AK73" s="1390"/>
      <c r="AL73" s="1390"/>
      <c r="AM73" s="1390"/>
      <c r="AN73" s="1390"/>
    </row>
    <row r="74" s="1386" customFormat="1" ht="24" spans="1:40">
      <c r="A74" s="1354" t="s">
        <v>956</v>
      </c>
      <c r="B74" s="1587" t="str">
        <f>估价对象房地状况!C22</f>
        <v>估价对象所在区域基础设施水平</v>
      </c>
      <c r="C74" s="1712"/>
      <c r="D74" s="1578">
        <f t="shared" si="20"/>
        <v>0</v>
      </c>
      <c r="E74" s="1715"/>
      <c r="F74" s="1716"/>
      <c r="G74" s="1713"/>
      <c r="H74" s="1714" t="str">
        <f t="shared" si="21"/>
        <v>——</v>
      </c>
      <c r="I74" s="1682">
        <v>0.12</v>
      </c>
      <c r="J74" s="1683">
        <f t="shared" si="22"/>
        <v>0</v>
      </c>
      <c r="K74" s="1683">
        <f t="shared" si="23"/>
        <v>0</v>
      </c>
      <c r="L74" s="1683">
        <v>0</v>
      </c>
      <c r="M74" s="1683">
        <f t="shared" si="24"/>
        <v>0</v>
      </c>
      <c r="N74" s="1683">
        <f t="shared" si="24"/>
        <v>0</v>
      </c>
      <c r="P74" s="1552"/>
      <c r="Q74" s="1552"/>
      <c r="R74" s="1698"/>
      <c r="S74" s="1698"/>
      <c r="T74" s="1698"/>
      <c r="U74" s="1698"/>
      <c r="V74" s="1698"/>
      <c r="W74" s="1552"/>
      <c r="X74" s="1552"/>
      <c r="Y74" s="1552"/>
      <c r="Z74" s="1552"/>
      <c r="AA74" s="1552"/>
      <c r="AB74" s="1552"/>
      <c r="AC74" s="1552"/>
      <c r="AD74" s="1698"/>
      <c r="AE74" s="1390"/>
      <c r="AF74" s="1390"/>
      <c r="AG74" s="1390"/>
      <c r="AH74" s="1390"/>
      <c r="AI74" s="1390"/>
      <c r="AJ74" s="1390"/>
      <c r="AK74" s="1390"/>
      <c r="AL74" s="1390"/>
      <c r="AM74" s="1390"/>
      <c r="AN74" s="1390"/>
    </row>
    <row r="75" s="1386" customFormat="1" ht="24" spans="1:40">
      <c r="A75" s="1354" t="s">
        <v>953</v>
      </c>
      <c r="B75" s="1585" t="s">
        <v>954</v>
      </c>
      <c r="C75" s="1712"/>
      <c r="D75" s="1578">
        <f t="shared" si="20"/>
        <v>0</v>
      </c>
      <c r="E75" s="1715"/>
      <c r="F75" s="1716"/>
      <c r="G75" s="1713"/>
      <c r="H75" s="1714" t="str">
        <f t="shared" si="21"/>
        <v>——</v>
      </c>
      <c r="I75" s="1682">
        <v>0.05</v>
      </c>
      <c r="J75" s="1683">
        <f t="shared" si="22"/>
        <v>0</v>
      </c>
      <c r="K75" s="1683">
        <f t="shared" si="23"/>
        <v>0</v>
      </c>
      <c r="L75" s="1683">
        <v>0</v>
      </c>
      <c r="M75" s="1683">
        <f t="shared" si="24"/>
        <v>0</v>
      </c>
      <c r="N75" s="1683">
        <f t="shared" si="24"/>
        <v>0</v>
      </c>
      <c r="P75" s="1552"/>
      <c r="Q75" s="1552"/>
      <c r="R75" s="1698"/>
      <c r="S75" s="1698"/>
      <c r="T75" s="1698"/>
      <c r="U75" s="1698"/>
      <c r="V75" s="1698"/>
      <c r="W75" s="1552"/>
      <c r="X75" s="1552"/>
      <c r="Y75" s="1552"/>
      <c r="Z75" s="1552"/>
      <c r="AA75" s="1552"/>
      <c r="AB75" s="1552"/>
      <c r="AC75" s="1552"/>
      <c r="AD75" s="1698"/>
      <c r="AE75" s="1390"/>
      <c r="AF75" s="1390"/>
      <c r="AG75" s="1390"/>
      <c r="AH75" s="1390"/>
      <c r="AI75" s="1390"/>
      <c r="AJ75" s="1390"/>
      <c r="AK75" s="1390"/>
      <c r="AL75" s="1390"/>
      <c r="AM75" s="1390"/>
      <c r="AN75" s="1390"/>
    </row>
    <row r="76" ht="24" spans="1:40">
      <c r="A76" s="1354" t="s">
        <v>957</v>
      </c>
      <c r="B76" s="1576" t="str">
        <f>估价对象房地状况!C20</f>
        <v>区域自然环境：；人文环境；综合评价环境状况一般</v>
      </c>
      <c r="C76" s="1712"/>
      <c r="D76" s="1578">
        <f t="shared" si="20"/>
        <v>0</v>
      </c>
      <c r="E76" s="1715"/>
      <c r="F76" s="1716"/>
      <c r="G76" s="1713"/>
      <c r="H76" s="1714" t="str">
        <f t="shared" si="21"/>
        <v>——</v>
      </c>
      <c r="I76" s="1682">
        <v>0.15</v>
      </c>
      <c r="J76" s="1683">
        <f t="shared" si="22"/>
        <v>0</v>
      </c>
      <c r="K76" s="1683">
        <f t="shared" si="23"/>
        <v>0</v>
      </c>
      <c r="L76" s="1683">
        <v>0</v>
      </c>
      <c r="M76" s="1683">
        <f t="shared" si="24"/>
        <v>0</v>
      </c>
      <c r="N76" s="1683">
        <f t="shared" si="24"/>
        <v>0</v>
      </c>
      <c r="P76" s="1746"/>
      <c r="Q76" s="1746"/>
      <c r="R76" s="1752"/>
      <c r="S76" s="1752"/>
      <c r="T76" s="1752"/>
      <c r="U76" s="1752"/>
      <c r="V76" s="1752"/>
      <c r="W76" s="1746"/>
      <c r="X76" s="1746"/>
      <c r="Y76" s="1746"/>
      <c r="Z76" s="1746"/>
      <c r="AA76" s="1746"/>
      <c r="AB76" s="1746"/>
      <c r="AC76" s="1746"/>
      <c r="AD76" s="1752"/>
      <c r="AJ76" s="1390"/>
      <c r="AN76" s="1387"/>
    </row>
    <row r="77" ht="24.75" spans="1:40">
      <c r="A77" s="1588" t="s">
        <v>962</v>
      </c>
      <c r="B77" s="1717"/>
      <c r="C77" s="1712"/>
      <c r="D77" s="1578">
        <f t="shared" si="20"/>
        <v>0</v>
      </c>
      <c r="E77" s="1657"/>
      <c r="F77" s="1716"/>
      <c r="G77" s="1713"/>
      <c r="H77" s="1714" t="str">
        <f t="shared" si="21"/>
        <v>——</v>
      </c>
      <c r="I77" s="1684">
        <v>0.04</v>
      </c>
      <c r="J77" s="1683">
        <f t="shared" si="22"/>
        <v>0</v>
      </c>
      <c r="K77" s="1683">
        <f t="shared" si="23"/>
        <v>0</v>
      </c>
      <c r="L77" s="1683">
        <v>0</v>
      </c>
      <c r="M77" s="1683">
        <f t="shared" si="24"/>
        <v>0</v>
      </c>
      <c r="N77" s="1683">
        <f t="shared" si="24"/>
        <v>0</v>
      </c>
      <c r="AC77" s="1389"/>
      <c r="AD77" s="1387"/>
      <c r="AJ77" s="1390"/>
      <c r="AN77" s="1387"/>
    </row>
    <row r="78" ht="15" spans="1:40">
      <c r="A78" s="1564" t="s">
        <v>164</v>
      </c>
      <c r="B78" s="1565">
        <f>1+E80</f>
        <v>1</v>
      </c>
      <c r="C78" s="1591"/>
      <c r="D78" s="1567"/>
      <c r="E78" s="1568"/>
      <c r="F78" s="1569"/>
      <c r="G78" s="1563"/>
      <c r="H78" s="1563"/>
      <c r="I78" s="1563"/>
      <c r="J78" s="1302"/>
      <c r="K78" s="1302"/>
      <c r="L78" s="1302"/>
      <c r="M78" s="1302"/>
      <c r="N78" s="1302"/>
      <c r="AC78" s="1389"/>
      <c r="AD78" s="1387"/>
      <c r="AJ78" s="1390"/>
      <c r="AN78" s="1387"/>
    </row>
    <row r="79" ht="24" spans="1:40">
      <c r="A79" s="1354" t="s">
        <v>940</v>
      </c>
      <c r="B79" s="1570"/>
      <c r="C79" s="1571" t="s">
        <v>942</v>
      </c>
      <c r="D79" s="1572" t="s">
        <v>943</v>
      </c>
      <c r="E79" s="1573" t="s">
        <v>944</v>
      </c>
      <c r="F79" s="1574" t="s">
        <v>945</v>
      </c>
      <c r="G79" s="1572" t="s">
        <v>946</v>
      </c>
      <c r="H79" s="1575" t="s">
        <v>947</v>
      </c>
      <c r="I79" s="1572" t="s">
        <v>948</v>
      </c>
      <c r="J79" s="1681" t="s">
        <v>250</v>
      </c>
      <c r="K79" s="1681" t="s">
        <v>262</v>
      </c>
      <c r="L79" s="1681" t="s">
        <v>272</v>
      </c>
      <c r="M79" s="1681" t="s">
        <v>282</v>
      </c>
      <c r="N79" s="1681" t="s">
        <v>289</v>
      </c>
      <c r="AC79" s="1389"/>
      <c r="AD79" s="1387"/>
      <c r="AJ79" s="1390"/>
      <c r="AN79" s="1387"/>
    </row>
    <row r="80" ht="36" spans="1:40">
      <c r="A80" s="1354" t="s">
        <v>681</v>
      </c>
      <c r="B80" s="1570" t="str">
        <f>估价对象房地状况!G15</f>
        <v>估价对象位于XX开发区，园区建设成熟度XX，产业集聚程度XX</v>
      </c>
      <c r="C80" s="1577"/>
      <c r="D80" s="1578">
        <f t="shared" ref="D80:D87" si="25">SUMIF($J$79:$N$79,C80,J80:N80)</f>
        <v>0</v>
      </c>
      <c r="E80" s="1579">
        <f>ROUND(SUM(D80:D87),4)</f>
        <v>0</v>
      </c>
      <c r="F80" s="1580" t="str">
        <f>IF(E2="工业",SUMIF(L1:L12,G2,N1:N12),"——")</f>
        <v>——</v>
      </c>
      <c r="G80" s="1581"/>
      <c r="H80" s="1582" t="str">
        <f t="shared" ref="H80:H87" si="26">IFERROR(ROUNDDOWN($F$80*I80/2,4),"——")</f>
        <v>——</v>
      </c>
      <c r="I80" s="1682">
        <v>0.26</v>
      </c>
      <c r="J80" s="1683">
        <f t="shared" ref="J80:J87" si="27">K80+$G80</f>
        <v>0</v>
      </c>
      <c r="K80" s="1683">
        <f t="shared" ref="K80:K87" si="28">$L80+$G80</f>
        <v>0</v>
      </c>
      <c r="L80" s="1683">
        <v>0</v>
      </c>
      <c r="M80" s="1683">
        <f t="shared" ref="M80:N87" si="29">L80-$G80</f>
        <v>0</v>
      </c>
      <c r="N80" s="1683">
        <f t="shared" si="29"/>
        <v>0</v>
      </c>
      <c r="AC80" s="1389"/>
      <c r="AD80" s="1387"/>
      <c r="AJ80" s="1390"/>
      <c r="AN80" s="1387"/>
    </row>
    <row r="81" ht="48" spans="1:40">
      <c r="A81" s="1354" t="s">
        <v>685</v>
      </c>
      <c r="B81" s="1570" t="str">
        <f>估价对象房地状况!G16</f>
        <v>估价对象周边道路状况、公共交通通达情况、停车便捷程度，综合评价交通便捷度较好</v>
      </c>
      <c r="C81" s="1577"/>
      <c r="D81" s="1578">
        <f t="shared" si="25"/>
        <v>0</v>
      </c>
      <c r="E81" s="1715"/>
      <c r="F81" s="1716"/>
      <c r="G81" s="1581"/>
      <c r="H81" s="1582" t="str">
        <f t="shared" si="26"/>
        <v>——</v>
      </c>
      <c r="I81" s="1682">
        <v>0.33</v>
      </c>
      <c r="J81" s="1683">
        <f t="shared" si="27"/>
        <v>0</v>
      </c>
      <c r="K81" s="1683">
        <f t="shared" si="28"/>
        <v>0</v>
      </c>
      <c r="L81" s="1683">
        <v>0</v>
      </c>
      <c r="M81" s="1683">
        <f t="shared" si="29"/>
        <v>0</v>
      </c>
      <c r="N81" s="1683">
        <f t="shared" si="29"/>
        <v>0</v>
      </c>
      <c r="AC81" s="1389"/>
      <c r="AD81" s="1387"/>
      <c r="AJ81" s="1390"/>
      <c r="AN81" s="1387"/>
    </row>
    <row r="82" ht="24" spans="1:40">
      <c r="A82" s="1354" t="s">
        <v>697</v>
      </c>
      <c r="B82" s="1570">
        <f>估价对象房地状况!G17</f>
        <v>0</v>
      </c>
      <c r="C82" s="1577"/>
      <c r="D82" s="1578">
        <f t="shared" si="25"/>
        <v>0</v>
      </c>
      <c r="E82" s="1715"/>
      <c r="F82" s="1716"/>
      <c r="G82" s="1581"/>
      <c r="H82" s="1582" t="str">
        <f t="shared" si="26"/>
        <v>——</v>
      </c>
      <c r="I82" s="1682">
        <v>0.05</v>
      </c>
      <c r="J82" s="1683">
        <f t="shared" si="27"/>
        <v>0</v>
      </c>
      <c r="K82" s="1683">
        <f t="shared" si="28"/>
        <v>0</v>
      </c>
      <c r="L82" s="1683">
        <v>0</v>
      </c>
      <c r="M82" s="1683">
        <f t="shared" si="29"/>
        <v>0</v>
      </c>
      <c r="N82" s="1683">
        <f t="shared" si="29"/>
        <v>0</v>
      </c>
      <c r="AC82" s="1389"/>
      <c r="AD82" s="1387"/>
      <c r="AJ82" s="1390"/>
      <c r="AN82" s="1387"/>
    </row>
    <row r="83" ht="14.25" spans="1:40">
      <c r="A83" s="1354" t="s">
        <v>961</v>
      </c>
      <c r="B83" s="1570">
        <f>估价对象房地状况!G22</f>
        <v>0</v>
      </c>
      <c r="C83" s="1577"/>
      <c r="D83" s="1578">
        <f t="shared" si="25"/>
        <v>0</v>
      </c>
      <c r="E83" s="1715"/>
      <c r="F83" s="1716"/>
      <c r="G83" s="1581"/>
      <c r="H83" s="1582" t="str">
        <f t="shared" si="26"/>
        <v>——</v>
      </c>
      <c r="I83" s="1682">
        <v>0.04</v>
      </c>
      <c r="J83" s="1683">
        <f t="shared" si="27"/>
        <v>0</v>
      </c>
      <c r="K83" s="1683">
        <f t="shared" si="28"/>
        <v>0</v>
      </c>
      <c r="L83" s="1683">
        <v>0</v>
      </c>
      <c r="M83" s="1683">
        <f t="shared" si="29"/>
        <v>0</v>
      </c>
      <c r="N83" s="1683">
        <f t="shared" si="29"/>
        <v>0</v>
      </c>
      <c r="AC83" s="1389"/>
      <c r="AD83" s="1387"/>
      <c r="AJ83" s="1390"/>
      <c r="AN83" s="1387"/>
    </row>
    <row r="84" ht="24" spans="1:40">
      <c r="A84" s="1354" t="s">
        <v>955</v>
      </c>
      <c r="B84" s="1587" t="str">
        <f>估价对象房地状况!G19</f>
        <v>估价对象所在区域公共配套设施齐备情况</v>
      </c>
      <c r="C84" s="1577"/>
      <c r="D84" s="1578">
        <f t="shared" si="25"/>
        <v>0</v>
      </c>
      <c r="E84" s="1715"/>
      <c r="F84" s="1716"/>
      <c r="G84" s="1581"/>
      <c r="H84" s="1582" t="str">
        <f t="shared" si="26"/>
        <v>——</v>
      </c>
      <c r="I84" s="1682">
        <v>0.06</v>
      </c>
      <c r="J84" s="1683">
        <f t="shared" si="27"/>
        <v>0</v>
      </c>
      <c r="K84" s="1683">
        <f t="shared" si="28"/>
        <v>0</v>
      </c>
      <c r="L84" s="1683">
        <v>0</v>
      </c>
      <c r="M84" s="1683">
        <f t="shared" si="29"/>
        <v>0</v>
      </c>
      <c r="N84" s="1683">
        <f t="shared" si="29"/>
        <v>0</v>
      </c>
      <c r="AC84" s="1389"/>
      <c r="AD84" s="1387"/>
      <c r="AJ84" s="1390"/>
      <c r="AN84" s="1387"/>
    </row>
    <row r="85" ht="24" spans="1:40">
      <c r="A85" s="1354" t="s">
        <v>956</v>
      </c>
      <c r="B85" s="1587" t="str">
        <f>估价对象房地状况!G20</f>
        <v>估价对象所在区域基础设施水平</v>
      </c>
      <c r="C85" s="1577"/>
      <c r="D85" s="1578">
        <f t="shared" si="25"/>
        <v>0</v>
      </c>
      <c r="E85" s="1715"/>
      <c r="F85" s="1716"/>
      <c r="G85" s="1581"/>
      <c r="H85" s="1582" t="str">
        <f t="shared" si="26"/>
        <v>——</v>
      </c>
      <c r="I85" s="1682">
        <v>0.15</v>
      </c>
      <c r="J85" s="1683">
        <f t="shared" si="27"/>
        <v>0</v>
      </c>
      <c r="K85" s="1683">
        <f t="shared" si="28"/>
        <v>0</v>
      </c>
      <c r="L85" s="1683">
        <v>0</v>
      </c>
      <c r="M85" s="1683">
        <f t="shared" si="29"/>
        <v>0</v>
      </c>
      <c r="N85" s="1683">
        <f t="shared" si="29"/>
        <v>0</v>
      </c>
      <c r="AC85" s="1389"/>
      <c r="AD85" s="1387"/>
      <c r="AJ85" s="1390"/>
      <c r="AN85" s="1387"/>
    </row>
    <row r="86" ht="24" spans="1:40">
      <c r="A86" s="1354" t="s">
        <v>953</v>
      </c>
      <c r="B86" s="1585" t="s">
        <v>954</v>
      </c>
      <c r="C86" s="1577"/>
      <c r="D86" s="1578">
        <f t="shared" si="25"/>
        <v>0</v>
      </c>
      <c r="E86" s="1715"/>
      <c r="F86" s="1716"/>
      <c r="G86" s="1581"/>
      <c r="H86" s="1582" t="str">
        <f t="shared" si="26"/>
        <v>——</v>
      </c>
      <c r="I86" s="1682">
        <v>0.05</v>
      </c>
      <c r="J86" s="1683">
        <f t="shared" si="27"/>
        <v>0</v>
      </c>
      <c r="K86" s="1683">
        <f t="shared" si="28"/>
        <v>0</v>
      </c>
      <c r="L86" s="1683">
        <v>0</v>
      </c>
      <c r="M86" s="1683">
        <f t="shared" si="29"/>
        <v>0</v>
      </c>
      <c r="N86" s="1683">
        <f t="shared" si="29"/>
        <v>0</v>
      </c>
      <c r="AC86" s="1389"/>
      <c r="AD86" s="1387"/>
      <c r="AJ86" s="1390"/>
      <c r="AN86" s="1387"/>
    </row>
    <row r="87" ht="36.75" spans="1:40">
      <c r="A87" s="1588" t="s">
        <v>691</v>
      </c>
      <c r="B87" s="1718" t="str">
        <f>估价对象房地状况!G18</f>
        <v>该园区内是否有污染型企业，绿化情况，卫生条件，整体环境状况判断</v>
      </c>
      <c r="C87" s="1577"/>
      <c r="D87" s="1578">
        <f t="shared" si="25"/>
        <v>0</v>
      </c>
      <c r="E87" s="1657"/>
      <c r="F87" s="1716"/>
      <c r="G87" s="1581"/>
      <c r="H87" s="1582" t="str">
        <f t="shared" si="26"/>
        <v>——</v>
      </c>
      <c r="I87" s="1684">
        <v>0.06</v>
      </c>
      <c r="J87" s="1683">
        <f t="shared" si="27"/>
        <v>0</v>
      </c>
      <c r="K87" s="1683">
        <f t="shared" si="28"/>
        <v>0</v>
      </c>
      <c r="L87" s="1683">
        <v>0</v>
      </c>
      <c r="M87" s="1683">
        <f t="shared" si="29"/>
        <v>0</v>
      </c>
      <c r="N87" s="1683">
        <f t="shared" si="29"/>
        <v>0</v>
      </c>
      <c r="AC87" s="1389"/>
      <c r="AD87" s="1387"/>
      <c r="AJ87" s="1390"/>
      <c r="AN87" s="1387"/>
    </row>
    <row r="90" spans="1:14">
      <c r="A90" s="1384" t="s">
        <v>963</v>
      </c>
      <c r="B90" s="1384"/>
      <c r="C90" s="1384"/>
      <c r="D90" s="1384"/>
      <c r="E90" s="1384"/>
      <c r="F90" s="1384"/>
      <c r="G90" s="1384"/>
      <c r="H90" s="1384"/>
      <c r="I90" s="1384"/>
      <c r="J90" s="1384"/>
      <c r="K90" s="1384"/>
      <c r="L90" s="1384"/>
      <c r="M90" s="1384"/>
      <c r="N90" s="1384"/>
    </row>
    <row r="91" spans="1:14">
      <c r="A91" s="1366" t="s">
        <v>348</v>
      </c>
      <c r="B91" s="1366" t="s">
        <v>964</v>
      </c>
      <c r="C91" s="1719" t="s">
        <v>806</v>
      </c>
      <c r="D91" s="1720"/>
      <c r="E91" s="1720"/>
      <c r="F91" s="1720"/>
      <c r="G91" s="1720"/>
      <c r="H91" s="1720"/>
      <c r="I91" s="1720"/>
      <c r="J91" s="1747"/>
      <c r="K91" s="1370"/>
      <c r="L91" s="1370"/>
      <c r="M91" s="1370"/>
      <c r="N91" s="1370"/>
    </row>
    <row r="92" spans="1:14">
      <c r="A92" s="1366"/>
      <c r="B92" s="1366"/>
      <c r="C92" s="1366" t="s">
        <v>240</v>
      </c>
      <c r="D92" s="1366" t="s">
        <v>253</v>
      </c>
      <c r="E92" s="1366" t="s">
        <v>265</v>
      </c>
      <c r="F92" s="1366" t="s">
        <v>275</v>
      </c>
      <c r="G92" s="1366" t="s">
        <v>284</v>
      </c>
      <c r="H92" s="1366" t="s">
        <v>292</v>
      </c>
      <c r="I92" s="1366" t="s">
        <v>297</v>
      </c>
      <c r="J92" s="1366" t="s">
        <v>302</v>
      </c>
      <c r="K92" s="1366" t="s">
        <v>305</v>
      </c>
      <c r="L92" s="1366" t="s">
        <v>308</v>
      </c>
      <c r="M92" s="1366" t="s">
        <v>311</v>
      </c>
      <c r="N92" s="1366" t="s">
        <v>314</v>
      </c>
    </row>
    <row r="93" spans="1:14">
      <c r="A93" s="1721" t="s">
        <v>965</v>
      </c>
      <c r="B93" s="1722">
        <v>1</v>
      </c>
      <c r="C93" s="1723">
        <v>1.9362</v>
      </c>
      <c r="D93" s="1723">
        <v>1.9362</v>
      </c>
      <c r="E93" s="1723">
        <v>1.8629</v>
      </c>
      <c r="F93" s="1723">
        <v>1.8629</v>
      </c>
      <c r="G93" s="1723">
        <v>1.8629</v>
      </c>
      <c r="H93" s="1723">
        <v>1.8629</v>
      </c>
      <c r="I93" s="1723">
        <v>1.8629</v>
      </c>
      <c r="J93" s="1723">
        <v>1.942</v>
      </c>
      <c r="K93" s="1723">
        <v>1.942</v>
      </c>
      <c r="L93" s="1723">
        <v>1.942</v>
      </c>
      <c r="M93" s="1723">
        <v>1.942</v>
      </c>
      <c r="N93" s="1723">
        <v>1.942</v>
      </c>
    </row>
    <row r="94" spans="1:14">
      <c r="A94" s="1724"/>
      <c r="B94" s="1722">
        <v>2</v>
      </c>
      <c r="C94" s="1723">
        <v>1.4198</v>
      </c>
      <c r="D94" s="1723">
        <v>1.4198</v>
      </c>
      <c r="E94" s="1723">
        <v>1.3372</v>
      </c>
      <c r="F94" s="1723">
        <v>1.3372</v>
      </c>
      <c r="G94" s="1723">
        <v>1.3372</v>
      </c>
      <c r="H94" s="1723">
        <v>1.3372</v>
      </c>
      <c r="I94" s="1723">
        <v>1.3372</v>
      </c>
      <c r="J94" s="1723">
        <v>1.2799</v>
      </c>
      <c r="K94" s="1723">
        <v>1.2799</v>
      </c>
      <c r="L94" s="1723">
        <v>1.2799</v>
      </c>
      <c r="M94" s="1723">
        <v>1.2799</v>
      </c>
      <c r="N94" s="1723">
        <v>1.2799</v>
      </c>
    </row>
    <row r="95" spans="1:14">
      <c r="A95" s="1724"/>
      <c r="B95" s="1722">
        <v>3</v>
      </c>
      <c r="C95" s="1723">
        <v>1.1594</v>
      </c>
      <c r="D95" s="1723">
        <v>1.1594</v>
      </c>
      <c r="E95" s="1723">
        <v>1.0788</v>
      </c>
      <c r="F95" s="1723">
        <v>1.0788</v>
      </c>
      <c r="G95" s="1723">
        <v>1.0788</v>
      </c>
      <c r="H95" s="1723">
        <v>1.0788</v>
      </c>
      <c r="I95" s="1723">
        <v>1.0788</v>
      </c>
      <c r="J95" s="1723">
        <v>1.0072</v>
      </c>
      <c r="K95" s="1723">
        <v>1.0072</v>
      </c>
      <c r="L95" s="1723">
        <v>1.0072</v>
      </c>
      <c r="M95" s="1723">
        <v>1.0072</v>
      </c>
      <c r="N95" s="1723">
        <v>1.0072</v>
      </c>
    </row>
    <row r="96" spans="1:14">
      <c r="A96" s="1724"/>
      <c r="B96" s="1722">
        <v>4</v>
      </c>
      <c r="C96" s="1723">
        <v>0.9622</v>
      </c>
      <c r="D96" s="1723">
        <v>0.9622</v>
      </c>
      <c r="E96" s="1723">
        <v>0.8656</v>
      </c>
      <c r="F96" s="1723">
        <v>0.8656</v>
      </c>
      <c r="G96" s="1723">
        <v>0.8656</v>
      </c>
      <c r="H96" s="1723">
        <v>0.8656</v>
      </c>
      <c r="I96" s="1723">
        <v>0.8656</v>
      </c>
      <c r="J96" s="1723">
        <v>0.7525</v>
      </c>
      <c r="K96" s="1723">
        <v>0.7525</v>
      </c>
      <c r="L96" s="1723">
        <v>0.7525</v>
      </c>
      <c r="M96" s="1723">
        <v>0.7525</v>
      </c>
      <c r="N96" s="1723">
        <v>0.7525</v>
      </c>
    </row>
    <row r="97" spans="1:14">
      <c r="A97" s="1724"/>
      <c r="B97" s="1722">
        <v>5</v>
      </c>
      <c r="C97" s="1723">
        <v>0.8417</v>
      </c>
      <c r="D97" s="1723">
        <v>0.8417</v>
      </c>
      <c r="E97" s="1723">
        <v>0.7371</v>
      </c>
      <c r="F97" s="1723">
        <v>0.7371</v>
      </c>
      <c r="G97" s="1723">
        <v>0.7371</v>
      </c>
      <c r="H97" s="1723">
        <v>0.7371</v>
      </c>
      <c r="I97" s="1723">
        <v>0.7371</v>
      </c>
      <c r="J97" s="1723">
        <v>0.5659</v>
      </c>
      <c r="K97" s="1723">
        <v>0.5659</v>
      </c>
      <c r="L97" s="1723">
        <v>0.5659</v>
      </c>
      <c r="M97" s="1723">
        <v>0.5659</v>
      </c>
      <c r="N97" s="1723">
        <v>0.5659</v>
      </c>
    </row>
    <row r="98" spans="1:14">
      <c r="A98" s="1724"/>
      <c r="B98" s="1722">
        <v>6</v>
      </c>
      <c r="C98" s="1723">
        <v>0.7608</v>
      </c>
      <c r="D98" s="1723">
        <v>0.7608</v>
      </c>
      <c r="E98" s="1723">
        <v>0.6482</v>
      </c>
      <c r="F98" s="1723">
        <v>0.6482</v>
      </c>
      <c r="G98" s="1723">
        <v>0.6482</v>
      </c>
      <c r="H98" s="1723">
        <v>0.6482</v>
      </c>
      <c r="I98" s="1723">
        <v>0.6482</v>
      </c>
      <c r="J98" s="1723">
        <v>0.4525</v>
      </c>
      <c r="K98" s="1723">
        <v>0.4525</v>
      </c>
      <c r="L98" s="1723">
        <v>0.4525</v>
      </c>
      <c r="M98" s="1723">
        <v>0.4525</v>
      </c>
      <c r="N98" s="1723">
        <v>0.4525</v>
      </c>
    </row>
    <row r="99" spans="1:14">
      <c r="A99" s="1724"/>
      <c r="B99" s="1722" t="s">
        <v>966</v>
      </c>
      <c r="C99" s="1725">
        <f>$I$3</f>
        <v>0</v>
      </c>
      <c r="D99" s="1725">
        <f t="shared" ref="D99:N99" si="30">$I$3</f>
        <v>0</v>
      </c>
      <c r="E99" s="1725">
        <f t="shared" si="30"/>
        <v>0</v>
      </c>
      <c r="F99" s="1725">
        <f t="shared" si="30"/>
        <v>0</v>
      </c>
      <c r="G99" s="1725">
        <f t="shared" si="30"/>
        <v>0</v>
      </c>
      <c r="H99" s="1725">
        <f t="shared" si="30"/>
        <v>0</v>
      </c>
      <c r="I99" s="1725">
        <f t="shared" si="30"/>
        <v>0</v>
      </c>
      <c r="J99" s="1725">
        <f t="shared" si="30"/>
        <v>0</v>
      </c>
      <c r="K99" s="1725">
        <f t="shared" si="30"/>
        <v>0</v>
      </c>
      <c r="L99" s="1725">
        <f t="shared" si="30"/>
        <v>0</v>
      </c>
      <c r="M99" s="1725">
        <f t="shared" si="30"/>
        <v>0</v>
      </c>
      <c r="N99" s="1725">
        <f t="shared" si="30"/>
        <v>0</v>
      </c>
    </row>
    <row r="100" spans="1:14">
      <c r="A100" s="1375"/>
      <c r="B100" s="1722">
        <v>7</v>
      </c>
      <c r="C100" s="1726">
        <f>(-0.163*(C99^2)-0.59*C99+7617)*(10^(-4))</f>
        <v>0.7617</v>
      </c>
      <c r="D100" s="1726">
        <f>(-0.163*(D99^2)-0.59*D99+7617)*(10^(-4))</f>
        <v>0.7617</v>
      </c>
      <c r="E100" s="1726">
        <f>(-0.161*(E99^2)-7.509*E99+6533)*(10^(-4))</f>
        <v>0.6533</v>
      </c>
      <c r="F100" s="1726">
        <f>(-0.161*(F99^2)-7.509*F99+6533)*(10^(-4))</f>
        <v>0.6533</v>
      </c>
      <c r="G100" s="1726">
        <f>(-0.161*(G99^2)-7.509*G99+6533)*(10^(-4))</f>
        <v>0.6533</v>
      </c>
      <c r="H100" s="1726">
        <f>(-0.161*(H99^2)-7.509*H99+6533)*(10^(-4))</f>
        <v>0.6533</v>
      </c>
      <c r="I100" s="1726">
        <f>(-0.161*(I99^2)-7.509*I99+6533)*(10^(-4))</f>
        <v>0.6533</v>
      </c>
      <c r="J100" s="1726">
        <f>(-0.214*(J99^2)-21.991*J99+4665)*(10^(-4))</f>
        <v>0.4665</v>
      </c>
      <c r="K100" s="1726">
        <f>(-0.214*(K99^2)-21.991*K99+4665)*(10^(-4))</f>
        <v>0.4665</v>
      </c>
      <c r="L100" s="1726">
        <f>(-0.214*(L99^2)-21.991*L99+4665)*(10^(-4))</f>
        <v>0.4665</v>
      </c>
      <c r="M100" s="1726">
        <f>(-0.214*(M99^2)-21.991*M99+4665)*(10^(-4))</f>
        <v>0.4665</v>
      </c>
      <c r="N100" s="1726">
        <f>(-0.214*(N99^2)-21.991*N99+4665)*(10^(-4))</f>
        <v>0.4665</v>
      </c>
    </row>
    <row r="101" spans="1:14">
      <c r="A101" s="1721" t="s">
        <v>967</v>
      </c>
      <c r="B101" s="1727" t="s">
        <v>105</v>
      </c>
      <c r="C101" s="1728">
        <f>$G$3</f>
        <v>1.22</v>
      </c>
      <c r="D101" s="1728">
        <f t="shared" ref="D101:N101" si="31">$G$3</f>
        <v>1.22</v>
      </c>
      <c r="E101" s="1728">
        <f t="shared" si="31"/>
        <v>1.22</v>
      </c>
      <c r="F101" s="1728">
        <f t="shared" si="31"/>
        <v>1.22</v>
      </c>
      <c r="G101" s="1728">
        <f t="shared" si="31"/>
        <v>1.22</v>
      </c>
      <c r="H101" s="1728">
        <f t="shared" si="31"/>
        <v>1.22</v>
      </c>
      <c r="I101" s="1728">
        <f t="shared" si="31"/>
        <v>1.22</v>
      </c>
      <c r="J101" s="1728">
        <f t="shared" si="31"/>
        <v>1.22</v>
      </c>
      <c r="K101" s="1728">
        <f t="shared" si="31"/>
        <v>1.22</v>
      </c>
      <c r="L101" s="1728">
        <f t="shared" si="31"/>
        <v>1.22</v>
      </c>
      <c r="M101" s="1728">
        <f t="shared" si="31"/>
        <v>1.22</v>
      </c>
      <c r="N101" s="1728">
        <f t="shared" si="31"/>
        <v>1.22</v>
      </c>
    </row>
    <row r="102" spans="1:14">
      <c r="A102" s="1724"/>
      <c r="B102" s="1722">
        <v>1</v>
      </c>
      <c r="C102" s="1723">
        <f>1.9362/C101</f>
        <v>1.58704918032787</v>
      </c>
      <c r="D102" s="1723">
        <f>1.9362/D101</f>
        <v>1.58704918032787</v>
      </c>
      <c r="E102" s="1723">
        <f>1.8629/E101</f>
        <v>1.52696721311475</v>
      </c>
      <c r="F102" s="1723">
        <f>1.8629/F101</f>
        <v>1.52696721311475</v>
      </c>
      <c r="G102" s="1723">
        <f>1.8629/G101</f>
        <v>1.52696721311475</v>
      </c>
      <c r="H102" s="1723">
        <f>1.8629/H101</f>
        <v>1.52696721311475</v>
      </c>
      <c r="I102" s="1723">
        <f>1.8629/I101</f>
        <v>1.52696721311475</v>
      </c>
      <c r="J102" s="1723">
        <f>1.942/J101</f>
        <v>1.59180327868852</v>
      </c>
      <c r="K102" s="1723">
        <f>1.942/K101</f>
        <v>1.59180327868852</v>
      </c>
      <c r="L102" s="1723">
        <f>1.942/L101</f>
        <v>1.59180327868852</v>
      </c>
      <c r="M102" s="1723">
        <f>1.942/M101</f>
        <v>1.59180327868852</v>
      </c>
      <c r="N102" s="1723">
        <f>1.942/N101</f>
        <v>1.59180327868852</v>
      </c>
    </row>
    <row r="103" spans="1:14">
      <c r="A103" s="1724"/>
      <c r="B103" s="1722">
        <v>2</v>
      </c>
      <c r="C103" s="1723">
        <f>1.4198/C101</f>
        <v>1.16377049180328</v>
      </c>
      <c r="D103" s="1723">
        <f>1.4198/D101</f>
        <v>1.16377049180328</v>
      </c>
      <c r="E103" s="1723">
        <f>1.3372/E101</f>
        <v>1.09606557377049</v>
      </c>
      <c r="F103" s="1723">
        <f>1.3372/F101</f>
        <v>1.09606557377049</v>
      </c>
      <c r="G103" s="1723">
        <f>1.3372/G101</f>
        <v>1.09606557377049</v>
      </c>
      <c r="H103" s="1723">
        <f>1.3372/H101</f>
        <v>1.09606557377049</v>
      </c>
      <c r="I103" s="1723">
        <f>1.3372/I101</f>
        <v>1.09606557377049</v>
      </c>
      <c r="J103" s="1723">
        <f>1.2799/J101</f>
        <v>1.04909836065574</v>
      </c>
      <c r="K103" s="1723">
        <f>1.2799/K101</f>
        <v>1.04909836065574</v>
      </c>
      <c r="L103" s="1723">
        <f>1.2799/L101</f>
        <v>1.04909836065574</v>
      </c>
      <c r="M103" s="1723">
        <f>1.2799/M101</f>
        <v>1.04909836065574</v>
      </c>
      <c r="N103" s="1723">
        <f>1.2799/N101</f>
        <v>1.04909836065574</v>
      </c>
    </row>
    <row r="104" spans="1:14">
      <c r="A104" s="1724"/>
      <c r="B104" s="1722">
        <v>3</v>
      </c>
      <c r="C104" s="1723">
        <f>1.1594/C101</f>
        <v>0.950327868852459</v>
      </c>
      <c r="D104" s="1723">
        <f>1.1594/D101</f>
        <v>0.950327868852459</v>
      </c>
      <c r="E104" s="1723">
        <f>1.0788/E101</f>
        <v>0.884262295081967</v>
      </c>
      <c r="F104" s="1723">
        <f>1.0788/F101</f>
        <v>0.884262295081967</v>
      </c>
      <c r="G104" s="1723">
        <f>1.0788/G101</f>
        <v>0.884262295081967</v>
      </c>
      <c r="H104" s="1723">
        <f>1.0788/H101</f>
        <v>0.884262295081967</v>
      </c>
      <c r="I104" s="1723">
        <f>1.0788/I101</f>
        <v>0.884262295081967</v>
      </c>
      <c r="J104" s="1723">
        <f>1.0072/J101</f>
        <v>0.825573770491803</v>
      </c>
      <c r="K104" s="1723">
        <f>1.0072/K101</f>
        <v>0.825573770491803</v>
      </c>
      <c r="L104" s="1723">
        <f>1.0072/L101</f>
        <v>0.825573770491803</v>
      </c>
      <c r="M104" s="1723">
        <f>1.0072/M101</f>
        <v>0.825573770491803</v>
      </c>
      <c r="N104" s="1723">
        <f>1.0072/N101</f>
        <v>0.825573770491803</v>
      </c>
    </row>
    <row r="105" spans="1:14">
      <c r="A105" s="1724"/>
      <c r="B105" s="1722">
        <v>4</v>
      </c>
      <c r="C105" s="1723">
        <f>0.9622/C101</f>
        <v>0.788688524590164</v>
      </c>
      <c r="D105" s="1723">
        <f>0.9622/D101</f>
        <v>0.788688524590164</v>
      </c>
      <c r="E105" s="1723">
        <f>0.8656/E101</f>
        <v>0.709508196721311</v>
      </c>
      <c r="F105" s="1723">
        <f>0.8656/F101</f>
        <v>0.709508196721311</v>
      </c>
      <c r="G105" s="1723">
        <f>0.8656/G101</f>
        <v>0.709508196721311</v>
      </c>
      <c r="H105" s="1723">
        <f>0.8656/H101</f>
        <v>0.709508196721311</v>
      </c>
      <c r="I105" s="1723">
        <f>0.8656/I101</f>
        <v>0.709508196721311</v>
      </c>
      <c r="J105" s="1723">
        <f>0.7525/J101</f>
        <v>0.616803278688525</v>
      </c>
      <c r="K105" s="1723">
        <f>0.7525/K101</f>
        <v>0.616803278688525</v>
      </c>
      <c r="L105" s="1723">
        <f>0.7525/L101</f>
        <v>0.616803278688525</v>
      </c>
      <c r="M105" s="1723">
        <f>0.7525/M101</f>
        <v>0.616803278688525</v>
      </c>
      <c r="N105" s="1723">
        <f>0.7525/N101</f>
        <v>0.616803278688525</v>
      </c>
    </row>
    <row r="106" spans="1:14">
      <c r="A106" s="1724"/>
      <c r="B106" s="1722">
        <v>5</v>
      </c>
      <c r="C106" s="1723">
        <f>0.8417/C101</f>
        <v>0.689918032786885</v>
      </c>
      <c r="D106" s="1723">
        <f>0.8417/D101</f>
        <v>0.689918032786885</v>
      </c>
      <c r="E106" s="1723">
        <f>0.7371/E101</f>
        <v>0.604180327868852</v>
      </c>
      <c r="F106" s="1723">
        <f>0.7371/F101</f>
        <v>0.604180327868852</v>
      </c>
      <c r="G106" s="1723">
        <f>0.7371/G101</f>
        <v>0.604180327868852</v>
      </c>
      <c r="H106" s="1723">
        <f>0.7371/H101</f>
        <v>0.604180327868852</v>
      </c>
      <c r="I106" s="1723">
        <f>0.7371/I101</f>
        <v>0.604180327868852</v>
      </c>
      <c r="J106" s="1723">
        <f>0.5659/J101</f>
        <v>0.463852459016393</v>
      </c>
      <c r="K106" s="1723">
        <f>0.5659/K101</f>
        <v>0.463852459016393</v>
      </c>
      <c r="L106" s="1723">
        <f>0.5659/L101</f>
        <v>0.463852459016393</v>
      </c>
      <c r="M106" s="1723">
        <f>0.5659/M101</f>
        <v>0.463852459016393</v>
      </c>
      <c r="N106" s="1723">
        <f>0.5659/N101</f>
        <v>0.463852459016393</v>
      </c>
    </row>
    <row r="107" spans="1:14">
      <c r="A107" s="1724"/>
      <c r="B107" s="1722">
        <v>6</v>
      </c>
      <c r="C107" s="1723">
        <f>0.7608/C101</f>
        <v>0.623606557377049</v>
      </c>
      <c r="D107" s="1723">
        <f>0.7608/D101</f>
        <v>0.623606557377049</v>
      </c>
      <c r="E107" s="1723">
        <f>0.6482/E101</f>
        <v>0.531311475409836</v>
      </c>
      <c r="F107" s="1723">
        <f>0.6482/F101</f>
        <v>0.531311475409836</v>
      </c>
      <c r="G107" s="1723">
        <f>0.6482/G101</f>
        <v>0.531311475409836</v>
      </c>
      <c r="H107" s="1723">
        <f>0.6482/H101</f>
        <v>0.531311475409836</v>
      </c>
      <c r="I107" s="1723">
        <f>0.6482/I101</f>
        <v>0.531311475409836</v>
      </c>
      <c r="J107" s="1723">
        <f>0.4525/J101</f>
        <v>0.370901639344262</v>
      </c>
      <c r="K107" s="1723">
        <f>0.4525/K101</f>
        <v>0.370901639344262</v>
      </c>
      <c r="L107" s="1723">
        <f>0.4525/L101</f>
        <v>0.370901639344262</v>
      </c>
      <c r="M107" s="1723">
        <f>0.4525/M101</f>
        <v>0.370901639344262</v>
      </c>
      <c r="N107" s="1723">
        <f>0.4525/N101</f>
        <v>0.370901639344262</v>
      </c>
    </row>
    <row r="108" spans="1:14">
      <c r="A108" s="1724"/>
      <c r="B108" s="1357" t="s">
        <v>968</v>
      </c>
      <c r="C108" s="1725">
        <f>C99</f>
        <v>0</v>
      </c>
      <c r="D108" s="1725">
        <f t="shared" ref="D108:N108" si="32">D99</f>
        <v>0</v>
      </c>
      <c r="E108" s="1725">
        <f t="shared" si="32"/>
        <v>0</v>
      </c>
      <c r="F108" s="1725">
        <f t="shared" si="32"/>
        <v>0</v>
      </c>
      <c r="G108" s="1725">
        <f t="shared" si="32"/>
        <v>0</v>
      </c>
      <c r="H108" s="1725">
        <f t="shared" si="32"/>
        <v>0</v>
      </c>
      <c r="I108" s="1725">
        <f t="shared" si="32"/>
        <v>0</v>
      </c>
      <c r="J108" s="1725">
        <f t="shared" si="32"/>
        <v>0</v>
      </c>
      <c r="K108" s="1725">
        <f t="shared" si="32"/>
        <v>0</v>
      </c>
      <c r="L108" s="1725">
        <f t="shared" si="32"/>
        <v>0</v>
      </c>
      <c r="M108" s="1725">
        <f t="shared" si="32"/>
        <v>0</v>
      </c>
      <c r="N108" s="1725">
        <f t="shared" si="32"/>
        <v>0</v>
      </c>
    </row>
    <row r="109" spans="1:14">
      <c r="A109" s="1375"/>
      <c r="B109" s="1729"/>
      <c r="C109" s="1726">
        <f>(-0.163*(C108^2)-0.59*C108+7617)*(10^(-4))/C101</f>
        <v>0.624344262295082</v>
      </c>
      <c r="D109" s="1726">
        <f>(-0.163*(D108^2)-0.59*D108+7617)*(10^(-4))/D101</f>
        <v>0.624344262295082</v>
      </c>
      <c r="E109" s="1726">
        <f>(-0.161*(E108^2)-7.509*E108+6533)*(10^(-4))/E101</f>
        <v>0.535491803278689</v>
      </c>
      <c r="F109" s="1726">
        <f>(-0.161*(F108^2)-7.509*F108+6533)*(10^(-4))/F101</f>
        <v>0.535491803278689</v>
      </c>
      <c r="G109" s="1726">
        <f>(-0.161*(G108^2)-7.509*G108+6533)*(10^(-4))/G101</f>
        <v>0.535491803278689</v>
      </c>
      <c r="H109" s="1726">
        <f>(-0.161*(H108^2)-7.509*H108+6533)*(10^(-4))/H101</f>
        <v>0.535491803278689</v>
      </c>
      <c r="I109" s="1726">
        <f>(-0.161*(I108^2)-7.509*I108+6533)*(10^(-4))/I101</f>
        <v>0.535491803278689</v>
      </c>
      <c r="J109" s="1726">
        <f>(-0.214*(J108^2)-21.991*J108+4665)*(10^(-4))/J101</f>
        <v>0.382377049180328</v>
      </c>
      <c r="K109" s="1726">
        <f>(-0.214*(K108^2)-21.991*K108+4665)*(10^(-4))/K101</f>
        <v>0.382377049180328</v>
      </c>
      <c r="L109" s="1726">
        <f>(-0.214*(L108^2)-21.991*L108+4665)*(10^(-4))/L101</f>
        <v>0.382377049180328</v>
      </c>
      <c r="M109" s="1726">
        <f>(-0.214*(M108^2)-21.991*M108+4665)*(10^(-4))/M101</f>
        <v>0.382377049180328</v>
      </c>
      <c r="N109" s="1726">
        <f>(-0.214*(N108^2)-21.991*N108+4665)*(10^(-4))/N101</f>
        <v>0.382377049180328</v>
      </c>
    </row>
    <row r="110" spans="1:14">
      <c r="A110" s="1730" t="s">
        <v>969</v>
      </c>
      <c r="B110" s="1730"/>
      <c r="C110" s="1730"/>
      <c r="D110" s="1730"/>
      <c r="E110" s="1730"/>
      <c r="F110" s="1730"/>
      <c r="G110" s="1730"/>
      <c r="H110" s="1730"/>
      <c r="I110" s="1730"/>
      <c r="J110" s="1730"/>
      <c r="K110" s="1730"/>
      <c r="L110" s="1730"/>
      <c r="M110" s="1730"/>
      <c r="N110" s="1730"/>
    </row>
    <row r="112" ht="12.75"/>
    <row r="113" ht="25.5" spans="1:13">
      <c r="A113" s="1731" t="s">
        <v>970</v>
      </c>
      <c r="B113" s="1732">
        <f>G3</f>
        <v>1.22</v>
      </c>
      <c r="C113" s="1733" t="s">
        <v>971</v>
      </c>
      <c r="D113" s="1734">
        <f>SUMPRODUCT((A115:A118=F113)*(B114:M114=H113)*B115:M118)</f>
        <v>0.7523</v>
      </c>
      <c r="E113" s="1735" t="s">
        <v>348</v>
      </c>
      <c r="F113" s="1736" t="str">
        <f>E2</f>
        <v>办公</v>
      </c>
      <c r="G113" s="1735" t="s">
        <v>217</v>
      </c>
      <c r="H113" s="1736" t="str">
        <f>G2</f>
        <v>八级</v>
      </c>
      <c r="I113" s="1735"/>
      <c r="J113" s="1289"/>
      <c r="K113" s="1289"/>
      <c r="L113" s="1289"/>
      <c r="M113" s="1289"/>
    </row>
    <row r="114" ht="12.75" spans="1:13">
      <c r="A114" s="1737"/>
      <c r="B114" s="1738" t="s">
        <v>240</v>
      </c>
      <c r="C114" s="1738" t="s">
        <v>253</v>
      </c>
      <c r="D114" s="1738" t="s">
        <v>265</v>
      </c>
      <c r="E114" s="1739" t="s">
        <v>275</v>
      </c>
      <c r="F114" s="1739" t="s">
        <v>284</v>
      </c>
      <c r="G114" s="1739" t="s">
        <v>292</v>
      </c>
      <c r="H114" s="1740" t="s">
        <v>297</v>
      </c>
      <c r="I114" s="1740" t="s">
        <v>302</v>
      </c>
      <c r="J114" s="1748" t="s">
        <v>305</v>
      </c>
      <c r="K114" s="1748" t="s">
        <v>308</v>
      </c>
      <c r="L114" s="1748" t="s">
        <v>311</v>
      </c>
      <c r="M114" s="1749" t="s">
        <v>314</v>
      </c>
    </row>
    <row r="115" ht="12.75" spans="1:13">
      <c r="A115" s="1741" t="s">
        <v>972</v>
      </c>
      <c r="B115" s="1742">
        <f>ROUND(0.9335-0.0094*B113,4)</f>
        <v>0.922</v>
      </c>
      <c r="C115" s="1742">
        <f>B115</f>
        <v>0.922</v>
      </c>
      <c r="D115" s="1742">
        <f>ROUND(0.8331-0.0109*B113,4)</f>
        <v>0.8198</v>
      </c>
      <c r="E115" s="1742">
        <f>D115</f>
        <v>0.8198</v>
      </c>
      <c r="F115" s="1742">
        <f>E115</f>
        <v>0.8198</v>
      </c>
      <c r="G115" s="1742">
        <f>F115</f>
        <v>0.8198</v>
      </c>
      <c r="H115" s="1742">
        <f>G115</f>
        <v>0.8198</v>
      </c>
      <c r="I115" s="1742">
        <f>ROUND(0.689-0.0155*B113,4)</f>
        <v>0.6701</v>
      </c>
      <c r="J115" s="1742">
        <f t="shared" ref="J115:M118" si="33">I115</f>
        <v>0.6701</v>
      </c>
      <c r="K115" s="1742">
        <f t="shared" si="33"/>
        <v>0.6701</v>
      </c>
      <c r="L115" s="1742">
        <f t="shared" si="33"/>
        <v>0.6701</v>
      </c>
      <c r="M115" s="1750">
        <f t="shared" si="33"/>
        <v>0.6701</v>
      </c>
    </row>
    <row r="116" ht="12.75" spans="1:13">
      <c r="A116" s="1741" t="s">
        <v>973</v>
      </c>
      <c r="B116" s="1742">
        <f>ROUND(0.949-0.012*B113,4)</f>
        <v>0.9344</v>
      </c>
      <c r="C116" s="1742">
        <f>B116</f>
        <v>0.9344</v>
      </c>
      <c r="D116" s="1742">
        <f>ROUND(0.8567-0.013*B113,4)</f>
        <v>0.8408</v>
      </c>
      <c r="E116" s="1742">
        <f t="shared" ref="E116:H117" si="34">D116</f>
        <v>0.8408</v>
      </c>
      <c r="F116" s="1742">
        <f t="shared" si="34"/>
        <v>0.8408</v>
      </c>
      <c r="G116" s="1742">
        <f t="shared" si="34"/>
        <v>0.8408</v>
      </c>
      <c r="H116" s="1742">
        <f t="shared" si="34"/>
        <v>0.8408</v>
      </c>
      <c r="I116" s="1742">
        <f>ROUND(0.7694-0.014*B113,4)</f>
        <v>0.7523</v>
      </c>
      <c r="J116" s="1742">
        <f t="shared" si="33"/>
        <v>0.7523</v>
      </c>
      <c r="K116" s="1742">
        <f t="shared" si="33"/>
        <v>0.7523</v>
      </c>
      <c r="L116" s="1742">
        <f t="shared" si="33"/>
        <v>0.7523</v>
      </c>
      <c r="M116" s="1750">
        <f t="shared" si="33"/>
        <v>0.7523</v>
      </c>
    </row>
    <row r="117" ht="12.75" spans="1:13">
      <c r="A117" s="1743" t="s">
        <v>375</v>
      </c>
      <c r="B117" s="1742">
        <f>ROUND(0.8808-0.006*B113,4)</f>
        <v>0.8735</v>
      </c>
      <c r="C117" s="1742">
        <f>B117</f>
        <v>0.8735</v>
      </c>
      <c r="D117" s="1742">
        <f>ROUND(0.8748-0.008*B113,4)</f>
        <v>0.865</v>
      </c>
      <c r="E117" s="1742">
        <f t="shared" si="34"/>
        <v>0.865</v>
      </c>
      <c r="F117" s="1742">
        <f t="shared" si="34"/>
        <v>0.865</v>
      </c>
      <c r="G117" s="1742">
        <f t="shared" si="34"/>
        <v>0.865</v>
      </c>
      <c r="H117" s="1742">
        <f t="shared" si="34"/>
        <v>0.865</v>
      </c>
      <c r="I117" s="1742">
        <f>ROUND(0.7412-0.0095*B113,4)</f>
        <v>0.7296</v>
      </c>
      <c r="J117" s="1742">
        <f t="shared" si="33"/>
        <v>0.7296</v>
      </c>
      <c r="K117" s="1742">
        <f t="shared" si="33"/>
        <v>0.7296</v>
      </c>
      <c r="L117" s="1742">
        <f t="shared" si="33"/>
        <v>0.7296</v>
      </c>
      <c r="M117" s="1750">
        <f t="shared" si="33"/>
        <v>0.7296</v>
      </c>
    </row>
    <row r="118" ht="13.5" spans="1:13">
      <c r="A118" s="1744" t="s">
        <v>974</v>
      </c>
      <c r="B118" s="1745">
        <f>ROUND(0.7275-0.01*B113,4)</f>
        <v>0.7153</v>
      </c>
      <c r="C118" s="1745">
        <f>B118</f>
        <v>0.7153</v>
      </c>
      <c r="D118" s="1745">
        <f>ROUND(0.7043-0.012*B113,4)</f>
        <v>0.6897</v>
      </c>
      <c r="E118" s="1745">
        <f>D118</f>
        <v>0.6897</v>
      </c>
      <c r="F118" s="1745">
        <f>E118</f>
        <v>0.6897</v>
      </c>
      <c r="G118" s="1745">
        <f>ROUND(0.6299-0.0122*B113,4)</f>
        <v>0.615</v>
      </c>
      <c r="H118" s="1745">
        <f>G118</f>
        <v>0.615</v>
      </c>
      <c r="I118" s="1745">
        <f>ROUND(0.5667-0.0136*B113,4)</f>
        <v>0.5501</v>
      </c>
      <c r="J118" s="1745">
        <f t="shared" si="33"/>
        <v>0.5501</v>
      </c>
      <c r="K118" s="1745">
        <f t="shared" si="33"/>
        <v>0.5501</v>
      </c>
      <c r="L118" s="1745">
        <f t="shared" si="33"/>
        <v>0.5501</v>
      </c>
      <c r="M118" s="1751">
        <f t="shared" si="33"/>
        <v>0.5501</v>
      </c>
    </row>
  </sheetData>
  <sheetProtection formatCells="0" formatColumns="0" formatRows="0"/>
  <mergeCells count="17">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7">
    <cfRule type="cellIs" dxfId="8" priority="5" stopIfTrue="1" operator="notEqual">
      <formula>"——"</formula>
    </cfRule>
  </conditionalFormatting>
  <conditionalFormatting sqref="F58">
    <cfRule type="cellIs" dxfId="8" priority="4" stopIfTrue="1" operator="notEqual">
      <formula>"——"</formula>
    </cfRule>
  </conditionalFormatting>
  <conditionalFormatting sqref="F69">
    <cfRule type="cellIs" dxfId="8" priority="3" stopIfTrue="1" operator="notEqual">
      <formula>"——"</formula>
    </cfRule>
  </conditionalFormatting>
  <conditionalFormatting sqref="F80">
    <cfRule type="cellIs" dxfId="8" priority="2" stopIfTrue="1" operator="notEqual">
      <formula>"——"</formula>
    </cfRule>
  </conditionalFormatting>
  <conditionalFormatting sqref="H58:H66 H47:H55 H69:H77 H80:H87">
    <cfRule type="cellIs" dxfId="2"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7:C55 C58:C66 C69:C77 C80:C87">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1"/>
  <sheetViews>
    <sheetView workbookViewId="0">
      <selection activeCell="A15" sqref="A15:M15"/>
    </sheetView>
  </sheetViews>
  <sheetFormatPr defaultColWidth="8.25" defaultRowHeight="19.5" customHeight="1"/>
  <cols>
    <col min="1" max="1" width="13.625" style="1302" customWidth="1"/>
    <col min="2" max="9" width="8.25" style="1301" customWidth="1"/>
    <col min="10" max="13" width="8.25" style="1302"/>
    <col min="14" max="14" width="10" style="1302" customWidth="1"/>
    <col min="15" max="16" width="8.25" style="1302"/>
    <col min="17" max="17" width="34.125" style="1302" customWidth="1"/>
    <col min="18" max="18" width="8.25" style="1302" customWidth="1"/>
    <col min="19" max="19" width="8.25" style="1302"/>
    <col min="20" max="20" width="11.625" style="1302" customWidth="1"/>
    <col min="21" max="16384" width="8.25" style="1302"/>
  </cols>
  <sheetData>
    <row r="1" customHeight="1" spans="1:13">
      <c r="A1" s="1342" t="s">
        <v>217</v>
      </c>
      <c r="B1" s="1336" t="s">
        <v>240</v>
      </c>
      <c r="C1" s="1336" t="s">
        <v>253</v>
      </c>
      <c r="D1" s="1336" t="s">
        <v>265</v>
      </c>
      <c r="E1" s="1336" t="s">
        <v>275</v>
      </c>
      <c r="F1" s="1336" t="s">
        <v>284</v>
      </c>
      <c r="G1" s="1336" t="s">
        <v>292</v>
      </c>
      <c r="H1" s="1336" t="s">
        <v>297</v>
      </c>
      <c r="I1" s="1336" t="s">
        <v>302</v>
      </c>
      <c r="J1" s="1336" t="s">
        <v>305</v>
      </c>
      <c r="K1" s="1336" t="s">
        <v>308</v>
      </c>
      <c r="L1" s="1336" t="s">
        <v>311</v>
      </c>
      <c r="M1" s="1338" t="s">
        <v>314</v>
      </c>
    </row>
    <row r="2" customHeight="1" spans="1:13">
      <c r="A2" s="1343" t="s">
        <v>376</v>
      </c>
      <c r="B2" s="1344">
        <v>3.5</v>
      </c>
      <c r="C2" s="1344">
        <v>3.5</v>
      </c>
      <c r="D2" s="1345">
        <v>2.5</v>
      </c>
      <c r="E2" s="1345">
        <v>2.5</v>
      </c>
      <c r="F2" s="1345">
        <v>2.5</v>
      </c>
      <c r="G2" s="1345">
        <v>2.5</v>
      </c>
      <c r="H2" s="1345">
        <v>2.5</v>
      </c>
      <c r="I2" s="1344">
        <v>2</v>
      </c>
      <c r="J2" s="1344">
        <v>2</v>
      </c>
      <c r="K2" s="1344">
        <v>2</v>
      </c>
      <c r="L2" s="1344">
        <v>2</v>
      </c>
      <c r="M2" s="1378">
        <v>2</v>
      </c>
    </row>
    <row r="3" customHeight="1" spans="1:13">
      <c r="A3" s="1346" t="s">
        <v>377</v>
      </c>
      <c r="B3" s="1347">
        <v>3.5</v>
      </c>
      <c r="C3" s="1347">
        <v>3.5</v>
      </c>
      <c r="D3" s="1348">
        <v>2.5</v>
      </c>
      <c r="E3" s="1348">
        <v>2.5</v>
      </c>
      <c r="F3" s="1348">
        <v>2.5</v>
      </c>
      <c r="G3" s="1348">
        <v>2.5</v>
      </c>
      <c r="H3" s="1348">
        <v>2.5</v>
      </c>
      <c r="I3" s="1347">
        <v>2</v>
      </c>
      <c r="J3" s="1347">
        <v>2</v>
      </c>
      <c r="K3" s="1347">
        <v>2</v>
      </c>
      <c r="L3" s="1347">
        <v>2</v>
      </c>
      <c r="M3" s="1379">
        <v>2</v>
      </c>
    </row>
    <row r="4" customHeight="1" spans="1:13">
      <c r="A4" s="1346" t="s">
        <v>375</v>
      </c>
      <c r="B4" s="1348">
        <v>2.5</v>
      </c>
      <c r="C4" s="1348">
        <v>2.5</v>
      </c>
      <c r="D4" s="1348">
        <v>2.5</v>
      </c>
      <c r="E4" s="1348">
        <v>2.5</v>
      </c>
      <c r="F4" s="1348">
        <v>2.5</v>
      </c>
      <c r="G4" s="1348">
        <v>2.5</v>
      </c>
      <c r="H4" s="1348">
        <v>2.5</v>
      </c>
      <c r="I4" s="1347">
        <v>1.5</v>
      </c>
      <c r="J4" s="1347">
        <v>1.5</v>
      </c>
      <c r="K4" s="1347">
        <v>1.5</v>
      </c>
      <c r="L4" s="1347">
        <v>1.5</v>
      </c>
      <c r="M4" s="1379">
        <v>1.5</v>
      </c>
    </row>
    <row r="5" customHeight="1" spans="1:13">
      <c r="A5" s="1349" t="s">
        <v>164</v>
      </c>
      <c r="B5" s="1350">
        <v>1.5</v>
      </c>
      <c r="C5" s="1350">
        <v>1.5</v>
      </c>
      <c r="D5" s="1350">
        <v>1.5</v>
      </c>
      <c r="E5" s="1350">
        <v>1.5</v>
      </c>
      <c r="F5" s="1350">
        <v>1.5</v>
      </c>
      <c r="G5" s="1351">
        <v>1.2</v>
      </c>
      <c r="H5" s="1351">
        <v>1.2</v>
      </c>
      <c r="I5" s="1351">
        <v>1</v>
      </c>
      <c r="J5" s="1351">
        <v>1</v>
      </c>
      <c r="K5" s="1351">
        <v>1</v>
      </c>
      <c r="L5" s="1351">
        <v>1</v>
      </c>
      <c r="M5" s="1380">
        <v>1</v>
      </c>
    </row>
    <row r="6" customHeight="1" spans="1:13">
      <c r="A6" s="1352" t="s">
        <v>881</v>
      </c>
      <c r="B6" s="1353">
        <v>80</v>
      </c>
      <c r="C6" s="1353">
        <v>80</v>
      </c>
      <c r="D6" s="1353">
        <v>65</v>
      </c>
      <c r="E6" s="1353">
        <v>65</v>
      </c>
      <c r="F6" s="1353">
        <v>65</v>
      </c>
      <c r="G6" s="1353">
        <v>65</v>
      </c>
      <c r="H6" s="1353">
        <v>65</v>
      </c>
      <c r="I6" s="1353">
        <v>50</v>
      </c>
      <c r="J6" s="1353">
        <v>50</v>
      </c>
      <c r="K6" s="1353">
        <v>50</v>
      </c>
      <c r="L6" s="1353">
        <v>50</v>
      </c>
      <c r="M6" s="1381">
        <v>50</v>
      </c>
    </row>
    <row r="7" customHeight="1" spans="1:13">
      <c r="A7" s="1354" t="s">
        <v>882</v>
      </c>
      <c r="B7" s="1355">
        <v>70</v>
      </c>
      <c r="C7" s="1355">
        <v>70</v>
      </c>
      <c r="D7" s="1355">
        <v>55</v>
      </c>
      <c r="E7" s="1355">
        <v>55</v>
      </c>
      <c r="F7" s="1355">
        <v>55</v>
      </c>
      <c r="G7" s="1355">
        <v>55</v>
      </c>
      <c r="H7" s="1355">
        <v>55</v>
      </c>
      <c r="I7" s="1355">
        <v>40</v>
      </c>
      <c r="J7" s="1355">
        <v>40</v>
      </c>
      <c r="K7" s="1355">
        <v>40</v>
      </c>
      <c r="L7" s="1355">
        <v>40</v>
      </c>
      <c r="M7" s="1382">
        <v>40</v>
      </c>
    </row>
    <row r="8" customHeight="1" spans="1:13">
      <c r="A8" s="1354" t="s">
        <v>883</v>
      </c>
      <c r="B8" s="1355">
        <v>20</v>
      </c>
      <c r="C8" s="1355">
        <v>20</v>
      </c>
      <c r="D8" s="1355">
        <v>15</v>
      </c>
      <c r="E8" s="1355">
        <v>15</v>
      </c>
      <c r="F8" s="1355">
        <v>15</v>
      </c>
      <c r="G8" s="1355">
        <v>15</v>
      </c>
      <c r="H8" s="1355">
        <v>15</v>
      </c>
      <c r="I8" s="1355">
        <v>10</v>
      </c>
      <c r="J8" s="1355">
        <v>10</v>
      </c>
      <c r="K8" s="1355">
        <v>10</v>
      </c>
      <c r="L8" s="1355">
        <v>10</v>
      </c>
      <c r="M8" s="1382">
        <v>10</v>
      </c>
    </row>
    <row r="9" customHeight="1" spans="1:13">
      <c r="A9" s="1354" t="s">
        <v>884</v>
      </c>
      <c r="B9" s="1355">
        <v>30</v>
      </c>
      <c r="C9" s="1355">
        <v>30</v>
      </c>
      <c r="D9" s="1355">
        <v>25</v>
      </c>
      <c r="E9" s="1355">
        <v>25</v>
      </c>
      <c r="F9" s="1355">
        <v>25</v>
      </c>
      <c r="G9" s="1355">
        <v>25</v>
      </c>
      <c r="H9" s="1355">
        <v>25</v>
      </c>
      <c r="I9" s="1355">
        <v>20</v>
      </c>
      <c r="J9" s="1355">
        <v>20</v>
      </c>
      <c r="K9" s="1355">
        <v>20</v>
      </c>
      <c r="L9" s="1355">
        <v>20</v>
      </c>
      <c r="M9" s="1382">
        <v>20</v>
      </c>
    </row>
    <row r="10" customHeight="1" spans="1:13">
      <c r="A10" s="1354" t="s">
        <v>885</v>
      </c>
      <c r="B10" s="1355">
        <v>45</v>
      </c>
      <c r="C10" s="1355">
        <v>45</v>
      </c>
      <c r="D10" s="1355">
        <v>35</v>
      </c>
      <c r="E10" s="1355">
        <v>35</v>
      </c>
      <c r="F10" s="1355">
        <v>35</v>
      </c>
      <c r="G10" s="1355">
        <v>35</v>
      </c>
      <c r="H10" s="1355">
        <v>35</v>
      </c>
      <c r="I10" s="1355">
        <v>25</v>
      </c>
      <c r="J10" s="1355">
        <v>25</v>
      </c>
      <c r="K10" s="1355">
        <v>25</v>
      </c>
      <c r="L10" s="1355">
        <v>25</v>
      </c>
      <c r="M10" s="1382">
        <v>25</v>
      </c>
    </row>
    <row r="11" customHeight="1" spans="1:13">
      <c r="A11" s="1354" t="s">
        <v>1597</v>
      </c>
      <c r="B11" s="1355">
        <v>60</v>
      </c>
      <c r="C11" s="1355">
        <v>60</v>
      </c>
      <c r="D11" s="1355">
        <v>50</v>
      </c>
      <c r="E11" s="1355">
        <v>50</v>
      </c>
      <c r="F11" s="1355">
        <v>50</v>
      </c>
      <c r="G11" s="1355">
        <v>50</v>
      </c>
      <c r="H11" s="1355">
        <v>50</v>
      </c>
      <c r="I11" s="1355">
        <v>40</v>
      </c>
      <c r="J11" s="1355">
        <v>40</v>
      </c>
      <c r="K11" s="1355">
        <v>40</v>
      </c>
      <c r="L11" s="1355">
        <v>40</v>
      </c>
      <c r="M11" s="1382">
        <v>40</v>
      </c>
    </row>
    <row r="12" customHeight="1" spans="1:13">
      <c r="A12" s="1354" t="s">
        <v>887</v>
      </c>
      <c r="B12" s="1355">
        <v>50</v>
      </c>
      <c r="C12" s="1355">
        <v>50</v>
      </c>
      <c r="D12" s="1355">
        <v>40</v>
      </c>
      <c r="E12" s="1355">
        <v>40</v>
      </c>
      <c r="F12" s="1355">
        <v>40</v>
      </c>
      <c r="G12" s="1355">
        <v>40</v>
      </c>
      <c r="H12" s="1355">
        <v>40</v>
      </c>
      <c r="I12" s="1355">
        <v>30</v>
      </c>
      <c r="J12" s="1355">
        <v>30</v>
      </c>
      <c r="K12" s="1355">
        <v>30</v>
      </c>
      <c r="L12" s="1355">
        <v>30</v>
      </c>
      <c r="M12" s="1382">
        <v>30</v>
      </c>
    </row>
    <row r="13" customHeight="1" spans="1:13">
      <c r="A13" s="1356" t="s">
        <v>886</v>
      </c>
      <c r="B13" s="1357">
        <v>20</v>
      </c>
      <c r="C13" s="1357">
        <v>20</v>
      </c>
      <c r="D13" s="1357">
        <v>15</v>
      </c>
      <c r="E13" s="1357">
        <v>15</v>
      </c>
      <c r="F13" s="1357">
        <v>15</v>
      </c>
      <c r="G13" s="1357">
        <v>15</v>
      </c>
      <c r="H13" s="1357">
        <v>15</v>
      </c>
      <c r="I13" s="1357">
        <v>10</v>
      </c>
      <c r="J13" s="1357">
        <v>10</v>
      </c>
      <c r="K13" s="1357">
        <v>10</v>
      </c>
      <c r="L13" s="1357">
        <v>10</v>
      </c>
      <c r="M13" s="1383">
        <v>10</v>
      </c>
    </row>
    <row r="14" customHeight="1" spans="1:13">
      <c r="A14" s="1355" t="s">
        <v>138</v>
      </c>
      <c r="B14" s="1358">
        <v>0</v>
      </c>
      <c r="C14" s="1358">
        <v>0</v>
      </c>
      <c r="D14" s="1358">
        <v>0</v>
      </c>
      <c r="E14" s="1358">
        <v>0</v>
      </c>
      <c r="F14" s="1358">
        <v>0</v>
      </c>
      <c r="G14" s="1358">
        <v>0</v>
      </c>
      <c r="H14" s="1358">
        <v>0</v>
      </c>
      <c r="I14" s="1358">
        <v>0</v>
      </c>
      <c r="J14" s="1358">
        <v>0</v>
      </c>
      <c r="K14" s="1358">
        <v>0</v>
      </c>
      <c r="L14" s="1358">
        <v>0</v>
      </c>
      <c r="M14" s="1358">
        <v>0</v>
      </c>
    </row>
    <row r="15" customHeight="1" spans="1:13">
      <c r="A15" s="1359" t="s">
        <v>879</v>
      </c>
      <c r="B15" s="1360">
        <f>SUM(B6:B13)</f>
        <v>375</v>
      </c>
      <c r="C15" s="1360">
        <f t="shared" ref="C15:H15" si="0">SUM(C6:C13)</f>
        <v>375</v>
      </c>
      <c r="D15" s="1360">
        <f t="shared" si="0"/>
        <v>300</v>
      </c>
      <c r="E15" s="1360">
        <f t="shared" si="0"/>
        <v>300</v>
      </c>
      <c r="F15" s="1360">
        <f t="shared" si="0"/>
        <v>300</v>
      </c>
      <c r="G15" s="1360">
        <f t="shared" si="0"/>
        <v>300</v>
      </c>
      <c r="H15" s="1360">
        <f t="shared" si="0"/>
        <v>300</v>
      </c>
      <c r="I15" s="1360">
        <f>SUM(I6:I10,I13)</f>
        <v>155</v>
      </c>
      <c r="J15" s="1360">
        <f t="shared" ref="J15:M15" si="1">SUM(J6:J10,J13)</f>
        <v>155</v>
      </c>
      <c r="K15" s="1360">
        <f t="shared" si="1"/>
        <v>155</v>
      </c>
      <c r="L15" s="1360">
        <f t="shared" si="1"/>
        <v>155</v>
      </c>
      <c r="M15" s="1360">
        <f t="shared" si="1"/>
        <v>155</v>
      </c>
    </row>
    <row r="16" customHeight="1" spans="1:7">
      <c r="A16" s="1361" t="s">
        <v>1598</v>
      </c>
      <c r="B16" s="1361"/>
      <c r="C16" s="1362"/>
      <c r="D16" s="1362"/>
      <c r="E16" s="1361"/>
      <c r="F16" s="1362"/>
      <c r="G16" s="1362"/>
    </row>
    <row r="17" customHeight="1" spans="1:7">
      <c r="A17" s="1355" t="s">
        <v>348</v>
      </c>
      <c r="B17" s="1363" t="s">
        <v>1599</v>
      </c>
      <c r="C17" s="1363" t="s">
        <v>1600</v>
      </c>
      <c r="D17" s="1364"/>
      <c r="E17" s="1355" t="s">
        <v>1601</v>
      </c>
      <c r="F17" s="1365"/>
      <c r="G17" s="1365"/>
    </row>
    <row r="18" s="1341" customFormat="1" customHeight="1" spans="1:9">
      <c r="A18" s="1366" t="s">
        <v>376</v>
      </c>
      <c r="B18" s="1366" t="s">
        <v>1602</v>
      </c>
      <c r="C18" s="1367" t="s">
        <v>1603</v>
      </c>
      <c r="D18" s="1368"/>
      <c r="E18" s="1366">
        <v>1</v>
      </c>
      <c r="F18" s="1369" t="s">
        <v>1604</v>
      </c>
      <c r="G18" s="1370"/>
      <c r="H18" s="1301"/>
      <c r="I18" s="1301"/>
    </row>
    <row r="19" s="1341" customFormat="1" customHeight="1" spans="1:9">
      <c r="A19" s="1366"/>
      <c r="B19" s="1366" t="s">
        <v>1605</v>
      </c>
      <c r="C19" s="1367" t="s">
        <v>1606</v>
      </c>
      <c r="D19" s="1368"/>
      <c r="E19" s="1366">
        <v>0.9</v>
      </c>
      <c r="F19" s="1369" t="s">
        <v>1607</v>
      </c>
      <c r="G19" s="1370"/>
      <c r="H19" s="1301"/>
      <c r="I19" s="1301"/>
    </row>
    <row r="20" s="1341" customFormat="1" customHeight="1" spans="1:9">
      <c r="A20" s="1366"/>
      <c r="B20" s="1366"/>
      <c r="C20" s="1367" t="s">
        <v>1608</v>
      </c>
      <c r="D20" s="1368"/>
      <c r="E20" s="1366">
        <v>1.1</v>
      </c>
      <c r="F20" s="1369" t="s">
        <v>1609</v>
      </c>
      <c r="G20" s="1370"/>
      <c r="H20" s="1301"/>
      <c r="I20" s="1301"/>
    </row>
    <row r="21" s="1341" customFormat="1" customHeight="1" spans="1:9">
      <c r="A21" s="1366"/>
      <c r="B21" s="1366"/>
      <c r="C21" s="1367" t="s">
        <v>1610</v>
      </c>
      <c r="D21" s="1368"/>
      <c r="E21" s="1366">
        <v>0.8</v>
      </c>
      <c r="F21" s="1369" t="s">
        <v>1611</v>
      </c>
      <c r="G21" s="1370"/>
      <c r="H21" s="1301"/>
      <c r="I21" s="1301"/>
    </row>
    <row r="22" s="1341" customFormat="1" customHeight="1" spans="1:9">
      <c r="A22" s="1366"/>
      <c r="B22" s="1366"/>
      <c r="C22" s="1367" t="s">
        <v>1612</v>
      </c>
      <c r="D22" s="1368"/>
      <c r="E22" s="1366">
        <v>0.5</v>
      </c>
      <c r="F22" s="1369"/>
      <c r="G22" s="1370"/>
      <c r="H22" s="1301"/>
      <c r="I22" s="1301"/>
    </row>
    <row r="23" s="1341" customFormat="1" customHeight="1" spans="1:9">
      <c r="A23" s="1366" t="s">
        <v>377</v>
      </c>
      <c r="B23" s="1366" t="s">
        <v>1602</v>
      </c>
      <c r="C23" s="1367" t="s">
        <v>1613</v>
      </c>
      <c r="D23" s="1368"/>
      <c r="E23" s="1366">
        <v>1</v>
      </c>
      <c r="F23" s="1369" t="s">
        <v>1614</v>
      </c>
      <c r="G23" s="1370"/>
      <c r="H23" s="1301"/>
      <c r="I23" s="1301"/>
    </row>
    <row r="24" s="1341" customFormat="1" customHeight="1" spans="1:9">
      <c r="A24" s="1366"/>
      <c r="B24" s="1366" t="s">
        <v>1605</v>
      </c>
      <c r="C24" s="1367" t="s">
        <v>1615</v>
      </c>
      <c r="D24" s="1368"/>
      <c r="E24" s="1366">
        <v>0.5</v>
      </c>
      <c r="F24" s="1369"/>
      <c r="G24" s="1370"/>
      <c r="H24" s="1301"/>
      <c r="I24" s="1301"/>
    </row>
    <row r="25" s="1341" customFormat="1" customHeight="1" spans="1:9">
      <c r="A25" s="1366"/>
      <c r="B25" s="1366"/>
      <c r="C25" s="1367" t="s">
        <v>1616</v>
      </c>
      <c r="D25" s="1368"/>
      <c r="E25" s="1366">
        <v>1.1</v>
      </c>
      <c r="F25" s="1369"/>
      <c r="G25" s="1370"/>
      <c r="H25" s="1301"/>
      <c r="I25" s="1301"/>
    </row>
    <row r="26" s="1341" customFormat="1" customHeight="1" spans="1:9">
      <c r="A26" s="1366"/>
      <c r="B26" s="1366"/>
      <c r="C26" s="1367" t="s">
        <v>1617</v>
      </c>
      <c r="D26" s="1368"/>
      <c r="E26" s="1366">
        <v>1.1</v>
      </c>
      <c r="F26" s="1369"/>
      <c r="G26" s="1370"/>
      <c r="H26" s="1301"/>
      <c r="I26" s="1301"/>
    </row>
    <row r="27" s="1341" customFormat="1" customHeight="1" spans="1:9">
      <c r="A27" s="1366"/>
      <c r="B27" s="1366"/>
      <c r="C27" s="1367" t="s">
        <v>812</v>
      </c>
      <c r="D27" s="1368"/>
      <c r="E27" s="1366">
        <v>0.9</v>
      </c>
      <c r="F27" s="1369" t="s">
        <v>1618</v>
      </c>
      <c r="G27" s="1370"/>
      <c r="H27" s="1301"/>
      <c r="I27" s="1301"/>
    </row>
    <row r="28" s="1341" customFormat="1" customHeight="1" spans="1:9">
      <c r="A28" s="1366"/>
      <c r="B28" s="1366"/>
      <c r="C28" s="1367" t="s">
        <v>1619</v>
      </c>
      <c r="D28" s="1368"/>
      <c r="E28" s="1366">
        <v>0.9</v>
      </c>
      <c r="F28" s="1369" t="s">
        <v>1620</v>
      </c>
      <c r="G28" s="1370"/>
      <c r="H28" s="1301"/>
      <c r="I28" s="1301"/>
    </row>
    <row r="29" s="1341" customFormat="1" customHeight="1" spans="1:9">
      <c r="A29" s="1366"/>
      <c r="B29" s="1366"/>
      <c r="C29" s="1367" t="s">
        <v>1621</v>
      </c>
      <c r="D29" s="1368"/>
      <c r="E29" s="1366">
        <v>0.9</v>
      </c>
      <c r="F29" s="1369" t="s">
        <v>1622</v>
      </c>
      <c r="G29" s="1370"/>
      <c r="H29" s="1301"/>
      <c r="I29" s="1301"/>
    </row>
    <row r="30" s="1341" customFormat="1" customHeight="1" spans="1:9">
      <c r="A30" s="1366"/>
      <c r="B30" s="1366"/>
      <c r="C30" s="1367" t="s">
        <v>1623</v>
      </c>
      <c r="D30" s="1368"/>
      <c r="E30" s="1366">
        <v>0.9</v>
      </c>
      <c r="F30" s="1369" t="s">
        <v>1624</v>
      </c>
      <c r="G30" s="1370"/>
      <c r="H30" s="1301"/>
      <c r="I30" s="1301"/>
    </row>
    <row r="31" s="1341" customFormat="1" customHeight="1" spans="1:9">
      <c r="A31" s="1366"/>
      <c r="B31" s="1366"/>
      <c r="C31" s="1367" t="s">
        <v>1625</v>
      </c>
      <c r="D31" s="1368"/>
      <c r="E31" s="1366">
        <v>0.8</v>
      </c>
      <c r="F31" s="1369" t="s">
        <v>1626</v>
      </c>
      <c r="G31" s="1370"/>
      <c r="H31" s="1301"/>
      <c r="I31" s="1301"/>
    </row>
    <row r="32" s="1341" customFormat="1" customHeight="1" spans="1:9">
      <c r="A32" s="1366"/>
      <c r="B32" s="1366"/>
      <c r="C32" s="1367" t="s">
        <v>1627</v>
      </c>
      <c r="D32" s="1368"/>
      <c r="E32" s="1366">
        <v>0.8</v>
      </c>
      <c r="F32" s="1369" t="s">
        <v>1628</v>
      </c>
      <c r="G32" s="1370"/>
      <c r="H32" s="1301"/>
      <c r="I32" s="1301"/>
    </row>
    <row r="33" s="1341" customFormat="1" customHeight="1" spans="1:9">
      <c r="A33" s="1366" t="s">
        <v>1629</v>
      </c>
      <c r="B33" s="1366" t="s">
        <v>1602</v>
      </c>
      <c r="C33" s="1367" t="s">
        <v>1630</v>
      </c>
      <c r="D33" s="1368"/>
      <c r="E33" s="1366">
        <v>1</v>
      </c>
      <c r="F33" s="1369" t="s">
        <v>1631</v>
      </c>
      <c r="G33" s="1370"/>
      <c r="H33" s="1301"/>
      <c r="I33" s="1301"/>
    </row>
    <row r="34" s="1341" customFormat="1" customHeight="1" spans="1:9">
      <c r="A34" s="1366"/>
      <c r="B34" s="1366" t="s">
        <v>1605</v>
      </c>
      <c r="C34" s="1367" t="s">
        <v>1632</v>
      </c>
      <c r="D34" s="1368"/>
      <c r="E34" s="1366">
        <v>1.5</v>
      </c>
      <c r="F34" s="1369" t="s">
        <v>1633</v>
      </c>
      <c r="G34" s="1370"/>
      <c r="H34" s="1301"/>
      <c r="I34" s="1301"/>
    </row>
    <row r="35" s="1341" customFormat="1" customHeight="1" spans="1:9">
      <c r="A35" s="1366" t="s">
        <v>164</v>
      </c>
      <c r="B35" s="1366" t="s">
        <v>1602</v>
      </c>
      <c r="C35" s="1367" t="s">
        <v>1634</v>
      </c>
      <c r="D35" s="1368"/>
      <c r="E35" s="1366">
        <v>1</v>
      </c>
      <c r="F35" s="1369" t="s">
        <v>1635</v>
      </c>
      <c r="G35" s="1370"/>
      <c r="H35" s="1301"/>
      <c r="I35" s="1301"/>
    </row>
    <row r="36" s="1341" customFormat="1" customHeight="1" spans="1:9">
      <c r="A36" s="1366"/>
      <c r="B36" s="1366" t="s">
        <v>1605</v>
      </c>
      <c r="C36" s="1367" t="s">
        <v>1636</v>
      </c>
      <c r="D36" s="1368"/>
      <c r="E36" s="1366">
        <v>1</v>
      </c>
      <c r="F36" s="1369" t="s">
        <v>1637</v>
      </c>
      <c r="G36" s="1370"/>
      <c r="H36" s="1301"/>
      <c r="I36" s="1301"/>
    </row>
    <row r="37" s="1341" customFormat="1" customHeight="1" spans="1:9">
      <c r="A37" s="1366"/>
      <c r="B37" s="1366"/>
      <c r="C37" s="1367" t="s">
        <v>1638</v>
      </c>
      <c r="D37" s="1368"/>
      <c r="E37" s="1366">
        <v>1.5</v>
      </c>
      <c r="F37" s="1369" t="s">
        <v>1639</v>
      </c>
      <c r="G37" s="1370"/>
      <c r="H37" s="1301"/>
      <c r="I37" s="1301"/>
    </row>
    <row r="38" s="1341" customFormat="1" customHeight="1" spans="1:9">
      <c r="A38" s="1366"/>
      <c r="B38" s="1366"/>
      <c r="C38" s="1367" t="s">
        <v>1640</v>
      </c>
      <c r="D38" s="1368"/>
      <c r="E38" s="1366">
        <v>1</v>
      </c>
      <c r="F38" s="1369" t="s">
        <v>1641</v>
      </c>
      <c r="G38" s="1370"/>
      <c r="H38" s="1301"/>
      <c r="I38" s="1301"/>
    </row>
    <row r="39" s="1341" customFormat="1" customHeight="1" spans="1:9">
      <c r="A39" s="1366"/>
      <c r="B39" s="1366"/>
      <c r="C39" s="1367" t="s">
        <v>1642</v>
      </c>
      <c r="D39" s="1368"/>
      <c r="E39" s="1366">
        <v>1</v>
      </c>
      <c r="F39" s="1369" t="s">
        <v>1643</v>
      </c>
      <c r="G39" s="1370"/>
      <c r="H39" s="1301"/>
      <c r="I39" s="1301"/>
    </row>
    <row r="40" s="1341" customFormat="1" customHeight="1" spans="1:9">
      <c r="A40" s="1371" t="s">
        <v>1644</v>
      </c>
      <c r="B40" s="1371"/>
      <c r="C40" s="1371"/>
      <c r="D40" s="1371"/>
      <c r="E40" s="1371"/>
      <c r="F40" s="1369"/>
      <c r="G40" s="1369"/>
      <c r="H40" s="1301"/>
      <c r="I40" s="1301"/>
    </row>
    <row r="42" customHeight="1" spans="1:8">
      <c r="A42" s="1372"/>
      <c r="B42" s="1355" t="s">
        <v>491</v>
      </c>
      <c r="C42" s="1355" t="s">
        <v>491</v>
      </c>
      <c r="D42" s="1355" t="s">
        <v>491</v>
      </c>
      <c r="E42" s="1357" t="s">
        <v>491</v>
      </c>
      <c r="F42" s="1357" t="s">
        <v>491</v>
      </c>
      <c r="G42" s="1357" t="s">
        <v>780</v>
      </c>
      <c r="H42" s="1357" t="s">
        <v>491</v>
      </c>
    </row>
    <row r="43" customHeight="1" spans="1:8">
      <c r="A43" s="1373"/>
      <c r="B43" s="1357" t="s">
        <v>376</v>
      </c>
      <c r="C43" s="1357" t="s">
        <v>376</v>
      </c>
      <c r="D43" s="1357" t="s">
        <v>376</v>
      </c>
      <c r="E43" s="1357" t="s">
        <v>376</v>
      </c>
      <c r="F43" s="1355" t="s">
        <v>377</v>
      </c>
      <c r="G43" s="1355" t="s">
        <v>164</v>
      </c>
      <c r="H43" s="1355" t="s">
        <v>378</v>
      </c>
    </row>
    <row r="44" customHeight="1" spans="1:8">
      <c r="A44" s="1374"/>
      <c r="B44" s="1355">
        <v>1</v>
      </c>
      <c r="C44" s="1355">
        <v>2</v>
      </c>
      <c r="D44" s="1355">
        <v>3</v>
      </c>
      <c r="E44" s="1357">
        <v>4</v>
      </c>
      <c r="F44" s="1364" t="s">
        <v>1645</v>
      </c>
      <c r="G44" s="1364" t="s">
        <v>1645</v>
      </c>
      <c r="H44" s="1364" t="s">
        <v>1645</v>
      </c>
    </row>
    <row r="45" customHeight="1" spans="1:8">
      <c r="A45" s="1375" t="s">
        <v>240</v>
      </c>
      <c r="B45" s="1355">
        <v>0.8</v>
      </c>
      <c r="C45" s="1355">
        <v>0.5</v>
      </c>
      <c r="D45" s="1355">
        <v>0.36</v>
      </c>
      <c r="E45" s="1355">
        <v>0.3</v>
      </c>
      <c r="F45" s="1364">
        <v>0.3</v>
      </c>
      <c r="G45" s="1355">
        <v>0.3</v>
      </c>
      <c r="H45" s="1355">
        <v>0.25</v>
      </c>
    </row>
    <row r="46" customHeight="1" spans="1:8">
      <c r="A46" s="1375" t="s">
        <v>253</v>
      </c>
      <c r="B46" s="1355">
        <v>0.8</v>
      </c>
      <c r="C46" s="1355">
        <v>0.5</v>
      </c>
      <c r="D46" s="1355">
        <v>0.36</v>
      </c>
      <c r="E46" s="1355">
        <v>0.3</v>
      </c>
      <c r="F46" s="1355">
        <v>0.3</v>
      </c>
      <c r="G46" s="1355">
        <v>0.3</v>
      </c>
      <c r="H46" s="1355">
        <v>0.25</v>
      </c>
    </row>
    <row r="47" customHeight="1" spans="1:8">
      <c r="A47" s="1375" t="s">
        <v>265</v>
      </c>
      <c r="B47" s="1355">
        <v>0.7</v>
      </c>
      <c r="C47" s="1355">
        <v>0.4</v>
      </c>
      <c r="D47" s="1355">
        <v>0.28</v>
      </c>
      <c r="E47" s="1355">
        <v>0.25</v>
      </c>
      <c r="F47" s="1355">
        <v>0.25</v>
      </c>
      <c r="G47" s="1355">
        <v>0.25</v>
      </c>
      <c r="H47" s="1355">
        <v>0.2</v>
      </c>
    </row>
    <row r="48" customHeight="1" spans="1:8">
      <c r="A48" s="1375" t="s">
        <v>275</v>
      </c>
      <c r="B48" s="1355">
        <v>0.7</v>
      </c>
      <c r="C48" s="1355">
        <v>0.4</v>
      </c>
      <c r="D48" s="1355">
        <v>0.28</v>
      </c>
      <c r="E48" s="1355">
        <v>0.25</v>
      </c>
      <c r="F48" s="1355">
        <v>0.25</v>
      </c>
      <c r="G48" s="1355">
        <v>0.25</v>
      </c>
      <c r="H48" s="1355">
        <v>0.2</v>
      </c>
    </row>
    <row r="49" s="1301" customFormat="1" customHeight="1" spans="1:8">
      <c r="A49" s="1375" t="s">
        <v>284</v>
      </c>
      <c r="B49" s="1355">
        <v>0.7</v>
      </c>
      <c r="C49" s="1355">
        <v>0.4</v>
      </c>
      <c r="D49" s="1355">
        <v>0.28</v>
      </c>
      <c r="E49" s="1355">
        <v>0.25</v>
      </c>
      <c r="F49" s="1355">
        <v>0.25</v>
      </c>
      <c r="G49" s="1355">
        <v>0.25</v>
      </c>
      <c r="H49" s="1355">
        <v>0.2</v>
      </c>
    </row>
    <row r="50" s="1301" customFormat="1" customHeight="1" spans="1:8">
      <c r="A50" s="1375" t="s">
        <v>292</v>
      </c>
      <c r="B50" s="1355">
        <v>0.7</v>
      </c>
      <c r="C50" s="1355">
        <v>0.4</v>
      </c>
      <c r="D50" s="1355">
        <v>0.28</v>
      </c>
      <c r="E50" s="1355">
        <v>0.25</v>
      </c>
      <c r="F50" s="1355">
        <v>0.25</v>
      </c>
      <c r="G50" s="1355">
        <v>0.25</v>
      </c>
      <c r="H50" s="1355">
        <v>0.2</v>
      </c>
    </row>
    <row r="51" s="1301" customFormat="1" customHeight="1" spans="1:8">
      <c r="A51" s="1375" t="s">
        <v>297</v>
      </c>
      <c r="B51" s="1355">
        <v>0.7</v>
      </c>
      <c r="C51" s="1355">
        <v>0.4</v>
      </c>
      <c r="D51" s="1355">
        <v>0.28</v>
      </c>
      <c r="E51" s="1355">
        <v>0.25</v>
      </c>
      <c r="F51" s="1355">
        <v>0.25</v>
      </c>
      <c r="G51" s="1355">
        <v>0.25</v>
      </c>
      <c r="H51" s="1355">
        <v>0.2</v>
      </c>
    </row>
    <row r="52" s="1301" customFormat="1" customHeight="1" spans="1:8">
      <c r="A52" s="1375" t="s">
        <v>302</v>
      </c>
      <c r="B52" s="1355">
        <v>0.6</v>
      </c>
      <c r="C52" s="1355">
        <v>0.3</v>
      </c>
      <c r="D52" s="1355">
        <v>0.2</v>
      </c>
      <c r="E52" s="1355">
        <v>0.2</v>
      </c>
      <c r="F52" s="1355">
        <v>0.2</v>
      </c>
      <c r="G52" s="1355">
        <v>0.2</v>
      </c>
      <c r="H52" s="1355">
        <v>0.15</v>
      </c>
    </row>
    <row r="53" s="1301" customFormat="1" customHeight="1" spans="1:8">
      <c r="A53" s="1375" t="s">
        <v>305</v>
      </c>
      <c r="B53" s="1355">
        <v>0.6</v>
      </c>
      <c r="C53" s="1355">
        <v>0.3</v>
      </c>
      <c r="D53" s="1355">
        <v>0.2</v>
      </c>
      <c r="E53" s="1355">
        <v>0.2</v>
      </c>
      <c r="F53" s="1355">
        <v>0.2</v>
      </c>
      <c r="G53" s="1355">
        <v>0.2</v>
      </c>
      <c r="H53" s="1355">
        <v>0.15</v>
      </c>
    </row>
    <row r="54" s="1301" customFormat="1" customHeight="1" spans="1:8">
      <c r="A54" s="1375" t="s">
        <v>308</v>
      </c>
      <c r="B54" s="1355">
        <v>0.6</v>
      </c>
      <c r="C54" s="1355">
        <v>0.3</v>
      </c>
      <c r="D54" s="1355">
        <v>0.2</v>
      </c>
      <c r="E54" s="1355">
        <v>0.2</v>
      </c>
      <c r="F54" s="1355">
        <v>0.2</v>
      </c>
      <c r="G54" s="1355">
        <v>0.2</v>
      </c>
      <c r="H54" s="1355">
        <v>0.15</v>
      </c>
    </row>
    <row r="55" s="1301" customFormat="1" customHeight="1" spans="1:8">
      <c r="A55" s="1375" t="s">
        <v>311</v>
      </c>
      <c r="B55" s="1355">
        <v>0.6</v>
      </c>
      <c r="C55" s="1355">
        <v>0.3</v>
      </c>
      <c r="D55" s="1355">
        <v>0.2</v>
      </c>
      <c r="E55" s="1355">
        <v>0.2</v>
      </c>
      <c r="F55" s="1355">
        <v>0.2</v>
      </c>
      <c r="G55" s="1355">
        <v>0.2</v>
      </c>
      <c r="H55" s="1355">
        <v>0.15</v>
      </c>
    </row>
    <row r="56" s="1301" customFormat="1" customHeight="1" spans="1:8">
      <c r="A56" s="1375" t="s">
        <v>314</v>
      </c>
      <c r="B56" s="1355">
        <v>0.6</v>
      </c>
      <c r="C56" s="1355">
        <v>0.3</v>
      </c>
      <c r="D56" s="1355">
        <v>0.2</v>
      </c>
      <c r="E56" s="1355">
        <v>0.2</v>
      </c>
      <c r="F56" s="1355">
        <v>0.2</v>
      </c>
      <c r="G56" s="1355">
        <v>0.2</v>
      </c>
      <c r="H56" s="1355">
        <v>0.15</v>
      </c>
    </row>
    <row r="58" s="1301" customFormat="1" customHeight="1" spans="1:6">
      <c r="A58" s="1376"/>
      <c r="B58" s="1361"/>
      <c r="C58" s="1361"/>
      <c r="D58" s="1361" t="s">
        <v>1646</v>
      </c>
      <c r="E58" s="1361"/>
      <c r="F58" s="1361"/>
    </row>
    <row r="59" s="1301" customFormat="1" customHeight="1" spans="1:6">
      <c r="A59" s="1366" t="s">
        <v>1483</v>
      </c>
      <c r="B59" s="1366" t="s">
        <v>1647</v>
      </c>
      <c r="C59" s="1366" t="s">
        <v>1648</v>
      </c>
      <c r="D59" s="1366" t="s">
        <v>1649</v>
      </c>
      <c r="E59" s="1366" t="s">
        <v>849</v>
      </c>
      <c r="F59" s="1366" t="s">
        <v>1650</v>
      </c>
    </row>
    <row r="60" s="1301" customFormat="1" customHeight="1" spans="1:6">
      <c r="A60" s="1366"/>
      <c r="B60" s="1366"/>
      <c r="C60" s="1366" t="s">
        <v>832</v>
      </c>
      <c r="D60" s="1366"/>
      <c r="E60" s="1377" t="s">
        <v>138</v>
      </c>
      <c r="F60" s="1366" t="s">
        <v>138</v>
      </c>
    </row>
    <row r="61" s="1301" customFormat="1" ht="24" spans="1:8">
      <c r="A61" s="1366">
        <v>1</v>
      </c>
      <c r="B61" s="1366" t="s">
        <v>1651</v>
      </c>
      <c r="C61" s="1355" t="s">
        <v>1652</v>
      </c>
      <c r="D61" s="1355" t="s">
        <v>1653</v>
      </c>
      <c r="E61" s="1377">
        <v>0.5</v>
      </c>
      <c r="F61" s="1366">
        <v>80</v>
      </c>
      <c r="H61" s="1301">
        <f>SUMIF(C59:C119,基准地价!C8,E59:E119)</f>
        <v>0</v>
      </c>
    </row>
    <row r="62" s="1301" customFormat="1" ht="24" spans="1:6">
      <c r="A62" s="1366">
        <v>2</v>
      </c>
      <c r="B62" s="1366"/>
      <c r="C62" s="1355" t="s">
        <v>1654</v>
      </c>
      <c r="D62" s="1355" t="s">
        <v>1655</v>
      </c>
      <c r="E62" s="1377">
        <v>0.5</v>
      </c>
      <c r="F62" s="1366">
        <v>80</v>
      </c>
    </row>
    <row r="63" s="1301" customFormat="1" ht="36" spans="1:6">
      <c r="A63" s="1366">
        <v>3</v>
      </c>
      <c r="B63" s="1366"/>
      <c r="C63" s="1355" t="s">
        <v>1656</v>
      </c>
      <c r="D63" s="1355" t="s">
        <v>1657</v>
      </c>
      <c r="E63" s="1377">
        <v>0.5</v>
      </c>
      <c r="F63" s="1366">
        <v>80</v>
      </c>
    </row>
    <row r="64" s="1301" customFormat="1" ht="36" spans="1:6">
      <c r="A64" s="1366">
        <v>4</v>
      </c>
      <c r="B64" s="1366"/>
      <c r="C64" s="1355" t="s">
        <v>1658</v>
      </c>
      <c r="D64" s="1355" t="s">
        <v>1659</v>
      </c>
      <c r="E64" s="1377">
        <v>0.4</v>
      </c>
      <c r="F64" s="1366">
        <v>60</v>
      </c>
    </row>
    <row r="65" s="1301" customFormat="1" ht="36" spans="1:6">
      <c r="A65" s="1366">
        <v>5</v>
      </c>
      <c r="B65" s="1366"/>
      <c r="C65" s="1355" t="s">
        <v>1660</v>
      </c>
      <c r="D65" s="1355" t="s">
        <v>1661</v>
      </c>
      <c r="E65" s="1377">
        <v>0.2</v>
      </c>
      <c r="F65" s="1366">
        <v>30</v>
      </c>
    </row>
    <row r="66" s="1301" customFormat="1" ht="36" spans="1:6">
      <c r="A66" s="1366">
        <v>6</v>
      </c>
      <c r="B66" s="1366"/>
      <c r="C66" s="1355" t="s">
        <v>1662</v>
      </c>
      <c r="D66" s="1355" t="s">
        <v>1663</v>
      </c>
      <c r="E66" s="1377">
        <v>0.3</v>
      </c>
      <c r="F66" s="1366">
        <v>50</v>
      </c>
    </row>
    <row r="67" s="1301" customFormat="1" ht="36" spans="1:6">
      <c r="A67" s="1366">
        <v>7</v>
      </c>
      <c r="B67" s="1366"/>
      <c r="C67" s="1355" t="s">
        <v>1664</v>
      </c>
      <c r="D67" s="1355" t="s">
        <v>1665</v>
      </c>
      <c r="E67" s="1377">
        <v>0.2</v>
      </c>
      <c r="F67" s="1366">
        <v>30</v>
      </c>
    </row>
    <row r="68" s="1301" customFormat="1" ht="36" spans="1:6">
      <c r="A68" s="1366">
        <v>8</v>
      </c>
      <c r="B68" s="1366"/>
      <c r="C68" s="1355" t="s">
        <v>1666</v>
      </c>
      <c r="D68" s="1355" t="s">
        <v>1667</v>
      </c>
      <c r="E68" s="1377">
        <v>0.2</v>
      </c>
      <c r="F68" s="1366">
        <v>30</v>
      </c>
    </row>
    <row r="69" s="1301" customFormat="1" ht="36" spans="1:6">
      <c r="A69" s="1366">
        <v>9</v>
      </c>
      <c r="B69" s="1366"/>
      <c r="C69" s="1355" t="s">
        <v>1668</v>
      </c>
      <c r="D69" s="1355" t="s">
        <v>1669</v>
      </c>
      <c r="E69" s="1377">
        <v>0.2</v>
      </c>
      <c r="F69" s="1366">
        <v>30</v>
      </c>
    </row>
    <row r="70" s="1301" customFormat="1" ht="48" spans="1:6">
      <c r="A70" s="1366">
        <v>10</v>
      </c>
      <c r="B70" s="1366"/>
      <c r="C70" s="1355" t="s">
        <v>1670</v>
      </c>
      <c r="D70" s="1355" t="s">
        <v>1671</v>
      </c>
      <c r="E70" s="1377">
        <v>0.2</v>
      </c>
      <c r="F70" s="1366">
        <v>30</v>
      </c>
    </row>
    <row r="71" s="1301" customFormat="1" ht="48" spans="1:6">
      <c r="A71" s="1366">
        <v>11</v>
      </c>
      <c r="B71" s="1366"/>
      <c r="C71" s="1355" t="s">
        <v>1672</v>
      </c>
      <c r="D71" s="1355" t="s">
        <v>1673</v>
      </c>
      <c r="E71" s="1377">
        <v>0.2</v>
      </c>
      <c r="F71" s="1366">
        <v>30</v>
      </c>
    </row>
    <row r="72" s="1301" customFormat="1" ht="36" spans="1:6">
      <c r="A72" s="1366">
        <v>12</v>
      </c>
      <c r="B72" s="1366"/>
      <c r="C72" s="1355" t="s">
        <v>1674</v>
      </c>
      <c r="D72" s="1355" t="s">
        <v>1675</v>
      </c>
      <c r="E72" s="1377">
        <v>0.5</v>
      </c>
      <c r="F72" s="1366">
        <v>80</v>
      </c>
    </row>
    <row r="73" s="1301" customFormat="1" ht="36" spans="1:6">
      <c r="A73" s="1366">
        <v>13</v>
      </c>
      <c r="B73" s="1366"/>
      <c r="C73" s="1355" t="s">
        <v>1676</v>
      </c>
      <c r="D73" s="1355" t="s">
        <v>1677</v>
      </c>
      <c r="E73" s="1377">
        <v>0.4</v>
      </c>
      <c r="F73" s="1366">
        <v>60</v>
      </c>
    </row>
    <row r="74" s="1301" customFormat="1" ht="36" spans="1:6">
      <c r="A74" s="1366">
        <v>14</v>
      </c>
      <c r="B74" s="1366"/>
      <c r="C74" s="1355" t="s">
        <v>1678</v>
      </c>
      <c r="D74" s="1355" t="s">
        <v>1679</v>
      </c>
      <c r="E74" s="1377">
        <v>0.2</v>
      </c>
      <c r="F74" s="1366">
        <v>30</v>
      </c>
    </row>
    <row r="75" s="1301" customFormat="1" ht="36" spans="1:6">
      <c r="A75" s="1366">
        <v>15</v>
      </c>
      <c r="B75" s="1366"/>
      <c r="C75" s="1355" t="s">
        <v>1680</v>
      </c>
      <c r="D75" s="1355" t="s">
        <v>1681</v>
      </c>
      <c r="E75" s="1377">
        <v>0.2</v>
      </c>
      <c r="F75" s="1366">
        <v>30</v>
      </c>
    </row>
    <row r="76" s="1301" customFormat="1" ht="24" spans="1:6">
      <c r="A76" s="1366">
        <v>16</v>
      </c>
      <c r="B76" s="1366" t="s">
        <v>1682</v>
      </c>
      <c r="C76" s="1355" t="s">
        <v>1683</v>
      </c>
      <c r="D76" s="1355" t="s">
        <v>1684</v>
      </c>
      <c r="E76" s="1377">
        <v>0.5</v>
      </c>
      <c r="F76" s="1366">
        <v>80</v>
      </c>
    </row>
    <row r="77" s="1301" customFormat="1" ht="24" spans="1:6">
      <c r="A77" s="1366">
        <v>17</v>
      </c>
      <c r="B77" s="1366"/>
      <c r="C77" s="1355" t="s">
        <v>1685</v>
      </c>
      <c r="D77" s="1355" t="s">
        <v>1686</v>
      </c>
      <c r="E77" s="1377">
        <v>0.5</v>
      </c>
      <c r="F77" s="1366">
        <v>80</v>
      </c>
    </row>
    <row r="78" s="1301" customFormat="1" ht="36" spans="1:6">
      <c r="A78" s="1366">
        <v>18</v>
      </c>
      <c r="B78" s="1366"/>
      <c r="C78" s="1355" t="s">
        <v>1687</v>
      </c>
      <c r="D78" s="1355" t="s">
        <v>1688</v>
      </c>
      <c r="E78" s="1377">
        <v>0.2</v>
      </c>
      <c r="F78" s="1366">
        <v>30</v>
      </c>
    </row>
    <row r="79" s="1301" customFormat="1" ht="24" spans="1:6">
      <c r="A79" s="1366">
        <v>19</v>
      </c>
      <c r="B79" s="1366"/>
      <c r="C79" s="1355" t="s">
        <v>1689</v>
      </c>
      <c r="D79" s="1355" t="s">
        <v>1690</v>
      </c>
      <c r="E79" s="1377">
        <v>0.5</v>
      </c>
      <c r="F79" s="1366">
        <v>80</v>
      </c>
    </row>
    <row r="80" s="1301" customFormat="1" ht="36" spans="1:6">
      <c r="A80" s="1366">
        <v>20</v>
      </c>
      <c r="B80" s="1366"/>
      <c r="C80" s="1355" t="s">
        <v>1691</v>
      </c>
      <c r="D80" s="1355" t="s">
        <v>1692</v>
      </c>
      <c r="E80" s="1377">
        <v>0.2</v>
      </c>
      <c r="F80" s="1366">
        <v>30</v>
      </c>
    </row>
    <row r="81" s="1301" customFormat="1" ht="36" spans="1:6">
      <c r="A81" s="1366">
        <v>21</v>
      </c>
      <c r="B81" s="1366"/>
      <c r="C81" s="1355" t="s">
        <v>1693</v>
      </c>
      <c r="D81" s="1355" t="s">
        <v>1694</v>
      </c>
      <c r="E81" s="1377">
        <v>0.2</v>
      </c>
      <c r="F81" s="1366">
        <v>30</v>
      </c>
    </row>
    <row r="82" s="1301" customFormat="1" ht="48" spans="1:6">
      <c r="A82" s="1366">
        <v>22</v>
      </c>
      <c r="B82" s="1366"/>
      <c r="C82" s="1355" t="s">
        <v>1695</v>
      </c>
      <c r="D82" s="1355" t="s">
        <v>1696</v>
      </c>
      <c r="E82" s="1377">
        <v>0.2</v>
      </c>
      <c r="F82" s="1366">
        <v>30</v>
      </c>
    </row>
    <row r="83" s="1301" customFormat="1" ht="48" spans="1:6">
      <c r="A83" s="1366">
        <v>23</v>
      </c>
      <c r="B83" s="1366"/>
      <c r="C83" s="1355" t="s">
        <v>1697</v>
      </c>
      <c r="D83" s="1355" t="s">
        <v>1698</v>
      </c>
      <c r="E83" s="1377">
        <v>0.2</v>
      </c>
      <c r="F83" s="1366">
        <v>30</v>
      </c>
    </row>
    <row r="84" s="1301" customFormat="1" ht="36" spans="1:6">
      <c r="A84" s="1366">
        <v>24</v>
      </c>
      <c r="B84" s="1366"/>
      <c r="C84" s="1355" t="s">
        <v>1699</v>
      </c>
      <c r="D84" s="1355" t="s">
        <v>1700</v>
      </c>
      <c r="E84" s="1377">
        <v>0.2</v>
      </c>
      <c r="F84" s="1366">
        <v>30</v>
      </c>
    </row>
    <row r="85" s="1301" customFormat="1" ht="36" spans="1:6">
      <c r="A85" s="1366">
        <v>25</v>
      </c>
      <c r="B85" s="1366"/>
      <c r="C85" s="1355" t="s">
        <v>1701</v>
      </c>
      <c r="D85" s="1355" t="s">
        <v>1702</v>
      </c>
      <c r="E85" s="1377">
        <v>0.5</v>
      </c>
      <c r="F85" s="1366">
        <v>80</v>
      </c>
    </row>
    <row r="86" s="1301" customFormat="1" ht="36" spans="1:6">
      <c r="A86" s="1366">
        <v>26</v>
      </c>
      <c r="B86" s="1366"/>
      <c r="C86" s="1355" t="s">
        <v>1703</v>
      </c>
      <c r="D86" s="1355" t="s">
        <v>1704</v>
      </c>
      <c r="E86" s="1377">
        <v>0.2</v>
      </c>
      <c r="F86" s="1366">
        <v>30</v>
      </c>
    </row>
    <row r="87" s="1301" customFormat="1" ht="36" spans="1:6">
      <c r="A87" s="1366">
        <v>27</v>
      </c>
      <c r="B87" s="1366"/>
      <c r="C87" s="1355" t="s">
        <v>1705</v>
      </c>
      <c r="D87" s="1355" t="s">
        <v>1706</v>
      </c>
      <c r="E87" s="1377">
        <v>0.2</v>
      </c>
      <c r="F87" s="1366">
        <v>30</v>
      </c>
    </row>
    <row r="88" s="1301" customFormat="1" ht="36" spans="1:6">
      <c r="A88" s="1366">
        <v>28</v>
      </c>
      <c r="B88" s="1366"/>
      <c r="C88" s="1355" t="s">
        <v>1707</v>
      </c>
      <c r="D88" s="1355" t="s">
        <v>1708</v>
      </c>
      <c r="E88" s="1377">
        <v>0.2</v>
      </c>
      <c r="F88" s="1366">
        <v>30</v>
      </c>
    </row>
    <row r="89" s="1301" customFormat="1" ht="36" spans="1:6">
      <c r="A89" s="1366">
        <v>29</v>
      </c>
      <c r="B89" s="1366"/>
      <c r="C89" s="1355" t="s">
        <v>1709</v>
      </c>
      <c r="D89" s="1355" t="s">
        <v>1710</v>
      </c>
      <c r="E89" s="1377">
        <v>0.2</v>
      </c>
      <c r="F89" s="1366">
        <v>30</v>
      </c>
    </row>
    <row r="90" s="1301" customFormat="1" ht="36" spans="1:6">
      <c r="A90" s="1366">
        <v>30</v>
      </c>
      <c r="B90" s="1366"/>
      <c r="C90" s="1355" t="s">
        <v>1711</v>
      </c>
      <c r="D90" s="1355" t="s">
        <v>1712</v>
      </c>
      <c r="E90" s="1377">
        <v>0.2</v>
      </c>
      <c r="F90" s="1366">
        <v>30</v>
      </c>
    </row>
    <row r="91" s="1301" customFormat="1" ht="36" spans="1:6">
      <c r="A91" s="1366">
        <v>31</v>
      </c>
      <c r="B91" s="1366"/>
      <c r="C91" s="1355" t="s">
        <v>1713</v>
      </c>
      <c r="D91" s="1355" t="s">
        <v>1714</v>
      </c>
      <c r="E91" s="1377">
        <v>0.2</v>
      </c>
      <c r="F91" s="1366">
        <v>30</v>
      </c>
    </row>
    <row r="92" s="1301" customFormat="1" ht="36" spans="1:6">
      <c r="A92" s="1366">
        <v>32</v>
      </c>
      <c r="B92" s="1366" t="s">
        <v>1715</v>
      </c>
      <c r="C92" s="1366" t="s">
        <v>1716</v>
      </c>
      <c r="D92" s="1355" t="s">
        <v>1717</v>
      </c>
      <c r="E92" s="1377">
        <v>0.2</v>
      </c>
      <c r="F92" s="1366">
        <v>30</v>
      </c>
    </row>
    <row r="93" s="1301" customFormat="1" ht="36" spans="1:6">
      <c r="A93" s="1366">
        <v>33</v>
      </c>
      <c r="B93" s="1366"/>
      <c r="C93" s="1366" t="s">
        <v>1718</v>
      </c>
      <c r="D93" s="1355" t="s">
        <v>1719</v>
      </c>
      <c r="E93" s="1377">
        <v>0.2</v>
      </c>
      <c r="F93" s="1366">
        <v>30</v>
      </c>
    </row>
    <row r="94" s="1301" customFormat="1" ht="48" spans="1:6">
      <c r="A94" s="1366">
        <v>34</v>
      </c>
      <c r="B94" s="1366"/>
      <c r="C94" s="1366" t="s">
        <v>1720</v>
      </c>
      <c r="D94" s="1355" t="s">
        <v>1721</v>
      </c>
      <c r="E94" s="1377">
        <v>0.2</v>
      </c>
      <c r="F94" s="1366">
        <v>30</v>
      </c>
    </row>
    <row r="95" s="1301" customFormat="1" ht="36" spans="1:6">
      <c r="A95" s="1366">
        <v>35</v>
      </c>
      <c r="B95" s="1366"/>
      <c r="C95" s="1366" t="s">
        <v>1722</v>
      </c>
      <c r="D95" s="1355" t="s">
        <v>1723</v>
      </c>
      <c r="E95" s="1377">
        <v>0.2</v>
      </c>
      <c r="F95" s="1366">
        <v>30</v>
      </c>
    </row>
    <row r="96" s="1301" customFormat="1" ht="48" spans="1:6">
      <c r="A96" s="1366">
        <v>36</v>
      </c>
      <c r="B96" s="1366"/>
      <c r="C96" s="1355" t="s">
        <v>1724</v>
      </c>
      <c r="D96" s="1355" t="s">
        <v>1725</v>
      </c>
      <c r="E96" s="1377">
        <v>0.2</v>
      </c>
      <c r="F96" s="1366">
        <v>30</v>
      </c>
    </row>
    <row r="97" s="1301" customFormat="1" ht="36" spans="1:6">
      <c r="A97" s="1366">
        <v>37</v>
      </c>
      <c r="B97" s="1366"/>
      <c r="C97" s="1366" t="s">
        <v>1726</v>
      </c>
      <c r="D97" s="1355" t="s">
        <v>1727</v>
      </c>
      <c r="E97" s="1377">
        <v>0.2</v>
      </c>
      <c r="F97" s="1366">
        <v>30</v>
      </c>
    </row>
    <row r="98" s="1301" customFormat="1" ht="36" spans="1:6">
      <c r="A98" s="1366">
        <v>38</v>
      </c>
      <c r="B98" s="1366"/>
      <c r="C98" s="1366" t="s">
        <v>1728</v>
      </c>
      <c r="D98" s="1355" t="s">
        <v>1729</v>
      </c>
      <c r="E98" s="1377">
        <v>0.2</v>
      </c>
      <c r="F98" s="1366">
        <v>30</v>
      </c>
    </row>
    <row r="99" s="1301" customFormat="1" ht="36" spans="1:6">
      <c r="A99" s="1366">
        <v>39</v>
      </c>
      <c r="B99" s="1366" t="s">
        <v>1730</v>
      </c>
      <c r="C99" s="1366" t="s">
        <v>1731</v>
      </c>
      <c r="D99" s="1355" t="s">
        <v>1732</v>
      </c>
      <c r="E99" s="1377">
        <v>0.3</v>
      </c>
      <c r="F99" s="1366">
        <v>50</v>
      </c>
    </row>
    <row r="100" s="1301" customFormat="1" ht="36" spans="1:6">
      <c r="A100" s="1366">
        <v>40</v>
      </c>
      <c r="B100" s="1366"/>
      <c r="C100" s="1366" t="s">
        <v>1733</v>
      </c>
      <c r="D100" s="1355" t="s">
        <v>1734</v>
      </c>
      <c r="E100" s="1377">
        <v>0.2</v>
      </c>
      <c r="F100" s="1366">
        <v>30</v>
      </c>
    </row>
    <row r="101" s="1301" customFormat="1" ht="36" spans="1:6">
      <c r="A101" s="1366">
        <v>41</v>
      </c>
      <c r="B101" s="1366"/>
      <c r="C101" s="1366" t="s">
        <v>1735</v>
      </c>
      <c r="D101" s="1355" t="s">
        <v>1732</v>
      </c>
      <c r="E101" s="1377">
        <v>0.2</v>
      </c>
      <c r="F101" s="1366">
        <v>30</v>
      </c>
    </row>
    <row r="102" s="1301" customFormat="1" ht="48" spans="1:6">
      <c r="A102" s="1366">
        <v>42</v>
      </c>
      <c r="B102" s="1366" t="s">
        <v>1736</v>
      </c>
      <c r="C102" s="1355" t="s">
        <v>1737</v>
      </c>
      <c r="D102" s="1355" t="s">
        <v>1738</v>
      </c>
      <c r="E102" s="1377">
        <v>0.2</v>
      </c>
      <c r="F102" s="1366">
        <v>30</v>
      </c>
    </row>
    <row r="103" s="1301" customFormat="1" ht="36" spans="1:6">
      <c r="A103" s="1366">
        <v>43</v>
      </c>
      <c r="B103" s="1366" t="s">
        <v>1739</v>
      </c>
      <c r="C103" s="1366" t="s">
        <v>1740</v>
      </c>
      <c r="D103" s="1355" t="s">
        <v>1741</v>
      </c>
      <c r="E103" s="1377">
        <v>0.2</v>
      </c>
      <c r="F103" s="1366">
        <v>30</v>
      </c>
    </row>
    <row r="104" s="1301" customFormat="1" ht="36" spans="1:6">
      <c r="A104" s="1366">
        <v>44</v>
      </c>
      <c r="B104" s="1366" t="s">
        <v>1742</v>
      </c>
      <c r="C104" s="1366" t="s">
        <v>1743</v>
      </c>
      <c r="D104" s="1355" t="s">
        <v>1744</v>
      </c>
      <c r="E104" s="1377">
        <v>0.2</v>
      </c>
      <c r="F104" s="1366">
        <v>30</v>
      </c>
    </row>
    <row r="105" s="1301" customFormat="1" ht="36" spans="1:6">
      <c r="A105" s="1366">
        <v>45</v>
      </c>
      <c r="B105" s="1366" t="s">
        <v>1745</v>
      </c>
      <c r="C105" s="1366" t="s">
        <v>1746</v>
      </c>
      <c r="D105" s="1355" t="s">
        <v>1747</v>
      </c>
      <c r="E105" s="1377">
        <v>0.2</v>
      </c>
      <c r="F105" s="1366">
        <v>30</v>
      </c>
    </row>
    <row r="106" s="1301" customFormat="1" ht="36" spans="1:6">
      <c r="A106" s="1366">
        <v>46</v>
      </c>
      <c r="B106" s="1366"/>
      <c r="C106" s="1366" t="s">
        <v>1748</v>
      </c>
      <c r="D106" s="1355" t="s">
        <v>1749</v>
      </c>
      <c r="E106" s="1377">
        <v>0.2</v>
      </c>
      <c r="F106" s="1366">
        <v>30</v>
      </c>
    </row>
    <row r="107" s="1301" customFormat="1" ht="36" spans="1:6">
      <c r="A107" s="1366">
        <v>47</v>
      </c>
      <c r="B107" s="1366" t="s">
        <v>1750</v>
      </c>
      <c r="C107" s="1366" t="s">
        <v>1751</v>
      </c>
      <c r="D107" s="1355" t="s">
        <v>1752</v>
      </c>
      <c r="E107" s="1377">
        <v>0.3</v>
      </c>
      <c r="F107" s="1366">
        <v>50</v>
      </c>
    </row>
    <row r="108" s="1301" customFormat="1" ht="36" spans="1:6">
      <c r="A108" s="1366">
        <v>48</v>
      </c>
      <c r="B108" s="1366"/>
      <c r="C108" s="1366" t="s">
        <v>1753</v>
      </c>
      <c r="D108" s="1355" t="s">
        <v>1754</v>
      </c>
      <c r="E108" s="1377">
        <v>0.2</v>
      </c>
      <c r="F108" s="1366">
        <v>30</v>
      </c>
    </row>
    <row r="109" s="1301" customFormat="1" ht="36" spans="1:6">
      <c r="A109" s="1366">
        <v>49</v>
      </c>
      <c r="B109" s="1366" t="s">
        <v>1755</v>
      </c>
      <c r="C109" s="1366" t="s">
        <v>1756</v>
      </c>
      <c r="D109" s="1355" t="s">
        <v>1757</v>
      </c>
      <c r="E109" s="1377">
        <v>0.2</v>
      </c>
      <c r="F109" s="1366">
        <v>30</v>
      </c>
    </row>
    <row r="110" s="1301" customFormat="1" ht="36" spans="1:6">
      <c r="A110" s="1366">
        <v>50</v>
      </c>
      <c r="B110" s="1366" t="s">
        <v>1758</v>
      </c>
      <c r="C110" s="1366" t="s">
        <v>1759</v>
      </c>
      <c r="D110" s="1355" t="s">
        <v>1760</v>
      </c>
      <c r="E110" s="1377">
        <v>0.2</v>
      </c>
      <c r="F110" s="1366">
        <v>30</v>
      </c>
    </row>
    <row r="111" s="1301" customFormat="1" ht="36" spans="1:6">
      <c r="A111" s="1366">
        <v>51</v>
      </c>
      <c r="B111" s="1366" t="s">
        <v>1761</v>
      </c>
      <c r="C111" s="1366" t="s">
        <v>1762</v>
      </c>
      <c r="D111" s="1355" t="s">
        <v>1763</v>
      </c>
      <c r="E111" s="1377">
        <v>0.2</v>
      </c>
      <c r="F111" s="1366">
        <v>30</v>
      </c>
    </row>
    <row r="112" s="1301" customFormat="1" ht="36" spans="1:6">
      <c r="A112" s="1366">
        <v>52</v>
      </c>
      <c r="B112" s="1366"/>
      <c r="C112" s="1366" t="s">
        <v>1764</v>
      </c>
      <c r="D112" s="1355" t="s">
        <v>1765</v>
      </c>
      <c r="E112" s="1377">
        <v>0.2</v>
      </c>
      <c r="F112" s="1366">
        <v>30</v>
      </c>
    </row>
    <row r="113" s="1301" customFormat="1" ht="36" spans="1:6">
      <c r="A113" s="1366">
        <v>53</v>
      </c>
      <c r="B113" s="1366"/>
      <c r="C113" s="1366" t="s">
        <v>1766</v>
      </c>
      <c r="D113" s="1355" t="s">
        <v>1767</v>
      </c>
      <c r="E113" s="1377">
        <v>0.2</v>
      </c>
      <c r="F113" s="1366">
        <v>30</v>
      </c>
    </row>
    <row r="114" ht="36" spans="1:6">
      <c r="A114" s="1366">
        <v>54</v>
      </c>
      <c r="B114" s="1366" t="s">
        <v>1768</v>
      </c>
      <c r="C114" s="1366" t="s">
        <v>1769</v>
      </c>
      <c r="D114" s="1355" t="s">
        <v>1770</v>
      </c>
      <c r="E114" s="1377">
        <v>0.2</v>
      </c>
      <c r="F114" s="1366">
        <v>30</v>
      </c>
    </row>
    <row r="115" ht="36" spans="1:6">
      <c r="A115" s="1366">
        <v>55</v>
      </c>
      <c r="B115" s="1366" t="s">
        <v>1771</v>
      </c>
      <c r="C115" s="1366" t="s">
        <v>1772</v>
      </c>
      <c r="D115" s="1355" t="s">
        <v>1773</v>
      </c>
      <c r="E115" s="1377">
        <v>0.2</v>
      </c>
      <c r="F115" s="1366">
        <v>30</v>
      </c>
    </row>
    <row r="116" ht="36" spans="1:6">
      <c r="A116" s="1366">
        <v>56</v>
      </c>
      <c r="B116" s="1366" t="s">
        <v>1774</v>
      </c>
      <c r="C116" s="1366" t="s">
        <v>1775</v>
      </c>
      <c r="D116" s="1355" t="s">
        <v>1776</v>
      </c>
      <c r="E116" s="1377">
        <v>0.2</v>
      </c>
      <c r="F116" s="1366">
        <v>30</v>
      </c>
    </row>
    <row r="117" ht="36" spans="1:6">
      <c r="A117" s="1366">
        <v>57</v>
      </c>
      <c r="B117" s="1366"/>
      <c r="C117" s="1366" t="s">
        <v>1777</v>
      </c>
      <c r="D117" s="1355" t="s">
        <v>1778</v>
      </c>
      <c r="E117" s="1377">
        <v>0.2</v>
      </c>
      <c r="F117" s="1366">
        <v>30</v>
      </c>
    </row>
    <row r="118" ht="36" spans="1:6">
      <c r="A118" s="1366">
        <v>58</v>
      </c>
      <c r="B118" s="1366" t="s">
        <v>1779</v>
      </c>
      <c r="C118" s="1366" t="s">
        <v>1780</v>
      </c>
      <c r="D118" s="1355" t="s">
        <v>1781</v>
      </c>
      <c r="E118" s="1377">
        <v>0.2</v>
      </c>
      <c r="F118" s="1366">
        <v>30</v>
      </c>
    </row>
    <row r="119" ht="13.5" spans="1:6">
      <c r="A119" s="1366"/>
      <c r="B119" s="1366"/>
      <c r="C119" s="1366"/>
      <c r="D119" s="1366"/>
      <c r="E119" s="1377"/>
      <c r="F119" s="1366"/>
    </row>
    <row r="121" customHeight="1" spans="1:14">
      <c r="A121" s="1384" t="s">
        <v>963</v>
      </c>
      <c r="B121" s="1384"/>
      <c r="C121" s="1384"/>
      <c r="D121" s="1384"/>
      <c r="E121" s="1384"/>
      <c r="F121" s="1384"/>
      <c r="G121" s="1384"/>
      <c r="H121" s="1384"/>
      <c r="I121" s="1384"/>
      <c r="J121" s="1384"/>
      <c r="K121" s="1384"/>
      <c r="L121" s="1384"/>
      <c r="M121" s="1384"/>
      <c r="N121" s="1384"/>
    </row>
  </sheetData>
  <sheetProtection sheet="1" formatCells="0" formatColumns="0" formatRows="0" objects="1" scenarios="1"/>
  <mergeCells count="16">
    <mergeCell ref="A121:J121"/>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215" workbookViewId="0">
      <selection activeCell="D239" sqref="D239"/>
    </sheetView>
  </sheetViews>
  <sheetFormatPr defaultColWidth="9" defaultRowHeight="13.5"/>
  <cols>
    <col min="1" max="1" width="12.625" style="1301" customWidth="1"/>
    <col min="2" max="5" width="10.25" style="1302" customWidth="1"/>
    <col min="6" max="6" width="9" style="1302"/>
    <col min="7" max="7" width="9" style="1300"/>
    <col min="8" max="8" width="9" style="1302"/>
    <col min="9" max="9" width="9" style="1300"/>
    <col min="10" max="16384" width="9" style="1302"/>
  </cols>
  <sheetData>
    <row r="1" spans="1:20">
      <c r="A1" s="1303" t="s">
        <v>1782</v>
      </c>
      <c r="B1" s="1303"/>
      <c r="C1" s="1303"/>
      <c r="D1" s="1303"/>
      <c r="E1" s="1303"/>
      <c r="F1" s="1303"/>
      <c r="H1" s="1299"/>
      <c r="I1" s="1335" t="s">
        <v>240</v>
      </c>
      <c r="J1" s="1336" t="s">
        <v>253</v>
      </c>
      <c r="K1" s="1336" t="s">
        <v>265</v>
      </c>
      <c r="L1" s="1336" t="s">
        <v>275</v>
      </c>
      <c r="M1" s="1336" t="s">
        <v>284</v>
      </c>
      <c r="N1" s="1336" t="s">
        <v>292</v>
      </c>
      <c r="O1" s="1336" t="s">
        <v>297</v>
      </c>
      <c r="P1" s="1336" t="s">
        <v>302</v>
      </c>
      <c r="Q1" s="1336" t="s">
        <v>305</v>
      </c>
      <c r="R1" s="1336" t="s">
        <v>308</v>
      </c>
      <c r="S1" s="1336" t="s">
        <v>311</v>
      </c>
      <c r="T1" s="1338" t="s">
        <v>314</v>
      </c>
    </row>
    <row r="2" ht="14.25" spans="1:20">
      <c r="A2" s="1304" t="s">
        <v>1783</v>
      </c>
      <c r="B2" s="1304"/>
      <c r="C2" s="1304"/>
      <c r="D2" s="1304"/>
      <c r="E2" s="1304"/>
      <c r="F2" s="1304"/>
      <c r="I2" s="1337" t="s">
        <v>1784</v>
      </c>
      <c r="J2" s="1317" t="s">
        <v>1785</v>
      </c>
      <c r="K2" s="1317" t="s">
        <v>1786</v>
      </c>
      <c r="L2" s="1317" t="s">
        <v>1787</v>
      </c>
      <c r="M2" s="1317" t="s">
        <v>1788</v>
      </c>
      <c r="N2" s="1317" t="s">
        <v>1789</v>
      </c>
      <c r="O2" s="1317" t="s">
        <v>1790</v>
      </c>
      <c r="P2" s="1317" t="s">
        <v>1791</v>
      </c>
      <c r="Q2" s="1317" t="s">
        <v>1792</v>
      </c>
      <c r="R2" s="1317" t="s">
        <v>1793</v>
      </c>
      <c r="S2" s="1317" t="s">
        <v>1794</v>
      </c>
      <c r="T2" s="1317" t="s">
        <v>1795</v>
      </c>
    </row>
    <row r="3" s="1299" customFormat="1" ht="19.5" customHeight="1" spans="1:20">
      <c r="A3" s="1305" t="s">
        <v>1796</v>
      </c>
      <c r="B3" s="1306"/>
      <c r="C3" s="1307" t="s">
        <v>376</v>
      </c>
      <c r="D3" s="1307" t="s">
        <v>377</v>
      </c>
      <c r="E3" s="1307" t="s">
        <v>375</v>
      </c>
      <c r="F3" s="1307" t="s">
        <v>164</v>
      </c>
      <c r="G3" s="1308"/>
      <c r="I3" s="1337" t="s">
        <v>1797</v>
      </c>
      <c r="J3" s="1317" t="s">
        <v>1798</v>
      </c>
      <c r="K3" s="1317" t="s">
        <v>1799</v>
      </c>
      <c r="L3" s="1317" t="s">
        <v>1800</v>
      </c>
      <c r="M3" s="1317" t="s">
        <v>1801</v>
      </c>
      <c r="N3" s="1317" t="s">
        <v>1802</v>
      </c>
      <c r="O3" s="1317" t="s">
        <v>1803</v>
      </c>
      <c r="P3" s="1317" t="s">
        <v>425</v>
      </c>
      <c r="Q3" s="1317" t="s">
        <v>1804</v>
      </c>
      <c r="R3" s="1317" t="s">
        <v>1805</v>
      </c>
      <c r="S3" s="1317" t="s">
        <v>1806</v>
      </c>
      <c r="T3" s="1317" t="s">
        <v>1807</v>
      </c>
    </row>
    <row r="4" s="1299" customFormat="1" ht="19.5" customHeight="1" spans="1:20">
      <c r="A4" s="1309"/>
      <c r="B4" s="1310" t="s">
        <v>424</v>
      </c>
      <c r="C4" s="1310" t="s">
        <v>1808</v>
      </c>
      <c r="D4" s="1310" t="s">
        <v>1808</v>
      </c>
      <c r="E4" s="1310" t="s">
        <v>1808</v>
      </c>
      <c r="F4" s="1311" t="s">
        <v>1808</v>
      </c>
      <c r="G4" s="1308"/>
      <c r="I4" s="1337" t="s">
        <v>1809</v>
      </c>
      <c r="J4" s="1317" t="s">
        <v>1810</v>
      </c>
      <c r="K4" s="1317" t="s">
        <v>1811</v>
      </c>
      <c r="L4" s="1317" t="s">
        <v>1812</v>
      </c>
      <c r="M4" s="1317" t="s">
        <v>1813</v>
      </c>
      <c r="N4" s="1317" t="s">
        <v>1814</v>
      </c>
      <c r="O4" s="1317" t="s">
        <v>1815</v>
      </c>
      <c r="P4" s="1317" t="s">
        <v>1816</v>
      </c>
      <c r="Q4" s="1317" t="s">
        <v>1817</v>
      </c>
      <c r="R4" s="1317" t="s">
        <v>1818</v>
      </c>
      <c r="S4" s="1317" t="s">
        <v>1819</v>
      </c>
      <c r="T4" s="1317" t="s">
        <v>1820</v>
      </c>
    </row>
    <row r="5" ht="14.25" customHeight="1" spans="1:20">
      <c r="A5" s="1312" t="s">
        <v>240</v>
      </c>
      <c r="B5" s="1313" t="s">
        <v>1784</v>
      </c>
      <c r="C5" s="1313">
        <v>29530</v>
      </c>
      <c r="D5" s="1313">
        <v>28130</v>
      </c>
      <c r="E5" s="1313">
        <v>27930</v>
      </c>
      <c r="F5" s="1314">
        <v>11300</v>
      </c>
      <c r="G5" s="1315" t="s">
        <v>240</v>
      </c>
      <c r="H5" s="1316">
        <f>SUMPRODUCT((B5:B9=基准地价!I2)*(C3:F3=基准地价!E2)*(C5:F9))</f>
        <v>0</v>
      </c>
      <c r="I5" s="1337" t="s">
        <v>1821</v>
      </c>
      <c r="J5" s="1317" t="s">
        <v>1822</v>
      </c>
      <c r="K5" s="1317" t="s">
        <v>1823</v>
      </c>
      <c r="L5" s="1317" t="s">
        <v>1824</v>
      </c>
      <c r="M5" s="1317" t="s">
        <v>1825</v>
      </c>
      <c r="N5" s="1317" t="s">
        <v>1826</v>
      </c>
      <c r="O5" s="1317" t="s">
        <v>1827</v>
      </c>
      <c r="P5" s="1317" t="s">
        <v>1828</v>
      </c>
      <c r="Q5" s="1317" t="s">
        <v>1829</v>
      </c>
      <c r="R5" s="1317" t="s">
        <v>1830</v>
      </c>
      <c r="S5" s="1317" t="s">
        <v>1831</v>
      </c>
      <c r="T5" s="1317" t="s">
        <v>1832</v>
      </c>
    </row>
    <row r="6" ht="14.25" customHeight="1" spans="1:20">
      <c r="A6" s="1312" t="s">
        <v>240</v>
      </c>
      <c r="B6" s="1317" t="s">
        <v>1797</v>
      </c>
      <c r="C6" s="1317">
        <v>30290</v>
      </c>
      <c r="D6" s="1317">
        <v>29210</v>
      </c>
      <c r="E6" s="1317">
        <v>28860</v>
      </c>
      <c r="F6" s="1318">
        <v>12600</v>
      </c>
      <c r="G6" s="1319" t="s">
        <v>253</v>
      </c>
      <c r="H6" s="1320">
        <f>SUMPRODUCT((B10:B28=基准地价!I2)*(C3:F3=基准地价!E2)*(C10:F28))</f>
        <v>0</v>
      </c>
      <c r="I6" s="1337" t="s">
        <v>1833</v>
      </c>
      <c r="J6" s="1317" t="s">
        <v>1834</v>
      </c>
      <c r="K6" s="1317" t="s">
        <v>1835</v>
      </c>
      <c r="L6" s="1317" t="s">
        <v>1836</v>
      </c>
      <c r="M6" s="1317" t="s">
        <v>1837</v>
      </c>
      <c r="N6" s="1317" t="s">
        <v>1838</v>
      </c>
      <c r="O6" s="1317" t="s">
        <v>1839</v>
      </c>
      <c r="P6" s="1317" t="s">
        <v>1840</v>
      </c>
      <c r="Q6" s="1317" t="s">
        <v>1841</v>
      </c>
      <c r="R6" s="1317" t="s">
        <v>1842</v>
      </c>
      <c r="S6" s="1317" t="s">
        <v>1843</v>
      </c>
      <c r="T6" s="1317" t="s">
        <v>1844</v>
      </c>
    </row>
    <row r="7" ht="14.25" customHeight="1" spans="1:20">
      <c r="A7" s="1312" t="s">
        <v>240</v>
      </c>
      <c r="B7" s="1321" t="s">
        <v>1809</v>
      </c>
      <c r="C7" s="1317">
        <v>29350</v>
      </c>
      <c r="D7" s="1317">
        <v>28410</v>
      </c>
      <c r="E7" s="1317">
        <v>27990</v>
      </c>
      <c r="F7" s="1318">
        <v>12300</v>
      </c>
      <c r="G7" s="1319" t="s">
        <v>265</v>
      </c>
      <c r="H7" s="1320">
        <f>SUMPRODUCT((B29:B48=基准地价!I2)*(C3:F3=基准地价!E2)*(C29:F48))</f>
        <v>0</v>
      </c>
      <c r="J7" s="1317" t="s">
        <v>1845</v>
      </c>
      <c r="K7" s="1317" t="s">
        <v>1846</v>
      </c>
      <c r="L7" s="1317" t="s">
        <v>1847</v>
      </c>
      <c r="M7" s="1317" t="s">
        <v>1848</v>
      </c>
      <c r="N7" s="1317" t="s">
        <v>1849</v>
      </c>
      <c r="O7" s="1317" t="s">
        <v>1850</v>
      </c>
      <c r="P7" s="1317" t="s">
        <v>1851</v>
      </c>
      <c r="Q7" s="1317" t="s">
        <v>1852</v>
      </c>
      <c r="R7" s="1317" t="s">
        <v>1853</v>
      </c>
      <c r="S7" s="1317" t="s">
        <v>1854</v>
      </c>
      <c r="T7" s="1321" t="s">
        <v>1855</v>
      </c>
    </row>
    <row r="8" ht="14.25" customHeight="1" spans="1:20">
      <c r="A8" s="1312" t="s">
        <v>240</v>
      </c>
      <c r="B8" s="1317" t="s">
        <v>1821</v>
      </c>
      <c r="C8" s="1317">
        <v>30890</v>
      </c>
      <c r="D8" s="1317">
        <v>29780</v>
      </c>
      <c r="E8" s="1317">
        <v>29270</v>
      </c>
      <c r="F8" s="1318">
        <v>11600</v>
      </c>
      <c r="G8" s="1319" t="s">
        <v>275</v>
      </c>
      <c r="H8" s="1320">
        <f>SUMPRODUCT((B49:B75=基准地价!I2)*(C3:F3=基准地价!E2)*(C49:F75))</f>
        <v>0</v>
      </c>
      <c r="J8" s="1317" t="s">
        <v>1856</v>
      </c>
      <c r="K8" s="1317" t="s">
        <v>1857</v>
      </c>
      <c r="L8" s="1317" t="s">
        <v>1858</v>
      </c>
      <c r="M8" s="1317" t="s">
        <v>1859</v>
      </c>
      <c r="N8" s="1317" t="s">
        <v>1860</v>
      </c>
      <c r="O8" s="1317" t="s">
        <v>1861</v>
      </c>
      <c r="P8" s="1317" t="s">
        <v>1862</v>
      </c>
      <c r="Q8" s="1317" t="s">
        <v>1863</v>
      </c>
      <c r="R8" s="1317" t="s">
        <v>1864</v>
      </c>
      <c r="S8" s="1317" t="s">
        <v>1865</v>
      </c>
      <c r="T8" s="1317" t="s">
        <v>1866</v>
      </c>
    </row>
    <row r="9" ht="14.25" customHeight="1" spans="1:19">
      <c r="A9" s="1312" t="s">
        <v>240</v>
      </c>
      <c r="B9" s="1322" t="s">
        <v>1833</v>
      </c>
      <c r="C9" s="1323">
        <v>28140</v>
      </c>
      <c r="D9" s="1323"/>
      <c r="E9" s="1323"/>
      <c r="F9" s="1324"/>
      <c r="G9" s="1319" t="s">
        <v>284</v>
      </c>
      <c r="H9" s="1320">
        <f>SUMPRODUCT((B76:B109=基准地价!I2)*(C3:F3=基准地价!E2)*(C76:F109))</f>
        <v>0</v>
      </c>
      <c r="J9" s="1317" t="s">
        <v>1867</v>
      </c>
      <c r="K9" s="1317" t="s">
        <v>1868</v>
      </c>
      <c r="L9" s="1317" t="s">
        <v>1869</v>
      </c>
      <c r="M9" s="1317" t="s">
        <v>1870</v>
      </c>
      <c r="N9" s="1317" t="s">
        <v>1871</v>
      </c>
      <c r="O9" s="1317" t="s">
        <v>1872</v>
      </c>
      <c r="P9" s="1317" t="s">
        <v>1873</v>
      </c>
      <c r="Q9" s="1317" t="s">
        <v>1874</v>
      </c>
      <c r="R9" s="1317" t="s">
        <v>1875</v>
      </c>
      <c r="S9" s="1317" t="s">
        <v>1876</v>
      </c>
    </row>
    <row r="10" ht="14.25" customHeight="1" spans="1:19">
      <c r="A10" s="1312" t="s">
        <v>253</v>
      </c>
      <c r="B10" s="1313" t="s">
        <v>1785</v>
      </c>
      <c r="C10" s="1313">
        <v>27450</v>
      </c>
      <c r="D10" s="1313">
        <v>26180</v>
      </c>
      <c r="E10" s="1313">
        <v>25980</v>
      </c>
      <c r="F10" s="1314">
        <v>8910</v>
      </c>
      <c r="G10" s="1319" t="s">
        <v>292</v>
      </c>
      <c r="H10" s="1320">
        <f>SUMPRODUCT((B110:B157=基准地价!I2)*(C3:F3=基准地价!E2)*(C110:F157))</f>
        <v>0</v>
      </c>
      <c r="J10" s="1317" t="s">
        <v>1877</v>
      </c>
      <c r="K10" s="1317" t="s">
        <v>1878</v>
      </c>
      <c r="L10" s="1317" t="s">
        <v>1879</v>
      </c>
      <c r="M10" s="1317" t="s">
        <v>1880</v>
      </c>
      <c r="N10" s="1317" t="s">
        <v>1881</v>
      </c>
      <c r="O10" s="1317" t="s">
        <v>1882</v>
      </c>
      <c r="P10" s="1317" t="s">
        <v>1883</v>
      </c>
      <c r="Q10" s="1317" t="s">
        <v>1884</v>
      </c>
      <c r="R10" s="1317" t="s">
        <v>1885</v>
      </c>
      <c r="S10" s="1317" t="s">
        <v>1886</v>
      </c>
    </row>
    <row r="11" ht="14.25" customHeight="1" spans="1:19">
      <c r="A11" s="1312" t="s">
        <v>253</v>
      </c>
      <c r="B11" s="1321" t="s">
        <v>1798</v>
      </c>
      <c r="C11" s="1317">
        <v>22950</v>
      </c>
      <c r="D11" s="1317">
        <v>22630</v>
      </c>
      <c r="E11" s="1317">
        <v>22030</v>
      </c>
      <c r="F11" s="1325">
        <v>8330</v>
      </c>
      <c r="G11" s="1319" t="s">
        <v>297</v>
      </c>
      <c r="H11" s="1320">
        <f>SUMPRODUCT((B158:B205=基准地价!I2)*(C3:F3=基准地价!E2)*(C158:F205))</f>
        <v>0</v>
      </c>
      <c r="J11" s="1317" t="s">
        <v>1887</v>
      </c>
      <c r="K11" s="1317" t="s">
        <v>1888</v>
      </c>
      <c r="L11" s="1317" t="s">
        <v>1889</v>
      </c>
      <c r="M11" s="1317" t="s">
        <v>1890</v>
      </c>
      <c r="N11" s="1317" t="s">
        <v>1891</v>
      </c>
      <c r="O11" s="1317" t="s">
        <v>1892</v>
      </c>
      <c r="P11" s="1317" t="s">
        <v>1893</v>
      </c>
      <c r="Q11" s="1317" t="s">
        <v>1894</v>
      </c>
      <c r="R11" s="1317" t="s">
        <v>1895</v>
      </c>
      <c r="S11" s="1317" t="s">
        <v>1896</v>
      </c>
    </row>
    <row r="12" ht="14.25" customHeight="1" spans="1:19">
      <c r="A12" s="1312" t="s">
        <v>253</v>
      </c>
      <c r="B12" s="1321" t="s">
        <v>1810</v>
      </c>
      <c r="C12" s="1317">
        <v>24940</v>
      </c>
      <c r="D12" s="1317">
        <v>23180</v>
      </c>
      <c r="E12" s="1317">
        <v>22910</v>
      </c>
      <c r="F12" s="1325">
        <v>7180</v>
      </c>
      <c r="G12" s="1319" t="s">
        <v>302</v>
      </c>
      <c r="H12" s="1320">
        <f>SUMPRODUCT((B206:B244=基准地价!I2)*(C3:F3=基准地价!E2)*(C206:F244))</f>
        <v>5820</v>
      </c>
      <c r="J12" s="1317" t="s">
        <v>1897</v>
      </c>
      <c r="K12" s="1317" t="s">
        <v>1898</v>
      </c>
      <c r="L12" s="1317" t="s">
        <v>1899</v>
      </c>
      <c r="M12" s="1317" t="s">
        <v>1900</v>
      </c>
      <c r="N12" s="1317" t="s">
        <v>1901</v>
      </c>
      <c r="O12" s="1317" t="s">
        <v>1902</v>
      </c>
      <c r="P12" s="1317" t="s">
        <v>1903</v>
      </c>
      <c r="Q12" s="1317" t="s">
        <v>1904</v>
      </c>
      <c r="R12" s="1317" t="s">
        <v>1905</v>
      </c>
      <c r="S12" s="1317" t="s">
        <v>1906</v>
      </c>
    </row>
    <row r="13" ht="14.25" customHeight="1" spans="1:19">
      <c r="A13" s="1312" t="s">
        <v>253</v>
      </c>
      <c r="B13" s="1321" t="s">
        <v>1822</v>
      </c>
      <c r="C13" s="1317">
        <v>24140</v>
      </c>
      <c r="D13" s="1317">
        <v>22270</v>
      </c>
      <c r="E13" s="1317">
        <v>21950</v>
      </c>
      <c r="F13" s="1325">
        <v>7600</v>
      </c>
      <c r="G13" s="1319" t="s">
        <v>305</v>
      </c>
      <c r="H13" s="1320">
        <f>SUMPRODUCT((B245:B289=基准地价!I2)*(C3:F3=基准地价!E2)*(C245:F289))</f>
        <v>0</v>
      </c>
      <c r="J13" s="1317" t="s">
        <v>1907</v>
      </c>
      <c r="K13" s="1317" t="s">
        <v>1908</v>
      </c>
      <c r="L13" s="1317" t="s">
        <v>1909</v>
      </c>
      <c r="M13" s="1317" t="s">
        <v>1910</v>
      </c>
      <c r="N13" s="1317" t="s">
        <v>1911</v>
      </c>
      <c r="O13" s="1317" t="s">
        <v>1912</v>
      </c>
      <c r="P13" s="1317" t="s">
        <v>1913</v>
      </c>
      <c r="Q13" s="1317" t="s">
        <v>1914</v>
      </c>
      <c r="R13" s="1317" t="s">
        <v>1915</v>
      </c>
      <c r="S13" s="1317" t="s">
        <v>1916</v>
      </c>
    </row>
    <row r="14" ht="14.25" customHeight="1" spans="1:19">
      <c r="A14" s="1312" t="s">
        <v>253</v>
      </c>
      <c r="B14" s="1321" t="s">
        <v>1834</v>
      </c>
      <c r="C14" s="1317">
        <v>25600</v>
      </c>
      <c r="D14" s="1317">
        <v>22260</v>
      </c>
      <c r="E14" s="1317">
        <v>22110</v>
      </c>
      <c r="F14" s="1325">
        <v>7630</v>
      </c>
      <c r="G14" s="1319" t="s">
        <v>308</v>
      </c>
      <c r="H14" s="1320">
        <f>SUMPRODUCT((B290:B316=基准地价!I2)*(C3:F3=基准地价!E2)*(C290:F316))</f>
        <v>0</v>
      </c>
      <c r="J14" s="1317" t="s">
        <v>1917</v>
      </c>
      <c r="K14" s="1317" t="s">
        <v>1918</v>
      </c>
      <c r="L14" s="1317" t="s">
        <v>1919</v>
      </c>
      <c r="M14" s="1317" t="s">
        <v>1920</v>
      </c>
      <c r="N14" s="1317" t="s">
        <v>1921</v>
      </c>
      <c r="O14" s="1317" t="s">
        <v>1922</v>
      </c>
      <c r="P14" s="1317" t="s">
        <v>1923</v>
      </c>
      <c r="Q14" s="1317" t="s">
        <v>1924</v>
      </c>
      <c r="R14" s="1317" t="s">
        <v>1925</v>
      </c>
      <c r="S14" s="1317" t="s">
        <v>1926</v>
      </c>
    </row>
    <row r="15" ht="14.25" customHeight="1" spans="1:19">
      <c r="A15" s="1312" t="s">
        <v>253</v>
      </c>
      <c r="B15" s="1321" t="s">
        <v>1845</v>
      </c>
      <c r="C15" s="1317">
        <v>24760</v>
      </c>
      <c r="D15" s="1317">
        <v>24440</v>
      </c>
      <c r="E15" s="1317">
        <v>24130</v>
      </c>
      <c r="F15" s="1325">
        <v>9480</v>
      </c>
      <c r="G15" s="1319" t="s">
        <v>311</v>
      </c>
      <c r="H15" s="1320">
        <f>SUMPRODUCT((B317:B337=基准地价!I2)*(C3:F3=基准地价!E2)*(C317:F337))</f>
        <v>0</v>
      </c>
      <c r="J15" s="1317" t="s">
        <v>1927</v>
      </c>
      <c r="K15" s="1317" t="s">
        <v>1928</v>
      </c>
      <c r="L15" s="1317" t="s">
        <v>1929</v>
      </c>
      <c r="M15" s="1317" t="s">
        <v>1930</v>
      </c>
      <c r="N15" s="1317" t="s">
        <v>1931</v>
      </c>
      <c r="O15" s="1317" t="s">
        <v>1932</v>
      </c>
      <c r="P15" s="1317" t="s">
        <v>1933</v>
      </c>
      <c r="Q15" s="1317" t="s">
        <v>1934</v>
      </c>
      <c r="R15" s="1317" t="s">
        <v>1935</v>
      </c>
      <c r="S15" s="1317" t="s">
        <v>1936</v>
      </c>
    </row>
    <row r="16" ht="14.25" customHeight="1" spans="1:19">
      <c r="A16" s="1312" t="s">
        <v>253</v>
      </c>
      <c r="B16" s="1321" t="s">
        <v>1856</v>
      </c>
      <c r="C16" s="1317">
        <v>22220</v>
      </c>
      <c r="D16" s="1317">
        <v>22310</v>
      </c>
      <c r="E16" s="1317">
        <v>22000</v>
      </c>
      <c r="F16" s="1325">
        <v>8900</v>
      </c>
      <c r="G16" s="1326" t="s">
        <v>314</v>
      </c>
      <c r="H16" s="1327">
        <f>SUMPRODUCT((B338:B344=基准地价!I2)*(C3:F3=基准地价!E2)*(C338:F344))</f>
        <v>0</v>
      </c>
      <c r="J16" s="1317" t="s">
        <v>1937</v>
      </c>
      <c r="K16" s="1317" t="s">
        <v>1938</v>
      </c>
      <c r="L16" s="1317" t="s">
        <v>1939</v>
      </c>
      <c r="M16" s="1317" t="s">
        <v>1940</v>
      </c>
      <c r="N16" s="1317" t="s">
        <v>1941</v>
      </c>
      <c r="O16" s="1317" t="s">
        <v>1942</v>
      </c>
      <c r="P16" s="1317" t="s">
        <v>1943</v>
      </c>
      <c r="Q16" s="1317" t="s">
        <v>1944</v>
      </c>
      <c r="R16" s="1317" t="s">
        <v>1945</v>
      </c>
      <c r="S16" s="1317" t="s">
        <v>1946</v>
      </c>
    </row>
    <row r="17" ht="14.25" customHeight="1" spans="1:19">
      <c r="A17" s="1312" t="s">
        <v>253</v>
      </c>
      <c r="B17" s="1321" t="s">
        <v>1867</v>
      </c>
      <c r="C17" s="1317">
        <v>24700</v>
      </c>
      <c r="D17" s="1317">
        <v>25150</v>
      </c>
      <c r="E17" s="1317">
        <v>24700</v>
      </c>
      <c r="F17" s="1328"/>
      <c r="H17" s="1329"/>
      <c r="J17" s="1317" t="s">
        <v>1947</v>
      </c>
      <c r="K17" s="1317" t="s">
        <v>1948</v>
      </c>
      <c r="L17" s="1317" t="s">
        <v>1949</v>
      </c>
      <c r="M17" s="1317" t="s">
        <v>1950</v>
      </c>
      <c r="N17" s="1317" t="s">
        <v>1951</v>
      </c>
      <c r="O17" s="1317" t="s">
        <v>1952</v>
      </c>
      <c r="P17" s="1317" t="s">
        <v>1953</v>
      </c>
      <c r="Q17" s="1317" t="s">
        <v>1954</v>
      </c>
      <c r="R17" s="1317" t="s">
        <v>1955</v>
      </c>
      <c r="S17" s="1317" t="s">
        <v>1956</v>
      </c>
    </row>
    <row r="18" ht="14.25" customHeight="1" spans="1:19">
      <c r="A18" s="1312" t="s">
        <v>253</v>
      </c>
      <c r="B18" s="1321" t="s">
        <v>1877</v>
      </c>
      <c r="C18" s="1317">
        <v>22350</v>
      </c>
      <c r="D18" s="1317">
        <v>24340</v>
      </c>
      <c r="E18" s="1317">
        <v>24100</v>
      </c>
      <c r="F18" s="1328"/>
      <c r="H18" s="1329"/>
      <c r="J18" s="1317" t="s">
        <v>1957</v>
      </c>
      <c r="K18" s="1317" t="s">
        <v>1958</v>
      </c>
      <c r="L18" s="1317" t="s">
        <v>1959</v>
      </c>
      <c r="M18" s="1317" t="s">
        <v>1960</v>
      </c>
      <c r="N18" s="1317" t="s">
        <v>1961</v>
      </c>
      <c r="O18" s="1317" t="s">
        <v>1962</v>
      </c>
      <c r="P18" s="1317" t="s">
        <v>1963</v>
      </c>
      <c r="Q18" s="1317" t="s">
        <v>1964</v>
      </c>
      <c r="R18" s="1317" t="s">
        <v>1965</v>
      </c>
      <c r="S18" s="1317" t="s">
        <v>1966</v>
      </c>
    </row>
    <row r="19" ht="14.25" customHeight="1" spans="1:19">
      <c r="A19" s="1312" t="s">
        <v>253</v>
      </c>
      <c r="B19" s="1321" t="s">
        <v>1887</v>
      </c>
      <c r="C19" s="1317">
        <v>23430</v>
      </c>
      <c r="D19" s="1317">
        <v>21580</v>
      </c>
      <c r="E19" s="1317">
        <v>21350</v>
      </c>
      <c r="F19" s="1328"/>
      <c r="H19" s="1329"/>
      <c r="J19" s="1317" t="s">
        <v>1967</v>
      </c>
      <c r="K19" s="1317" t="s">
        <v>1968</v>
      </c>
      <c r="L19" s="1317" t="s">
        <v>1969</v>
      </c>
      <c r="M19" s="1317" t="s">
        <v>1970</v>
      </c>
      <c r="N19" s="1317" t="s">
        <v>1971</v>
      </c>
      <c r="O19" s="1317" t="s">
        <v>1972</v>
      </c>
      <c r="P19" s="1317" t="s">
        <v>1973</v>
      </c>
      <c r="Q19" s="1317" t="s">
        <v>1974</v>
      </c>
      <c r="R19" s="1317" t="s">
        <v>1975</v>
      </c>
      <c r="S19" s="1317" t="s">
        <v>1976</v>
      </c>
    </row>
    <row r="20" ht="14.25" customHeight="1" spans="1:19">
      <c r="A20" s="1312" t="s">
        <v>253</v>
      </c>
      <c r="B20" s="1321" t="s">
        <v>1897</v>
      </c>
      <c r="C20" s="1317">
        <v>27660</v>
      </c>
      <c r="D20" s="1317">
        <v>24240</v>
      </c>
      <c r="E20" s="1317">
        <v>24020</v>
      </c>
      <c r="F20" s="1328"/>
      <c r="J20" s="1317" t="s">
        <v>1977</v>
      </c>
      <c r="K20" s="1317" t="s">
        <v>1978</v>
      </c>
      <c r="L20" s="1317" t="s">
        <v>1979</v>
      </c>
      <c r="M20" s="1317" t="s">
        <v>1980</v>
      </c>
      <c r="N20" s="1317" t="s">
        <v>1981</v>
      </c>
      <c r="O20" s="1317" t="s">
        <v>1982</v>
      </c>
      <c r="P20" s="1317" t="s">
        <v>1983</v>
      </c>
      <c r="Q20" s="1317" t="s">
        <v>1984</v>
      </c>
      <c r="R20" s="1317" t="s">
        <v>1985</v>
      </c>
      <c r="S20" s="1317" t="s">
        <v>1986</v>
      </c>
    </row>
    <row r="21" ht="14.25" customHeight="1" spans="1:19">
      <c r="A21" s="1312" t="s">
        <v>253</v>
      </c>
      <c r="B21" s="1321" t="s">
        <v>1907</v>
      </c>
      <c r="C21" s="1317">
        <v>24720</v>
      </c>
      <c r="D21" s="1317">
        <v>21670</v>
      </c>
      <c r="E21" s="1317">
        <v>21510</v>
      </c>
      <c r="F21" s="1328"/>
      <c r="K21" s="1317" t="s">
        <v>1987</v>
      </c>
      <c r="L21" s="1317" t="s">
        <v>1988</v>
      </c>
      <c r="M21" s="1317" t="s">
        <v>1989</v>
      </c>
      <c r="N21" s="1317" t="s">
        <v>1990</v>
      </c>
      <c r="O21" s="1317" t="s">
        <v>1991</v>
      </c>
      <c r="P21" s="1317" t="s">
        <v>1992</v>
      </c>
      <c r="Q21" s="1317" t="s">
        <v>1993</v>
      </c>
      <c r="R21" s="1317" t="s">
        <v>1994</v>
      </c>
      <c r="S21" s="1317" t="s">
        <v>1995</v>
      </c>
    </row>
    <row r="22" ht="14.25" customHeight="1" spans="1:19">
      <c r="A22" s="1312" t="s">
        <v>253</v>
      </c>
      <c r="B22" s="1321" t="s">
        <v>1917</v>
      </c>
      <c r="C22" s="1317">
        <v>26530</v>
      </c>
      <c r="D22" s="1317">
        <v>22980</v>
      </c>
      <c r="E22" s="1317">
        <v>22650</v>
      </c>
      <c r="F22" s="1328"/>
      <c r="L22" s="1317" t="s">
        <v>1996</v>
      </c>
      <c r="M22" s="1317" t="s">
        <v>1997</v>
      </c>
      <c r="N22" s="1317" t="s">
        <v>1998</v>
      </c>
      <c r="O22" s="1317" t="s">
        <v>1999</v>
      </c>
      <c r="P22" s="1317" t="s">
        <v>2000</v>
      </c>
      <c r="Q22" s="1317" t="s">
        <v>2001</v>
      </c>
      <c r="R22" s="1317" t="s">
        <v>2002</v>
      </c>
      <c r="S22" s="1321" t="s">
        <v>2003</v>
      </c>
    </row>
    <row r="23" ht="14.25" customHeight="1" spans="1:18">
      <c r="A23" s="1312" t="s">
        <v>253</v>
      </c>
      <c r="B23" s="1321" t="s">
        <v>1927</v>
      </c>
      <c r="C23" s="1317">
        <v>24700</v>
      </c>
      <c r="D23" s="1317">
        <v>27290</v>
      </c>
      <c r="E23" s="1317">
        <v>26710</v>
      </c>
      <c r="F23" s="1328"/>
      <c r="L23" s="1317" t="s">
        <v>2004</v>
      </c>
      <c r="M23" s="1317" t="s">
        <v>2005</v>
      </c>
      <c r="N23" s="1317" t="s">
        <v>2006</v>
      </c>
      <c r="O23" s="1317" t="s">
        <v>2007</v>
      </c>
      <c r="P23" s="1317" t="s">
        <v>2008</v>
      </c>
      <c r="Q23" s="1317" t="s">
        <v>2009</v>
      </c>
      <c r="R23" s="1317" t="s">
        <v>2010</v>
      </c>
    </row>
    <row r="24" ht="14.25" customHeight="1" spans="1:18">
      <c r="A24" s="1312" t="s">
        <v>253</v>
      </c>
      <c r="B24" s="1321" t="s">
        <v>1937</v>
      </c>
      <c r="C24" s="1317">
        <v>23070</v>
      </c>
      <c r="D24" s="1317">
        <v>24130</v>
      </c>
      <c r="E24" s="1317">
        <v>23860</v>
      </c>
      <c r="F24" s="1328"/>
      <c r="L24" s="1317" t="s">
        <v>2011</v>
      </c>
      <c r="M24" s="1317" t="s">
        <v>2012</v>
      </c>
      <c r="N24" s="1317" t="s">
        <v>2013</v>
      </c>
      <c r="O24" s="1317" t="s">
        <v>2014</v>
      </c>
      <c r="P24" s="1317" t="s">
        <v>2015</v>
      </c>
      <c r="Q24" s="1317" t="s">
        <v>2016</v>
      </c>
      <c r="R24" s="1317" t="s">
        <v>2017</v>
      </c>
    </row>
    <row r="25" ht="14.25" customHeight="1" spans="1:18">
      <c r="A25" s="1312" t="s">
        <v>253</v>
      </c>
      <c r="B25" s="1321" t="s">
        <v>1947</v>
      </c>
      <c r="C25" s="1317">
        <v>27550</v>
      </c>
      <c r="D25" s="1317">
        <v>25850</v>
      </c>
      <c r="E25" s="1317">
        <v>25340</v>
      </c>
      <c r="F25" s="1328"/>
      <c r="L25" s="1317" t="s">
        <v>2018</v>
      </c>
      <c r="M25" s="1317" t="s">
        <v>2019</v>
      </c>
      <c r="N25" s="1317" t="s">
        <v>2020</v>
      </c>
      <c r="O25" s="1317" t="s">
        <v>2021</v>
      </c>
      <c r="P25" s="1317" t="s">
        <v>2022</v>
      </c>
      <c r="Q25" s="1317" t="s">
        <v>2023</v>
      </c>
      <c r="R25" s="1317" t="s">
        <v>2024</v>
      </c>
    </row>
    <row r="26" ht="14.25" customHeight="1" spans="1:18">
      <c r="A26" s="1312" t="s">
        <v>253</v>
      </c>
      <c r="B26" s="1321" t="s">
        <v>1957</v>
      </c>
      <c r="C26" s="1317"/>
      <c r="D26" s="1317">
        <v>23900</v>
      </c>
      <c r="E26" s="1317">
        <v>23590</v>
      </c>
      <c r="F26" s="1328"/>
      <c r="L26" s="1317" t="s">
        <v>2025</v>
      </c>
      <c r="M26" s="1317" t="s">
        <v>2026</v>
      </c>
      <c r="N26" s="1317" t="s">
        <v>2027</v>
      </c>
      <c r="O26" s="1317" t="s">
        <v>2028</v>
      </c>
      <c r="P26" s="1317" t="s">
        <v>2029</v>
      </c>
      <c r="Q26" s="1317" t="s">
        <v>2030</v>
      </c>
      <c r="R26" s="1317" t="s">
        <v>2031</v>
      </c>
    </row>
    <row r="27" ht="14.25" customHeight="1" spans="1:18">
      <c r="A27" s="1312" t="s">
        <v>253</v>
      </c>
      <c r="B27" s="1321" t="s">
        <v>1967</v>
      </c>
      <c r="C27" s="1317"/>
      <c r="D27" s="1317">
        <v>22850</v>
      </c>
      <c r="E27" s="1317">
        <v>21920</v>
      </c>
      <c r="F27" s="1328"/>
      <c r="L27" s="1317" t="s">
        <v>2032</v>
      </c>
      <c r="M27" s="1317" t="s">
        <v>2033</v>
      </c>
      <c r="N27" s="1317" t="s">
        <v>2034</v>
      </c>
      <c r="O27" s="1317" t="s">
        <v>2035</v>
      </c>
      <c r="P27" s="1317" t="s">
        <v>2036</v>
      </c>
      <c r="Q27" s="1317" t="s">
        <v>2037</v>
      </c>
      <c r="R27" s="1317" t="s">
        <v>2038</v>
      </c>
    </row>
    <row r="28" ht="14.25" customHeight="1" spans="1:17">
      <c r="A28" s="1330" t="s">
        <v>253</v>
      </c>
      <c r="B28" s="1322" t="s">
        <v>1977</v>
      </c>
      <c r="C28" s="1323"/>
      <c r="D28" s="1323">
        <v>26610</v>
      </c>
      <c r="E28" s="1323">
        <v>26370</v>
      </c>
      <c r="F28" s="1324"/>
      <c r="L28" s="1317" t="s">
        <v>2039</v>
      </c>
      <c r="M28" s="1317" t="s">
        <v>2040</v>
      </c>
      <c r="N28" s="1317" t="s">
        <v>2041</v>
      </c>
      <c r="O28" s="1317" t="s">
        <v>2042</v>
      </c>
      <c r="P28" s="1317" t="s">
        <v>2043</v>
      </c>
      <c r="Q28" s="1317" t="s">
        <v>2044</v>
      </c>
    </row>
    <row r="29" ht="14.25" customHeight="1" spans="1:17">
      <c r="A29" s="1312" t="s">
        <v>265</v>
      </c>
      <c r="B29" s="1313" t="s">
        <v>1786</v>
      </c>
      <c r="C29" s="1313">
        <v>22090</v>
      </c>
      <c r="D29" s="1313">
        <v>21860</v>
      </c>
      <c r="E29" s="1313">
        <v>19380</v>
      </c>
      <c r="F29" s="1314">
        <v>6610</v>
      </c>
      <c r="M29" s="1317" t="s">
        <v>2045</v>
      </c>
      <c r="N29" s="1317" t="s">
        <v>2046</v>
      </c>
      <c r="O29" s="1317" t="s">
        <v>2047</v>
      </c>
      <c r="P29" s="1317" t="s">
        <v>2048</v>
      </c>
      <c r="Q29" s="1317" t="s">
        <v>2049</v>
      </c>
    </row>
    <row r="30" ht="14.25" customHeight="1" spans="1:17">
      <c r="A30" s="1312" t="s">
        <v>265</v>
      </c>
      <c r="B30" s="1321" t="s">
        <v>1799</v>
      </c>
      <c r="C30" s="1317">
        <v>21380</v>
      </c>
      <c r="D30" s="1317">
        <v>19930</v>
      </c>
      <c r="E30" s="1317">
        <v>19860</v>
      </c>
      <c r="F30" s="1325">
        <v>6010</v>
      </c>
      <c r="H30" s="1329"/>
      <c r="M30" s="1317" t="s">
        <v>2050</v>
      </c>
      <c r="N30" s="1317" t="s">
        <v>2051</v>
      </c>
      <c r="O30" s="1317" t="s">
        <v>2052</v>
      </c>
      <c r="P30" s="1317" t="s">
        <v>2053</v>
      </c>
      <c r="Q30" s="1317" t="s">
        <v>2054</v>
      </c>
    </row>
    <row r="31" ht="14.25" customHeight="1" spans="1:17">
      <c r="A31" s="1312" t="s">
        <v>265</v>
      </c>
      <c r="B31" s="1321" t="s">
        <v>1811</v>
      </c>
      <c r="C31" s="1317">
        <v>21670</v>
      </c>
      <c r="D31" s="1317">
        <v>20660</v>
      </c>
      <c r="E31" s="1317">
        <v>20290</v>
      </c>
      <c r="F31" s="1325">
        <v>5840</v>
      </c>
      <c r="H31" s="1329"/>
      <c r="M31" s="1317" t="s">
        <v>2055</v>
      </c>
      <c r="N31" s="1317" t="s">
        <v>2056</v>
      </c>
      <c r="O31" s="1317" t="s">
        <v>2057</v>
      </c>
      <c r="P31" s="1317" t="s">
        <v>2058</v>
      </c>
      <c r="Q31" s="1317" t="s">
        <v>2059</v>
      </c>
    </row>
    <row r="32" ht="14.25" customHeight="1" spans="1:17">
      <c r="A32" s="1312" t="s">
        <v>265</v>
      </c>
      <c r="B32" s="1321" t="s">
        <v>1823</v>
      </c>
      <c r="C32" s="1317">
        <v>22280</v>
      </c>
      <c r="D32" s="1317">
        <v>21800</v>
      </c>
      <c r="E32" s="1317">
        <v>17650</v>
      </c>
      <c r="F32" s="1325">
        <v>4690</v>
      </c>
      <c r="H32" s="1329"/>
      <c r="M32" s="1317" t="s">
        <v>2060</v>
      </c>
      <c r="N32" s="1317" t="s">
        <v>2061</v>
      </c>
      <c r="O32" s="1317" t="s">
        <v>2062</v>
      </c>
      <c r="P32" s="1317" t="s">
        <v>2063</v>
      </c>
      <c r="Q32" s="1317" t="s">
        <v>2064</v>
      </c>
    </row>
    <row r="33" ht="14.25" customHeight="1" spans="1:17">
      <c r="A33" s="1312" t="s">
        <v>265</v>
      </c>
      <c r="B33" s="1321" t="s">
        <v>1835</v>
      </c>
      <c r="C33" s="1317">
        <v>22130</v>
      </c>
      <c r="D33" s="1317">
        <v>20460</v>
      </c>
      <c r="E33" s="1317">
        <v>18500</v>
      </c>
      <c r="F33" s="1325">
        <v>5340</v>
      </c>
      <c r="H33" s="1329"/>
      <c r="M33" s="1317" t="s">
        <v>2065</v>
      </c>
      <c r="N33" s="1317" t="s">
        <v>2066</v>
      </c>
      <c r="O33" s="1317" t="s">
        <v>2067</v>
      </c>
      <c r="P33" s="1317" t="s">
        <v>2068</v>
      </c>
      <c r="Q33" s="1317" t="s">
        <v>2069</v>
      </c>
    </row>
    <row r="34" ht="14.25" customHeight="1" spans="1:17">
      <c r="A34" s="1312" t="s">
        <v>265</v>
      </c>
      <c r="B34" s="1321" t="s">
        <v>1846</v>
      </c>
      <c r="C34" s="1317">
        <v>22070</v>
      </c>
      <c r="D34" s="1317">
        <v>20110</v>
      </c>
      <c r="E34" s="1317">
        <v>18830</v>
      </c>
      <c r="F34" s="1325">
        <v>5190</v>
      </c>
      <c r="H34" s="1329"/>
      <c r="M34" s="1317" t="s">
        <v>2070</v>
      </c>
      <c r="N34" s="1317" t="s">
        <v>2071</v>
      </c>
      <c r="O34" s="1317" t="s">
        <v>2072</v>
      </c>
      <c r="P34" s="1317" t="s">
        <v>2073</v>
      </c>
      <c r="Q34" s="1317" t="s">
        <v>2074</v>
      </c>
    </row>
    <row r="35" ht="14.25" customHeight="1" spans="1:17">
      <c r="A35" s="1312" t="s">
        <v>265</v>
      </c>
      <c r="B35" s="1321" t="s">
        <v>1857</v>
      </c>
      <c r="C35" s="1317">
        <v>22240</v>
      </c>
      <c r="D35" s="1317">
        <v>19550</v>
      </c>
      <c r="E35" s="1317">
        <v>19220</v>
      </c>
      <c r="F35" s="1325">
        <v>5800</v>
      </c>
      <c r="H35" s="1329"/>
      <c r="M35" s="1317" t="s">
        <v>2075</v>
      </c>
      <c r="N35" s="1317" t="s">
        <v>2076</v>
      </c>
      <c r="O35" s="1317" t="s">
        <v>2077</v>
      </c>
      <c r="P35" s="1317" t="s">
        <v>2078</v>
      </c>
      <c r="Q35" s="1317" t="s">
        <v>2079</v>
      </c>
    </row>
    <row r="36" ht="14.25" customHeight="1" spans="1:17">
      <c r="A36" s="1312" t="s">
        <v>265</v>
      </c>
      <c r="B36" s="1321" t="s">
        <v>1868</v>
      </c>
      <c r="C36" s="1317">
        <v>19750</v>
      </c>
      <c r="D36" s="1317">
        <v>19790</v>
      </c>
      <c r="E36" s="1317">
        <v>18510</v>
      </c>
      <c r="F36" s="1325">
        <v>6520</v>
      </c>
      <c r="H36" s="1329"/>
      <c r="N36" s="1317" t="s">
        <v>2080</v>
      </c>
      <c r="O36" s="1317" t="s">
        <v>2081</v>
      </c>
      <c r="P36" s="1317" t="s">
        <v>2082</v>
      </c>
      <c r="Q36" s="1317" t="s">
        <v>2083</v>
      </c>
    </row>
    <row r="37" ht="14.25" customHeight="1" spans="1:17">
      <c r="A37" s="1312" t="s">
        <v>265</v>
      </c>
      <c r="B37" s="1321" t="s">
        <v>1878</v>
      </c>
      <c r="C37" s="1317">
        <v>22380</v>
      </c>
      <c r="D37" s="1317">
        <v>18530</v>
      </c>
      <c r="E37" s="1317">
        <v>17930</v>
      </c>
      <c r="F37" s="1325">
        <v>6270</v>
      </c>
      <c r="H37" s="1331"/>
      <c r="N37" s="1317" t="s">
        <v>2084</v>
      </c>
      <c r="O37" s="1317" t="s">
        <v>2085</v>
      </c>
      <c r="P37" s="1317" t="s">
        <v>2086</v>
      </c>
      <c r="Q37" s="1317" t="s">
        <v>2087</v>
      </c>
    </row>
    <row r="38" ht="14.25" customHeight="1" spans="1:17">
      <c r="A38" s="1312" t="s">
        <v>265</v>
      </c>
      <c r="B38" s="1321" t="s">
        <v>1888</v>
      </c>
      <c r="C38" s="1317">
        <v>20200</v>
      </c>
      <c r="D38" s="1317">
        <v>20070</v>
      </c>
      <c r="E38" s="1317">
        <v>19950</v>
      </c>
      <c r="F38" s="1325"/>
      <c r="H38" s="1332"/>
      <c r="N38" s="1317" t="s">
        <v>2088</v>
      </c>
      <c r="O38" s="1317" t="s">
        <v>2089</v>
      </c>
      <c r="P38" s="1317" t="s">
        <v>2090</v>
      </c>
      <c r="Q38" s="1317" t="s">
        <v>2091</v>
      </c>
    </row>
    <row r="39" ht="14.25" customHeight="1" spans="1:17">
      <c r="A39" s="1312" t="s">
        <v>265</v>
      </c>
      <c r="B39" s="1321" t="s">
        <v>1898</v>
      </c>
      <c r="C39" s="1317">
        <v>19300</v>
      </c>
      <c r="D39" s="1317">
        <v>20360</v>
      </c>
      <c r="E39" s="1317">
        <v>20230</v>
      </c>
      <c r="F39" s="1325"/>
      <c r="H39" s="1332"/>
      <c r="N39" s="1317" t="s">
        <v>2092</v>
      </c>
      <c r="O39" s="1317" t="s">
        <v>2093</v>
      </c>
      <c r="P39" s="1317" t="s">
        <v>2094</v>
      </c>
      <c r="Q39" s="1317" t="s">
        <v>2095</v>
      </c>
    </row>
    <row r="40" ht="14.25" customHeight="1" spans="1:17">
      <c r="A40" s="1312" t="s">
        <v>265</v>
      </c>
      <c r="B40" s="1321" t="s">
        <v>1908</v>
      </c>
      <c r="C40" s="1317">
        <v>20210</v>
      </c>
      <c r="D40" s="1317">
        <v>19060</v>
      </c>
      <c r="E40" s="1317">
        <v>18890</v>
      </c>
      <c r="F40" s="1325"/>
      <c r="H40" s="1332"/>
      <c r="N40" s="1317" t="s">
        <v>2096</v>
      </c>
      <c r="O40" s="1317" t="s">
        <v>2097</v>
      </c>
      <c r="P40" s="1317" t="s">
        <v>2098</v>
      </c>
      <c r="Q40" s="1317" t="s">
        <v>2099</v>
      </c>
    </row>
    <row r="41" ht="14.25" customHeight="1" spans="1:17">
      <c r="A41" s="1312" t="s">
        <v>265</v>
      </c>
      <c r="B41" s="1321" t="s">
        <v>1918</v>
      </c>
      <c r="C41" s="1317">
        <v>20560</v>
      </c>
      <c r="D41" s="1317">
        <v>21040</v>
      </c>
      <c r="E41" s="1317">
        <v>20740</v>
      </c>
      <c r="F41" s="1325"/>
      <c r="H41" s="1332"/>
      <c r="N41" s="1321" t="s">
        <v>2100</v>
      </c>
      <c r="O41" s="1321" t="s">
        <v>2101</v>
      </c>
      <c r="Q41" s="1321" t="s">
        <v>2102</v>
      </c>
    </row>
    <row r="42" ht="14.25" customHeight="1" spans="1:17">
      <c r="A42" s="1312" t="s">
        <v>265</v>
      </c>
      <c r="B42" s="1321" t="s">
        <v>1928</v>
      </c>
      <c r="C42" s="1317">
        <v>19280</v>
      </c>
      <c r="D42" s="1317">
        <v>22940</v>
      </c>
      <c r="E42" s="1317">
        <v>22500</v>
      </c>
      <c r="F42" s="1325"/>
      <c r="H42" s="1332"/>
      <c r="N42" s="1317" t="s">
        <v>2103</v>
      </c>
      <c r="O42" s="1317" t="s">
        <v>2104</v>
      </c>
      <c r="Q42" s="1317" t="s">
        <v>2105</v>
      </c>
    </row>
    <row r="43" ht="14.25" customHeight="1" spans="1:17">
      <c r="A43" s="1312" t="s">
        <v>265</v>
      </c>
      <c r="B43" s="1321" t="s">
        <v>1938</v>
      </c>
      <c r="C43" s="1317">
        <v>21520</v>
      </c>
      <c r="D43" s="1317">
        <v>19230</v>
      </c>
      <c r="E43" s="1317">
        <v>18540</v>
      </c>
      <c r="F43" s="1325"/>
      <c r="H43" s="1332"/>
      <c r="N43" s="1317" t="s">
        <v>2106</v>
      </c>
      <c r="O43" s="1317" t="s">
        <v>2107</v>
      </c>
      <c r="Q43" s="1317" t="s">
        <v>2108</v>
      </c>
    </row>
    <row r="44" ht="14.25" customHeight="1" spans="1:17">
      <c r="A44" s="1312" t="s">
        <v>265</v>
      </c>
      <c r="B44" s="1321" t="s">
        <v>1948</v>
      </c>
      <c r="C44" s="1317">
        <v>23260</v>
      </c>
      <c r="D44" s="1317">
        <v>21180</v>
      </c>
      <c r="E44" s="1317">
        <v>20730</v>
      </c>
      <c r="F44" s="1325"/>
      <c r="H44" s="1332"/>
      <c r="N44" s="1317" t="s">
        <v>2109</v>
      </c>
      <c r="O44" s="1317" t="s">
        <v>2110</v>
      </c>
      <c r="Q44" s="1317" t="s">
        <v>2111</v>
      </c>
    </row>
    <row r="45" ht="14.25" customHeight="1" spans="1:17">
      <c r="A45" s="1312" t="s">
        <v>265</v>
      </c>
      <c r="B45" s="1321" t="s">
        <v>1958</v>
      </c>
      <c r="C45" s="1317">
        <v>19610</v>
      </c>
      <c r="D45" s="1317">
        <v>18090</v>
      </c>
      <c r="E45" s="1317">
        <v>17970</v>
      </c>
      <c r="F45" s="1325"/>
      <c r="H45" s="1329"/>
      <c r="N45" s="1317" t="s">
        <v>2112</v>
      </c>
      <c r="O45" s="1317" t="s">
        <v>2113</v>
      </c>
      <c r="Q45" s="1317" t="s">
        <v>2114</v>
      </c>
    </row>
    <row r="46" ht="14.25" customHeight="1" spans="1:17">
      <c r="A46" s="1312" t="s">
        <v>265</v>
      </c>
      <c r="B46" s="1321" t="s">
        <v>1968</v>
      </c>
      <c r="C46" s="1317">
        <v>21660</v>
      </c>
      <c r="D46" s="1317">
        <v>19190</v>
      </c>
      <c r="E46" s="1317">
        <v>19790</v>
      </c>
      <c r="F46" s="1325"/>
      <c r="H46" s="1332"/>
      <c r="N46" s="1317" t="s">
        <v>2115</v>
      </c>
      <c r="O46" s="1317" t="s">
        <v>2116</v>
      </c>
      <c r="Q46" s="1317" t="s">
        <v>2117</v>
      </c>
    </row>
    <row r="47" ht="14.25" customHeight="1" spans="1:15">
      <c r="A47" s="1312" t="s">
        <v>265</v>
      </c>
      <c r="B47" s="1321" t="s">
        <v>1978</v>
      </c>
      <c r="C47" s="1317">
        <v>18220</v>
      </c>
      <c r="D47" s="1317"/>
      <c r="E47" s="1317">
        <v>17220</v>
      </c>
      <c r="F47" s="1325"/>
      <c r="H47" s="1332"/>
      <c r="N47" s="1317" t="s">
        <v>2118</v>
      </c>
      <c r="O47" s="1317" t="s">
        <v>2119</v>
      </c>
    </row>
    <row r="48" ht="14.25" customHeight="1" spans="1:15">
      <c r="A48" s="1312" t="s">
        <v>265</v>
      </c>
      <c r="B48" s="1322" t="s">
        <v>1987</v>
      </c>
      <c r="C48" s="1323">
        <v>19430</v>
      </c>
      <c r="D48" s="1323"/>
      <c r="E48" s="1323">
        <v>17830</v>
      </c>
      <c r="F48" s="1333"/>
      <c r="H48" s="1329"/>
      <c r="N48" s="1317" t="s">
        <v>2120</v>
      </c>
      <c r="O48" s="1317" t="s">
        <v>2121</v>
      </c>
    </row>
    <row r="49" ht="14.25" customHeight="1" spans="1:15">
      <c r="A49" s="1312" t="s">
        <v>275</v>
      </c>
      <c r="B49" s="1313" t="s">
        <v>1787</v>
      </c>
      <c r="C49" s="1313">
        <v>17090</v>
      </c>
      <c r="D49" s="1313">
        <v>16950</v>
      </c>
      <c r="E49" s="1313">
        <v>16310</v>
      </c>
      <c r="F49" s="1314">
        <v>4540</v>
      </c>
      <c r="H49" s="1332"/>
      <c r="N49" s="1317" t="s">
        <v>2122</v>
      </c>
      <c r="O49" s="1317" t="s">
        <v>2123</v>
      </c>
    </row>
    <row r="50" ht="14.25" customHeight="1" spans="1:8">
      <c r="A50" s="1312" t="s">
        <v>275</v>
      </c>
      <c r="B50" s="1317" t="s">
        <v>1800</v>
      </c>
      <c r="C50" s="1317">
        <v>19040</v>
      </c>
      <c r="D50" s="1317">
        <v>16960</v>
      </c>
      <c r="E50" s="1317">
        <v>14800</v>
      </c>
      <c r="F50" s="1325">
        <v>3940</v>
      </c>
      <c r="H50" s="1332"/>
    </row>
    <row r="51" ht="14.25" customHeight="1" spans="1:8">
      <c r="A51" s="1312" t="s">
        <v>275</v>
      </c>
      <c r="B51" s="1317" t="s">
        <v>1812</v>
      </c>
      <c r="C51" s="1317">
        <v>17040</v>
      </c>
      <c r="D51" s="1317">
        <v>16930</v>
      </c>
      <c r="E51" s="1317">
        <v>15030</v>
      </c>
      <c r="F51" s="1325">
        <v>4120</v>
      </c>
      <c r="H51" s="1332"/>
    </row>
    <row r="52" ht="14.25" customHeight="1" spans="1:8">
      <c r="A52" s="1312" t="s">
        <v>275</v>
      </c>
      <c r="B52" s="1317" t="s">
        <v>1824</v>
      </c>
      <c r="C52" s="1317">
        <v>17110</v>
      </c>
      <c r="D52" s="1317">
        <v>17750</v>
      </c>
      <c r="E52" s="1317">
        <v>17310</v>
      </c>
      <c r="F52" s="1325">
        <v>3220</v>
      </c>
      <c r="H52" s="1332"/>
    </row>
    <row r="53" ht="14.25" customHeight="1" spans="1:8">
      <c r="A53" s="1312" t="s">
        <v>275</v>
      </c>
      <c r="B53" s="1317" t="s">
        <v>1836</v>
      </c>
      <c r="C53" s="1317">
        <v>17810</v>
      </c>
      <c r="D53" s="1317">
        <v>17260</v>
      </c>
      <c r="E53" s="1317">
        <v>17090</v>
      </c>
      <c r="F53" s="1325">
        <v>3520</v>
      </c>
      <c r="H53" s="1332"/>
    </row>
    <row r="54" ht="14.25" customHeight="1" spans="1:8">
      <c r="A54" s="1312" t="s">
        <v>275</v>
      </c>
      <c r="B54" s="1317" t="s">
        <v>1847</v>
      </c>
      <c r="C54" s="1317">
        <v>17410</v>
      </c>
      <c r="D54" s="1317">
        <v>16780</v>
      </c>
      <c r="E54" s="1317">
        <v>16370</v>
      </c>
      <c r="F54" s="1325">
        <v>3410</v>
      </c>
      <c r="H54" s="1332"/>
    </row>
    <row r="55" ht="14.25" customHeight="1" spans="1:8">
      <c r="A55" s="1312" t="s">
        <v>275</v>
      </c>
      <c r="B55" s="1317" t="s">
        <v>1858</v>
      </c>
      <c r="C55" s="1317">
        <v>16930</v>
      </c>
      <c r="D55" s="1317">
        <v>14720</v>
      </c>
      <c r="E55" s="1317">
        <v>15000</v>
      </c>
      <c r="F55" s="1325">
        <v>3710</v>
      </c>
      <c r="H55" s="1332"/>
    </row>
    <row r="56" ht="14.25" customHeight="1" spans="1:8">
      <c r="A56" s="1312" t="s">
        <v>275</v>
      </c>
      <c r="B56" s="1317" t="s">
        <v>1869</v>
      </c>
      <c r="C56" s="1317">
        <v>14930</v>
      </c>
      <c r="D56" s="1317">
        <v>15850</v>
      </c>
      <c r="E56" s="1317">
        <v>14320</v>
      </c>
      <c r="F56" s="1325">
        <v>3960</v>
      </c>
      <c r="H56" s="1332"/>
    </row>
    <row r="57" ht="14.25" customHeight="1" spans="1:8">
      <c r="A57" s="1312" t="s">
        <v>275</v>
      </c>
      <c r="B57" s="1317" t="s">
        <v>1879</v>
      </c>
      <c r="C57" s="1317">
        <v>16160</v>
      </c>
      <c r="D57" s="1317">
        <v>16190</v>
      </c>
      <c r="E57" s="1317">
        <v>15650</v>
      </c>
      <c r="F57" s="1325">
        <v>4200</v>
      </c>
      <c r="H57" s="1332"/>
    </row>
    <row r="58" ht="14.25" customHeight="1" spans="1:8">
      <c r="A58" s="1312" t="s">
        <v>275</v>
      </c>
      <c r="B58" s="1317" t="s">
        <v>1889</v>
      </c>
      <c r="C58" s="1317">
        <v>16360</v>
      </c>
      <c r="D58" s="1317">
        <v>14050</v>
      </c>
      <c r="E58" s="1317">
        <v>16070</v>
      </c>
      <c r="F58" s="1325">
        <v>3990</v>
      </c>
      <c r="H58" s="1332"/>
    </row>
    <row r="59" ht="14.25" customHeight="1" spans="1:8">
      <c r="A59" s="1312" t="s">
        <v>275</v>
      </c>
      <c r="B59" s="1317" t="s">
        <v>1899</v>
      </c>
      <c r="C59" s="1317">
        <v>14160</v>
      </c>
      <c r="D59" s="1317">
        <v>16620</v>
      </c>
      <c r="E59" s="1317">
        <v>13940</v>
      </c>
      <c r="F59" s="1325">
        <v>4260</v>
      </c>
      <c r="H59" s="1332"/>
    </row>
    <row r="60" ht="14.25" customHeight="1" spans="1:8">
      <c r="A60" s="1312" t="s">
        <v>275</v>
      </c>
      <c r="B60" s="1317" t="s">
        <v>1909</v>
      </c>
      <c r="C60" s="1317">
        <v>16750</v>
      </c>
      <c r="D60" s="1317">
        <v>13910</v>
      </c>
      <c r="E60" s="1317">
        <v>16550</v>
      </c>
      <c r="F60" s="1325">
        <v>4550</v>
      </c>
      <c r="H60" s="1332"/>
    </row>
    <row r="61" ht="14.25" customHeight="1" spans="1:8">
      <c r="A61" s="1312" t="s">
        <v>275</v>
      </c>
      <c r="B61" s="1317" t="s">
        <v>1919</v>
      </c>
      <c r="C61" s="1317">
        <v>14000</v>
      </c>
      <c r="D61" s="1317">
        <v>14550</v>
      </c>
      <c r="E61" s="1317">
        <v>13860</v>
      </c>
      <c r="F61" s="1334"/>
      <c r="H61" s="1332"/>
    </row>
    <row r="62" ht="14.25" customHeight="1" spans="1:8">
      <c r="A62" s="1312" t="s">
        <v>275</v>
      </c>
      <c r="B62" s="1317" t="s">
        <v>1929</v>
      </c>
      <c r="C62" s="1317">
        <v>14660</v>
      </c>
      <c r="D62" s="1317">
        <v>17450</v>
      </c>
      <c r="E62" s="1317">
        <v>14470</v>
      </c>
      <c r="F62" s="1334"/>
      <c r="H62" s="1332"/>
    </row>
    <row r="63" ht="14.25" customHeight="1" spans="1:8">
      <c r="A63" s="1312" t="s">
        <v>275</v>
      </c>
      <c r="B63" s="1317" t="s">
        <v>1939</v>
      </c>
      <c r="C63" s="1317">
        <v>17610</v>
      </c>
      <c r="D63" s="1317">
        <v>16500</v>
      </c>
      <c r="E63" s="1317">
        <v>17330</v>
      </c>
      <c r="F63" s="1334"/>
      <c r="H63" s="1332"/>
    </row>
    <row r="64" ht="14.25" customHeight="1" spans="1:8">
      <c r="A64" s="1312" t="s">
        <v>275</v>
      </c>
      <c r="B64" s="1317" t="s">
        <v>1949</v>
      </c>
      <c r="C64" s="1317">
        <v>16590</v>
      </c>
      <c r="D64" s="1317">
        <v>15130</v>
      </c>
      <c r="E64" s="1317">
        <v>16420</v>
      </c>
      <c r="F64" s="1334"/>
      <c r="H64" s="1332"/>
    </row>
    <row r="65" s="1300" customFormat="1" ht="14.25" customHeight="1" spans="1:8">
      <c r="A65" s="1312" t="s">
        <v>275</v>
      </c>
      <c r="B65" s="1317" t="s">
        <v>1959</v>
      </c>
      <c r="C65" s="1317">
        <v>15220</v>
      </c>
      <c r="D65" s="1317">
        <v>14660</v>
      </c>
      <c r="E65" s="1317">
        <v>15060</v>
      </c>
      <c r="F65" s="1325"/>
      <c r="H65" s="1332"/>
    </row>
    <row r="66" s="1300" customFormat="1" ht="14.25" customHeight="1" spans="1:8">
      <c r="A66" s="1312" t="s">
        <v>275</v>
      </c>
      <c r="B66" s="1317" t="s">
        <v>1969</v>
      </c>
      <c r="C66" s="1317">
        <v>14720</v>
      </c>
      <c r="D66" s="1317">
        <v>15970</v>
      </c>
      <c r="E66" s="1317">
        <v>14610</v>
      </c>
      <c r="F66" s="1325"/>
      <c r="H66" s="1332"/>
    </row>
    <row r="67" s="1300" customFormat="1" ht="14.25" customHeight="1" spans="1:8">
      <c r="A67" s="1312" t="s">
        <v>275</v>
      </c>
      <c r="B67" s="1317" t="s">
        <v>1979</v>
      </c>
      <c r="C67" s="1317">
        <v>16080</v>
      </c>
      <c r="D67" s="1317">
        <v>14840</v>
      </c>
      <c r="E67" s="1317">
        <v>15630</v>
      </c>
      <c r="F67" s="1325"/>
      <c r="H67" s="1332"/>
    </row>
    <row r="68" s="1300" customFormat="1" ht="14.25" customHeight="1" spans="1:8">
      <c r="A68" s="1312" t="s">
        <v>275</v>
      </c>
      <c r="B68" s="1317" t="s">
        <v>1988</v>
      </c>
      <c r="C68" s="1317">
        <v>14940</v>
      </c>
      <c r="D68" s="1317">
        <v>18000</v>
      </c>
      <c r="E68" s="1317">
        <v>14040</v>
      </c>
      <c r="F68" s="1325"/>
      <c r="H68" s="1332"/>
    </row>
    <row r="69" s="1300" customFormat="1" ht="14.25" customHeight="1" spans="1:8">
      <c r="A69" s="1312" t="s">
        <v>275</v>
      </c>
      <c r="B69" s="1317" t="s">
        <v>1996</v>
      </c>
      <c r="C69" s="1317">
        <v>18810</v>
      </c>
      <c r="D69" s="1317">
        <v>15100</v>
      </c>
      <c r="E69" s="1317">
        <v>14710</v>
      </c>
      <c r="F69" s="1325"/>
      <c r="H69" s="1332"/>
    </row>
    <row r="70" s="1300" customFormat="1" ht="14.25" customHeight="1" spans="1:8">
      <c r="A70" s="1312" t="s">
        <v>275</v>
      </c>
      <c r="B70" s="1317" t="s">
        <v>2004</v>
      </c>
      <c r="C70" s="1317">
        <v>18270</v>
      </c>
      <c r="D70" s="1317"/>
      <c r="E70" s="1317"/>
      <c r="F70" s="1325"/>
      <c r="H70" s="1332"/>
    </row>
    <row r="71" s="1300" customFormat="1" ht="14.25" customHeight="1" spans="1:8">
      <c r="A71" s="1312" t="s">
        <v>275</v>
      </c>
      <c r="B71" s="1317" t="s">
        <v>2011</v>
      </c>
      <c r="C71" s="1317">
        <v>15230</v>
      </c>
      <c r="D71" s="1317"/>
      <c r="E71" s="1317"/>
      <c r="F71" s="1325"/>
      <c r="H71" s="1332"/>
    </row>
    <row r="72" s="1300" customFormat="1" ht="14.25" customHeight="1" spans="1:8">
      <c r="A72" s="1312" t="s">
        <v>275</v>
      </c>
      <c r="B72" s="1317" t="s">
        <v>2018</v>
      </c>
      <c r="C72" s="1317"/>
      <c r="D72" s="1317"/>
      <c r="E72" s="1317"/>
      <c r="F72" s="1325">
        <v>4120</v>
      </c>
      <c r="H72" s="1332"/>
    </row>
    <row r="73" s="1300" customFormat="1" ht="14.25" customHeight="1" spans="1:8">
      <c r="A73" s="1312" t="s">
        <v>275</v>
      </c>
      <c r="B73" s="1317" t="s">
        <v>2025</v>
      </c>
      <c r="C73" s="1317"/>
      <c r="D73" s="1317"/>
      <c r="E73" s="1317"/>
      <c r="F73" s="1325">
        <v>3930</v>
      </c>
      <c r="H73" s="1332"/>
    </row>
    <row r="74" s="1300" customFormat="1" ht="14.25" customHeight="1" spans="1:8">
      <c r="A74" s="1312" t="s">
        <v>275</v>
      </c>
      <c r="B74" s="1317" t="s">
        <v>2032</v>
      </c>
      <c r="C74" s="1317"/>
      <c r="D74" s="1317"/>
      <c r="E74" s="1317"/>
      <c r="F74" s="1325">
        <v>4060</v>
      </c>
      <c r="H74" s="1332"/>
    </row>
    <row r="75" s="1300" customFormat="1" ht="14.25" customHeight="1" spans="1:8">
      <c r="A75" s="1312" t="s">
        <v>275</v>
      </c>
      <c r="B75" s="1323" t="s">
        <v>2039</v>
      </c>
      <c r="C75" s="1323"/>
      <c r="D75" s="1323"/>
      <c r="E75" s="1323"/>
      <c r="F75" s="1333">
        <v>3750</v>
      </c>
      <c r="H75" s="1332"/>
    </row>
    <row r="76" s="1300" customFormat="1" ht="14.25" customHeight="1" spans="1:8">
      <c r="A76" s="1312" t="s">
        <v>284</v>
      </c>
      <c r="B76" s="1313" t="s">
        <v>1788</v>
      </c>
      <c r="C76" s="1313">
        <v>14690</v>
      </c>
      <c r="D76" s="1313">
        <v>14640</v>
      </c>
      <c r="E76" s="1313">
        <v>14590</v>
      </c>
      <c r="F76" s="1314">
        <v>3060</v>
      </c>
      <c r="H76" s="1332"/>
    </row>
    <row r="77" s="1300" customFormat="1" ht="14.25" customHeight="1" spans="1:8">
      <c r="A77" s="1312" t="s">
        <v>284</v>
      </c>
      <c r="B77" s="1317" t="s">
        <v>1801</v>
      </c>
      <c r="C77" s="1317">
        <v>12550</v>
      </c>
      <c r="D77" s="1317">
        <v>12480</v>
      </c>
      <c r="E77" s="1317">
        <v>12450</v>
      </c>
      <c r="F77" s="1325">
        <v>2590</v>
      </c>
      <c r="H77" s="1332"/>
    </row>
    <row r="78" s="1300" customFormat="1" ht="14.25" customHeight="1" spans="1:8">
      <c r="A78" s="1312" t="s">
        <v>284</v>
      </c>
      <c r="B78" s="1317" t="s">
        <v>1813</v>
      </c>
      <c r="C78" s="1317">
        <v>14360</v>
      </c>
      <c r="D78" s="1317">
        <v>14320</v>
      </c>
      <c r="E78" s="1317">
        <v>12510</v>
      </c>
      <c r="F78" s="1325">
        <v>2700</v>
      </c>
      <c r="H78" s="1332"/>
    </row>
    <row r="79" s="1300" customFormat="1" ht="14.25" customHeight="1" spans="1:8">
      <c r="A79" s="1312" t="s">
        <v>284</v>
      </c>
      <c r="B79" s="1317" t="s">
        <v>1825</v>
      </c>
      <c r="C79" s="1317">
        <v>12590</v>
      </c>
      <c r="D79" s="1317">
        <v>12540</v>
      </c>
      <c r="E79" s="1317">
        <v>12350</v>
      </c>
      <c r="F79" s="1325">
        <v>2740</v>
      </c>
      <c r="H79" s="1332"/>
    </row>
    <row r="80" s="1300" customFormat="1" ht="14.25" customHeight="1" spans="1:8">
      <c r="A80" s="1312" t="s">
        <v>284</v>
      </c>
      <c r="B80" s="1317" t="s">
        <v>1837</v>
      </c>
      <c r="C80" s="1317">
        <v>12450</v>
      </c>
      <c r="D80" s="1317">
        <v>12370</v>
      </c>
      <c r="E80" s="1317">
        <v>10790</v>
      </c>
      <c r="F80" s="1325">
        <v>2290</v>
      </c>
      <c r="H80" s="1332"/>
    </row>
    <row r="81" s="1300" customFormat="1" ht="14.25" customHeight="1" spans="1:8">
      <c r="A81" s="1312" t="s">
        <v>284</v>
      </c>
      <c r="B81" s="1317" t="s">
        <v>1848</v>
      </c>
      <c r="C81" s="1317">
        <v>14210</v>
      </c>
      <c r="D81" s="1317">
        <v>14150</v>
      </c>
      <c r="E81" s="1317">
        <v>12730</v>
      </c>
      <c r="F81" s="1325">
        <v>2240</v>
      </c>
      <c r="H81" s="1332"/>
    </row>
    <row r="82" s="1300" customFormat="1" ht="14.25" customHeight="1" spans="1:8">
      <c r="A82" s="1312" t="s">
        <v>284</v>
      </c>
      <c r="B82" s="1317" t="s">
        <v>1859</v>
      </c>
      <c r="C82" s="1317">
        <v>10860</v>
      </c>
      <c r="D82" s="1317">
        <v>10820</v>
      </c>
      <c r="E82" s="1317">
        <v>14720</v>
      </c>
      <c r="F82" s="1325">
        <v>2490</v>
      </c>
      <c r="H82" s="1332"/>
    </row>
    <row r="83" s="1300" customFormat="1" ht="14.25" customHeight="1" spans="1:8">
      <c r="A83" s="1312" t="s">
        <v>284</v>
      </c>
      <c r="B83" s="1317" t="s">
        <v>1870</v>
      </c>
      <c r="C83" s="1317">
        <v>12810</v>
      </c>
      <c r="D83" s="1317">
        <v>12760</v>
      </c>
      <c r="E83" s="1317">
        <v>14830</v>
      </c>
      <c r="F83" s="1325">
        <v>2450</v>
      </c>
      <c r="H83" s="1332"/>
    </row>
    <row r="84" s="1300" customFormat="1" ht="14.25" customHeight="1" spans="1:8">
      <c r="A84" s="1312" t="s">
        <v>284</v>
      </c>
      <c r="B84" s="1317" t="s">
        <v>1880</v>
      </c>
      <c r="C84" s="1317">
        <v>14950</v>
      </c>
      <c r="D84" s="1317">
        <v>14810</v>
      </c>
      <c r="E84" s="1317">
        <v>12590</v>
      </c>
      <c r="F84" s="1325">
        <v>2540</v>
      </c>
      <c r="H84" s="1332"/>
    </row>
    <row r="85" s="1300" customFormat="1" ht="14.25" customHeight="1" spans="1:8">
      <c r="A85" s="1312" t="s">
        <v>284</v>
      </c>
      <c r="B85" s="1317" t="s">
        <v>1890</v>
      </c>
      <c r="C85" s="1317">
        <v>14960</v>
      </c>
      <c r="D85" s="1317">
        <v>14890</v>
      </c>
      <c r="E85" s="1317">
        <v>12840</v>
      </c>
      <c r="F85" s="1325">
        <v>2840</v>
      </c>
      <c r="H85" s="1332"/>
    </row>
    <row r="86" s="1300" customFormat="1" ht="14.25" customHeight="1" spans="1:8">
      <c r="A86" s="1312" t="s">
        <v>284</v>
      </c>
      <c r="B86" s="1317" t="s">
        <v>1900</v>
      </c>
      <c r="C86" s="1317">
        <v>12730</v>
      </c>
      <c r="D86" s="1317">
        <v>12660</v>
      </c>
      <c r="E86" s="1317">
        <v>13310</v>
      </c>
      <c r="F86" s="1325">
        <v>3140</v>
      </c>
      <c r="H86" s="1332"/>
    </row>
    <row r="87" s="1300" customFormat="1" ht="14.25" customHeight="1" spans="1:8">
      <c r="A87" s="1312" t="s">
        <v>284</v>
      </c>
      <c r="B87" s="1317" t="s">
        <v>1910</v>
      </c>
      <c r="C87" s="1317">
        <v>12940</v>
      </c>
      <c r="D87" s="1317">
        <v>12890</v>
      </c>
      <c r="E87" s="1317">
        <v>11580</v>
      </c>
      <c r="F87" s="1334"/>
      <c r="H87" s="1332"/>
    </row>
    <row r="88" s="1300" customFormat="1" ht="14.25" customHeight="1" spans="1:8">
      <c r="A88" s="1312" t="s">
        <v>284</v>
      </c>
      <c r="B88" s="1317" t="s">
        <v>1920</v>
      </c>
      <c r="C88" s="1317">
        <v>13430</v>
      </c>
      <c r="D88" s="1317">
        <v>13360</v>
      </c>
      <c r="E88" s="1317">
        <v>12790</v>
      </c>
      <c r="F88" s="1334"/>
      <c r="H88" s="1332"/>
    </row>
    <row r="89" s="1300" customFormat="1" ht="14.25" customHeight="1" spans="1:8">
      <c r="A89" s="1312" t="s">
        <v>284</v>
      </c>
      <c r="B89" s="1317" t="s">
        <v>1930</v>
      </c>
      <c r="C89" s="1317">
        <v>11680</v>
      </c>
      <c r="D89" s="1317">
        <v>11630</v>
      </c>
      <c r="E89" s="1317">
        <v>11320</v>
      </c>
      <c r="F89" s="1334"/>
      <c r="H89" s="1332"/>
    </row>
    <row r="90" s="1300" customFormat="1" ht="14.25" customHeight="1" spans="1:8">
      <c r="A90" s="1312" t="s">
        <v>284</v>
      </c>
      <c r="B90" s="1317" t="s">
        <v>1940</v>
      </c>
      <c r="C90" s="1317">
        <v>12890</v>
      </c>
      <c r="D90" s="1317">
        <v>12820</v>
      </c>
      <c r="E90" s="1317">
        <v>12710</v>
      </c>
      <c r="F90" s="1334"/>
      <c r="H90" s="1332"/>
    </row>
    <row r="91" s="1300" customFormat="1" ht="14.25" customHeight="1" spans="1:8">
      <c r="A91" s="1312" t="s">
        <v>284</v>
      </c>
      <c r="B91" s="1317" t="s">
        <v>1950</v>
      </c>
      <c r="C91" s="1317">
        <v>11410</v>
      </c>
      <c r="D91" s="1317">
        <v>11360</v>
      </c>
      <c r="E91" s="1317">
        <v>12670</v>
      </c>
      <c r="F91" s="1334"/>
      <c r="H91" s="1332"/>
    </row>
    <row r="92" s="1300" customFormat="1" ht="14.25" customHeight="1" spans="1:8">
      <c r="A92" s="1312" t="s">
        <v>284</v>
      </c>
      <c r="B92" s="1317" t="s">
        <v>1960</v>
      </c>
      <c r="C92" s="1317">
        <v>12770</v>
      </c>
      <c r="D92" s="1317">
        <v>12740</v>
      </c>
      <c r="E92" s="1317">
        <v>11970</v>
      </c>
      <c r="F92" s="1334"/>
      <c r="H92" s="1332"/>
    </row>
    <row r="93" s="1300" customFormat="1" ht="14.25" customHeight="1" spans="1:8">
      <c r="A93" s="1312" t="s">
        <v>284</v>
      </c>
      <c r="B93" s="1317" t="s">
        <v>1970</v>
      </c>
      <c r="C93" s="1317">
        <v>12740</v>
      </c>
      <c r="D93" s="1317">
        <v>12700</v>
      </c>
      <c r="E93" s="1317">
        <v>12540</v>
      </c>
      <c r="F93" s="1334"/>
      <c r="H93" s="1332"/>
    </row>
    <row r="94" s="1300" customFormat="1" ht="14.25" customHeight="1" spans="1:8">
      <c r="A94" s="1312" t="s">
        <v>284</v>
      </c>
      <c r="B94" s="1317" t="s">
        <v>1980</v>
      </c>
      <c r="C94" s="1317">
        <v>12020</v>
      </c>
      <c r="D94" s="1317">
        <v>11990</v>
      </c>
      <c r="E94" s="1317">
        <v>13110</v>
      </c>
      <c r="F94" s="1334"/>
      <c r="H94" s="1332"/>
    </row>
    <row r="95" s="1300" customFormat="1" ht="14.25" customHeight="1" spans="1:8">
      <c r="A95" s="1312" t="s">
        <v>284</v>
      </c>
      <c r="B95" s="1317" t="s">
        <v>1989</v>
      </c>
      <c r="C95" s="1317">
        <v>12620</v>
      </c>
      <c r="D95" s="1317">
        <v>12580</v>
      </c>
      <c r="E95" s="1317">
        <v>13160</v>
      </c>
      <c r="F95" s="1325"/>
      <c r="H95" s="1332"/>
    </row>
    <row r="96" s="1300" customFormat="1" ht="14.25" customHeight="1" spans="1:8">
      <c r="A96" s="1312" t="s">
        <v>284</v>
      </c>
      <c r="B96" s="1317" t="s">
        <v>1997</v>
      </c>
      <c r="C96" s="1317">
        <v>13200</v>
      </c>
      <c r="D96" s="1317">
        <v>13150</v>
      </c>
      <c r="E96" s="1317">
        <v>12900</v>
      </c>
      <c r="F96" s="1325"/>
      <c r="H96" s="1332"/>
    </row>
    <row r="97" s="1300" customFormat="1" ht="14.25" customHeight="1" spans="1:8">
      <c r="A97" s="1312" t="s">
        <v>284</v>
      </c>
      <c r="B97" s="1317" t="s">
        <v>2005</v>
      </c>
      <c r="C97" s="1317">
        <v>13270</v>
      </c>
      <c r="D97" s="1317">
        <v>13210</v>
      </c>
      <c r="E97" s="1317">
        <v>11080</v>
      </c>
      <c r="F97" s="1325"/>
      <c r="H97" s="1332"/>
    </row>
    <row r="98" s="1300" customFormat="1" ht="14.25" customHeight="1" spans="1:8">
      <c r="A98" s="1312" t="s">
        <v>284</v>
      </c>
      <c r="B98" s="1317" t="s">
        <v>2012</v>
      </c>
      <c r="C98" s="1317">
        <v>13010</v>
      </c>
      <c r="D98" s="1317">
        <v>12930</v>
      </c>
      <c r="E98" s="1317">
        <v>12840</v>
      </c>
      <c r="F98" s="1325"/>
      <c r="H98" s="1332"/>
    </row>
    <row r="99" s="1300" customFormat="1" ht="14.25" customHeight="1" spans="1:8">
      <c r="A99" s="1312" t="s">
        <v>284</v>
      </c>
      <c r="B99" s="1317" t="s">
        <v>2019</v>
      </c>
      <c r="C99" s="1317">
        <v>11190</v>
      </c>
      <c r="D99" s="1317">
        <v>11130</v>
      </c>
      <c r="E99" s="1317"/>
      <c r="F99" s="1325"/>
      <c r="H99" s="1332"/>
    </row>
    <row r="100" s="1300" customFormat="1" ht="14.25" customHeight="1" spans="1:8">
      <c r="A100" s="1312" t="s">
        <v>284</v>
      </c>
      <c r="B100" s="1317" t="s">
        <v>2026</v>
      </c>
      <c r="C100" s="1317">
        <v>14280</v>
      </c>
      <c r="D100" s="1317">
        <v>14180</v>
      </c>
      <c r="E100" s="1317"/>
      <c r="F100" s="1325"/>
      <c r="H100" s="1332"/>
    </row>
    <row r="101" s="1300" customFormat="1" ht="14.25" customHeight="1" spans="1:8">
      <c r="A101" s="1312" t="s">
        <v>284</v>
      </c>
      <c r="B101" s="1317" t="s">
        <v>2033</v>
      </c>
      <c r="C101" s="1317">
        <v>12960</v>
      </c>
      <c r="D101" s="1317">
        <v>12890</v>
      </c>
      <c r="E101" s="1317"/>
      <c r="F101" s="1325"/>
      <c r="H101" s="1332"/>
    </row>
    <row r="102" s="1300" customFormat="1" ht="14.25" customHeight="1" spans="1:8">
      <c r="A102" s="1312" t="s">
        <v>284</v>
      </c>
      <c r="B102" s="1317" t="s">
        <v>2040</v>
      </c>
      <c r="C102" s="1317"/>
      <c r="D102" s="1317"/>
      <c r="E102" s="1317"/>
      <c r="F102" s="1325">
        <v>3100</v>
      </c>
      <c r="H102" s="1332"/>
    </row>
    <row r="103" s="1300" customFormat="1" ht="14.25" customHeight="1" spans="1:8">
      <c r="A103" s="1312" t="s">
        <v>284</v>
      </c>
      <c r="B103" s="1317" t="s">
        <v>2045</v>
      </c>
      <c r="C103" s="1317"/>
      <c r="D103" s="1317"/>
      <c r="E103" s="1317"/>
      <c r="F103" s="1325">
        <v>2320</v>
      </c>
      <c r="H103" s="1332"/>
    </row>
    <row r="104" s="1300" customFormat="1" ht="14.25" customHeight="1" spans="1:8">
      <c r="A104" s="1312" t="s">
        <v>284</v>
      </c>
      <c r="B104" s="1317" t="s">
        <v>2050</v>
      </c>
      <c r="C104" s="1317"/>
      <c r="D104" s="1317"/>
      <c r="E104" s="1317"/>
      <c r="F104" s="1325">
        <v>2320</v>
      </c>
      <c r="H104" s="1332"/>
    </row>
    <row r="105" s="1300" customFormat="1" ht="14.25" customHeight="1" spans="1:8">
      <c r="A105" s="1312" t="s">
        <v>284</v>
      </c>
      <c r="B105" s="1317" t="s">
        <v>2055</v>
      </c>
      <c r="C105" s="1317"/>
      <c r="D105" s="1317"/>
      <c r="E105" s="1317"/>
      <c r="F105" s="1325">
        <v>2320</v>
      </c>
      <c r="H105" s="1332"/>
    </row>
    <row r="106" s="1300" customFormat="1" ht="14.25" customHeight="1" spans="1:8">
      <c r="A106" s="1312" t="s">
        <v>284</v>
      </c>
      <c r="B106" s="1317" t="s">
        <v>2060</v>
      </c>
      <c r="C106" s="1317"/>
      <c r="D106" s="1317"/>
      <c r="E106" s="1317"/>
      <c r="F106" s="1325">
        <v>2320</v>
      </c>
      <c r="H106" s="1332"/>
    </row>
    <row r="107" s="1300" customFormat="1" ht="14.25" customHeight="1" spans="1:8">
      <c r="A107" s="1312" t="s">
        <v>284</v>
      </c>
      <c r="B107" s="1317" t="s">
        <v>2065</v>
      </c>
      <c r="C107" s="1317"/>
      <c r="D107" s="1317"/>
      <c r="E107" s="1317"/>
      <c r="F107" s="1325">
        <v>2280</v>
      </c>
      <c r="H107" s="1332"/>
    </row>
    <row r="108" s="1300" customFormat="1" ht="14.25" customHeight="1" spans="1:8">
      <c r="A108" s="1312" t="s">
        <v>284</v>
      </c>
      <c r="B108" s="1317" t="s">
        <v>2070</v>
      </c>
      <c r="C108" s="1317"/>
      <c r="D108" s="1317"/>
      <c r="E108" s="1317"/>
      <c r="F108" s="1325">
        <v>2280</v>
      </c>
      <c r="H108" s="1332"/>
    </row>
    <row r="109" s="1300" customFormat="1" ht="14.25" customHeight="1" spans="1:8">
      <c r="A109" s="1312" t="s">
        <v>284</v>
      </c>
      <c r="B109" s="1323" t="s">
        <v>2075</v>
      </c>
      <c r="C109" s="1323"/>
      <c r="D109" s="1323"/>
      <c r="E109" s="1323"/>
      <c r="F109" s="1333">
        <v>2280</v>
      </c>
      <c r="H109" s="1332"/>
    </row>
    <row r="110" s="1300" customFormat="1" ht="14.25" customHeight="1" spans="1:8">
      <c r="A110" s="1312" t="s">
        <v>292</v>
      </c>
      <c r="B110" s="1313" t="s">
        <v>1789</v>
      </c>
      <c r="C110" s="1313">
        <v>10520</v>
      </c>
      <c r="D110" s="1313">
        <v>10490</v>
      </c>
      <c r="E110" s="1313">
        <v>10760</v>
      </c>
      <c r="F110" s="1314">
        <v>2160</v>
      </c>
      <c r="H110" s="1332"/>
    </row>
    <row r="111" s="1300" customFormat="1" ht="14.25" customHeight="1" spans="1:8">
      <c r="A111" s="1312" t="s">
        <v>292</v>
      </c>
      <c r="B111" s="1317" t="s">
        <v>1802</v>
      </c>
      <c r="C111" s="1317">
        <v>10090</v>
      </c>
      <c r="D111" s="1317">
        <v>10060</v>
      </c>
      <c r="E111" s="1317">
        <v>10300</v>
      </c>
      <c r="F111" s="1325">
        <v>2010</v>
      </c>
      <c r="H111" s="1332"/>
    </row>
    <row r="112" s="1300" customFormat="1" ht="14.25" customHeight="1" spans="1:8">
      <c r="A112" s="1312" t="s">
        <v>292</v>
      </c>
      <c r="B112" s="1317" t="s">
        <v>1814</v>
      </c>
      <c r="C112" s="1317">
        <v>9910</v>
      </c>
      <c r="D112" s="1317">
        <v>9850</v>
      </c>
      <c r="E112" s="1317">
        <v>9960</v>
      </c>
      <c r="F112" s="1325">
        <v>2090</v>
      </c>
      <c r="H112" s="1332"/>
    </row>
    <row r="113" s="1300" customFormat="1" ht="14.25" customHeight="1" spans="1:8">
      <c r="A113" s="1312" t="s">
        <v>292</v>
      </c>
      <c r="B113" s="1317" t="s">
        <v>1826</v>
      </c>
      <c r="C113" s="1317">
        <v>11430</v>
      </c>
      <c r="D113" s="1317">
        <v>11400</v>
      </c>
      <c r="E113" s="1317">
        <v>11710</v>
      </c>
      <c r="F113" s="1325">
        <v>2050</v>
      </c>
      <c r="H113" s="1332"/>
    </row>
    <row r="114" s="1300" customFormat="1" ht="14.25" customHeight="1" spans="1:8">
      <c r="A114" s="1312" t="s">
        <v>292</v>
      </c>
      <c r="B114" s="1317" t="s">
        <v>1838</v>
      </c>
      <c r="C114" s="1317">
        <v>11390</v>
      </c>
      <c r="D114" s="1317">
        <v>11350</v>
      </c>
      <c r="E114" s="1317">
        <v>11640</v>
      </c>
      <c r="F114" s="1325">
        <v>1620</v>
      </c>
      <c r="H114" s="1332"/>
    </row>
    <row r="115" s="1300" customFormat="1" ht="14.25" customHeight="1" spans="1:8">
      <c r="A115" s="1312" t="s">
        <v>292</v>
      </c>
      <c r="B115" s="1317" t="s">
        <v>1849</v>
      </c>
      <c r="C115" s="1317">
        <v>9930</v>
      </c>
      <c r="D115" s="1317">
        <v>9900</v>
      </c>
      <c r="E115" s="1317">
        <v>10160</v>
      </c>
      <c r="F115" s="1325">
        <v>1580</v>
      </c>
      <c r="H115" s="1332"/>
    </row>
    <row r="116" s="1300" customFormat="1" ht="14.25" customHeight="1" spans="1:8">
      <c r="A116" s="1312" t="s">
        <v>292</v>
      </c>
      <c r="B116" s="1317" t="s">
        <v>1860</v>
      </c>
      <c r="C116" s="1317">
        <v>9150</v>
      </c>
      <c r="D116" s="1317">
        <v>9120</v>
      </c>
      <c r="E116" s="1317">
        <v>9380</v>
      </c>
      <c r="F116" s="1325">
        <v>1750</v>
      </c>
      <c r="H116" s="1332"/>
    </row>
    <row r="117" s="1300" customFormat="1" ht="14.25" customHeight="1" spans="1:8">
      <c r="A117" s="1312" t="s">
        <v>292</v>
      </c>
      <c r="B117" s="1317" t="s">
        <v>1871</v>
      </c>
      <c r="C117" s="1317">
        <v>10680</v>
      </c>
      <c r="D117" s="1317">
        <v>10650</v>
      </c>
      <c r="E117" s="1317">
        <v>10970</v>
      </c>
      <c r="F117" s="1325">
        <v>1730</v>
      </c>
      <c r="H117" s="1332"/>
    </row>
    <row r="118" s="1300" customFormat="1" ht="14.25" customHeight="1" spans="1:8">
      <c r="A118" s="1312" t="s">
        <v>292</v>
      </c>
      <c r="B118" s="1317" t="s">
        <v>1881</v>
      </c>
      <c r="C118" s="1317">
        <v>10080</v>
      </c>
      <c r="D118" s="1317">
        <v>10050</v>
      </c>
      <c r="E118" s="1317">
        <v>10350</v>
      </c>
      <c r="F118" s="1325">
        <v>1920</v>
      </c>
      <c r="H118" s="1332"/>
    </row>
    <row r="119" s="1300" customFormat="1" ht="14.25" customHeight="1" spans="1:8">
      <c r="A119" s="1312" t="s">
        <v>292</v>
      </c>
      <c r="B119" s="1317" t="s">
        <v>1891</v>
      </c>
      <c r="C119" s="1317">
        <v>9450</v>
      </c>
      <c r="D119" s="1317">
        <v>9410</v>
      </c>
      <c r="E119" s="1317">
        <v>9680</v>
      </c>
      <c r="F119" s="1325">
        <v>1880</v>
      </c>
      <c r="H119" s="1332"/>
    </row>
    <row r="120" s="1300" customFormat="1" ht="14.25" customHeight="1" spans="1:8">
      <c r="A120" s="1312" t="s">
        <v>292</v>
      </c>
      <c r="B120" s="1317" t="s">
        <v>1901</v>
      </c>
      <c r="C120" s="1317">
        <v>8730</v>
      </c>
      <c r="D120" s="1317">
        <v>8700</v>
      </c>
      <c r="E120" s="1317">
        <v>8950</v>
      </c>
      <c r="F120" s="1325">
        <v>1830</v>
      </c>
      <c r="H120" s="1332"/>
    </row>
    <row r="121" s="1300" customFormat="1" ht="14.25" customHeight="1" spans="1:8">
      <c r="A121" s="1312" t="s">
        <v>292</v>
      </c>
      <c r="B121" s="1317" t="s">
        <v>1911</v>
      </c>
      <c r="C121" s="1317">
        <v>10070</v>
      </c>
      <c r="D121" s="1317">
        <v>10040</v>
      </c>
      <c r="E121" s="1317">
        <v>10270</v>
      </c>
      <c r="F121" s="1325">
        <v>1960</v>
      </c>
      <c r="H121" s="1332"/>
    </row>
    <row r="122" s="1300" customFormat="1" ht="14.25" customHeight="1" spans="1:8">
      <c r="A122" s="1312" t="s">
        <v>292</v>
      </c>
      <c r="B122" s="1317" t="s">
        <v>1921</v>
      </c>
      <c r="C122" s="1317">
        <v>10500</v>
      </c>
      <c r="D122" s="1317">
        <v>10470</v>
      </c>
      <c r="E122" s="1317">
        <v>10780</v>
      </c>
      <c r="F122" s="1325">
        <v>2180</v>
      </c>
      <c r="H122" s="1332"/>
    </row>
    <row r="123" s="1300" customFormat="1" ht="14.25" customHeight="1" spans="1:8">
      <c r="A123" s="1312" t="s">
        <v>292</v>
      </c>
      <c r="B123" s="1317" t="s">
        <v>1931</v>
      </c>
      <c r="C123" s="1317">
        <v>10390</v>
      </c>
      <c r="D123" s="1317">
        <v>10360</v>
      </c>
      <c r="E123" s="1317">
        <v>10660</v>
      </c>
      <c r="F123" s="1325">
        <v>2040</v>
      </c>
      <c r="H123" s="1332"/>
    </row>
    <row r="124" s="1300" customFormat="1" ht="14.25" customHeight="1" spans="1:8">
      <c r="A124" s="1312" t="s">
        <v>292</v>
      </c>
      <c r="B124" s="1317" t="s">
        <v>1941</v>
      </c>
      <c r="C124" s="1317">
        <v>10390</v>
      </c>
      <c r="D124" s="1317">
        <v>10360</v>
      </c>
      <c r="E124" s="1317">
        <v>10680</v>
      </c>
      <c r="F124" s="1334"/>
      <c r="H124" s="1332"/>
    </row>
    <row r="125" s="1300" customFormat="1" ht="14.25" customHeight="1" spans="1:8">
      <c r="A125" s="1312" t="s">
        <v>292</v>
      </c>
      <c r="B125" s="1317" t="s">
        <v>1951</v>
      </c>
      <c r="C125" s="1317">
        <v>10440</v>
      </c>
      <c r="D125" s="1317">
        <v>10410</v>
      </c>
      <c r="E125" s="1317">
        <v>10710</v>
      </c>
      <c r="F125" s="1334"/>
      <c r="H125" s="1332"/>
    </row>
    <row r="126" s="1300" customFormat="1" ht="14.25" customHeight="1" spans="1:8">
      <c r="A126" s="1312" t="s">
        <v>292</v>
      </c>
      <c r="B126" s="1317" t="s">
        <v>1961</v>
      </c>
      <c r="C126" s="1317">
        <v>10780</v>
      </c>
      <c r="D126" s="1317">
        <v>10750</v>
      </c>
      <c r="E126" s="1317">
        <v>11080</v>
      </c>
      <c r="F126" s="1334"/>
      <c r="H126" s="1332"/>
    </row>
    <row r="127" s="1300" customFormat="1" ht="14.25" customHeight="1" spans="1:8">
      <c r="A127" s="1312" t="s">
        <v>292</v>
      </c>
      <c r="B127" s="1317" t="s">
        <v>1971</v>
      </c>
      <c r="C127" s="1317">
        <v>10100</v>
      </c>
      <c r="D127" s="1317">
        <v>10070</v>
      </c>
      <c r="E127" s="1317">
        <v>10350</v>
      </c>
      <c r="F127" s="1334"/>
      <c r="H127" s="1332"/>
    </row>
    <row r="128" s="1300" customFormat="1" ht="14.25" customHeight="1" spans="1:8">
      <c r="A128" s="1312" t="s">
        <v>292</v>
      </c>
      <c r="B128" s="1317" t="s">
        <v>1981</v>
      </c>
      <c r="C128" s="1317">
        <v>9200</v>
      </c>
      <c r="D128" s="1317">
        <v>9160</v>
      </c>
      <c r="E128" s="1317">
        <v>9660</v>
      </c>
      <c r="F128" s="1334"/>
      <c r="H128" s="1332"/>
    </row>
    <row r="129" s="1300" customFormat="1" ht="14.25" customHeight="1" spans="1:8">
      <c r="A129" s="1312" t="s">
        <v>292</v>
      </c>
      <c r="B129" s="1317" t="s">
        <v>1990</v>
      </c>
      <c r="C129" s="1317">
        <v>10340</v>
      </c>
      <c r="D129" s="1317">
        <v>10310</v>
      </c>
      <c r="E129" s="1317">
        <v>10580</v>
      </c>
      <c r="F129" s="1334"/>
      <c r="H129" s="1332"/>
    </row>
    <row r="130" s="1300" customFormat="1" ht="14.25" customHeight="1" spans="1:8">
      <c r="A130" s="1312" t="s">
        <v>292</v>
      </c>
      <c r="B130" s="1317" t="s">
        <v>1998</v>
      </c>
      <c r="C130" s="1317">
        <v>9680</v>
      </c>
      <c r="D130" s="1317">
        <v>9660</v>
      </c>
      <c r="E130" s="1317">
        <v>9950</v>
      </c>
      <c r="F130" s="1334"/>
      <c r="H130" s="1332"/>
    </row>
    <row r="131" s="1300" customFormat="1" ht="14.25" customHeight="1" spans="1:8">
      <c r="A131" s="1312" t="s">
        <v>292</v>
      </c>
      <c r="B131" s="1317" t="s">
        <v>2006</v>
      </c>
      <c r="C131" s="1317">
        <v>9540</v>
      </c>
      <c r="D131" s="1317">
        <v>9510</v>
      </c>
      <c r="E131" s="1317">
        <v>9790</v>
      </c>
      <c r="F131" s="1334"/>
      <c r="H131" s="1332"/>
    </row>
    <row r="132" s="1300" customFormat="1" ht="14.25" customHeight="1" spans="1:8">
      <c r="A132" s="1312" t="s">
        <v>292</v>
      </c>
      <c r="B132" s="1317" t="s">
        <v>2013</v>
      </c>
      <c r="C132" s="1317">
        <v>9320</v>
      </c>
      <c r="D132" s="1317">
        <v>9290</v>
      </c>
      <c r="E132" s="1317">
        <v>9570</v>
      </c>
      <c r="F132" s="1334"/>
      <c r="H132" s="1332"/>
    </row>
    <row r="133" s="1300" customFormat="1" ht="14.25" customHeight="1" spans="1:8">
      <c r="A133" s="1312" t="s">
        <v>292</v>
      </c>
      <c r="B133" s="1317" t="s">
        <v>2020</v>
      </c>
      <c r="C133" s="1317">
        <v>10310</v>
      </c>
      <c r="D133" s="1317">
        <v>10280</v>
      </c>
      <c r="E133" s="1317">
        <v>10530</v>
      </c>
      <c r="F133" s="1334"/>
      <c r="H133" s="1332"/>
    </row>
    <row r="134" s="1300" customFormat="1" ht="14.25" customHeight="1" spans="1:8">
      <c r="A134" s="1312" t="s">
        <v>292</v>
      </c>
      <c r="B134" s="1317" t="s">
        <v>2027</v>
      </c>
      <c r="C134" s="1317">
        <v>10370</v>
      </c>
      <c r="D134" s="1317">
        <v>10310</v>
      </c>
      <c r="E134" s="1317">
        <v>10240</v>
      </c>
      <c r="F134" s="1325">
        <v>2060</v>
      </c>
      <c r="H134" s="1332"/>
    </row>
    <row r="135" s="1300" customFormat="1" ht="14.25" customHeight="1" spans="1:8">
      <c r="A135" s="1312" t="s">
        <v>292</v>
      </c>
      <c r="B135" s="1317" t="s">
        <v>2034</v>
      </c>
      <c r="C135" s="1317">
        <v>9300</v>
      </c>
      <c r="D135" s="1317">
        <v>9270</v>
      </c>
      <c r="E135" s="1317">
        <v>9350</v>
      </c>
      <c r="F135" s="1334"/>
      <c r="H135" s="1332"/>
    </row>
    <row r="136" s="1300" customFormat="1" ht="14.25" customHeight="1" spans="1:8">
      <c r="A136" s="1312" t="s">
        <v>292</v>
      </c>
      <c r="B136" s="1317" t="s">
        <v>2041</v>
      </c>
      <c r="C136" s="1317">
        <v>10160</v>
      </c>
      <c r="D136" s="1317">
        <v>10110</v>
      </c>
      <c r="E136" s="1317">
        <v>10080</v>
      </c>
      <c r="F136" s="1334"/>
      <c r="H136" s="1332"/>
    </row>
    <row r="137" s="1300" customFormat="1" ht="14.25" customHeight="1" spans="1:8">
      <c r="A137" s="1312" t="s">
        <v>292</v>
      </c>
      <c r="B137" s="1317" t="s">
        <v>2046</v>
      </c>
      <c r="C137" s="1317">
        <v>9200</v>
      </c>
      <c r="D137" s="1317">
        <v>9170</v>
      </c>
      <c r="E137" s="1317">
        <v>9450</v>
      </c>
      <c r="F137" s="1334"/>
      <c r="H137" s="1332"/>
    </row>
    <row r="138" s="1300" customFormat="1" ht="14.25" customHeight="1" spans="1:8">
      <c r="A138" s="1312" t="s">
        <v>292</v>
      </c>
      <c r="B138" s="1317" t="s">
        <v>2051</v>
      </c>
      <c r="C138" s="1317">
        <v>9690</v>
      </c>
      <c r="D138" s="1317">
        <v>9660</v>
      </c>
      <c r="E138" s="1317">
        <v>9840</v>
      </c>
      <c r="F138" s="1334"/>
      <c r="H138" s="1332"/>
    </row>
    <row r="139" s="1300" customFormat="1" ht="14.25" customHeight="1" spans="1:8">
      <c r="A139" s="1312" t="s">
        <v>292</v>
      </c>
      <c r="B139" s="1317" t="s">
        <v>2056</v>
      </c>
      <c r="C139" s="1317">
        <v>10290</v>
      </c>
      <c r="D139" s="1317">
        <v>10260</v>
      </c>
      <c r="E139" s="1317">
        <v>10550</v>
      </c>
      <c r="F139" s="1325">
        <v>1700</v>
      </c>
      <c r="H139" s="1332"/>
    </row>
    <row r="140" s="1300" customFormat="1" ht="14.25" customHeight="1" spans="1:8">
      <c r="A140" s="1312" t="s">
        <v>292</v>
      </c>
      <c r="B140" s="1317" t="s">
        <v>2061</v>
      </c>
      <c r="C140" s="1317">
        <v>9740</v>
      </c>
      <c r="D140" s="1317">
        <v>9710</v>
      </c>
      <c r="E140" s="1317">
        <v>10000</v>
      </c>
      <c r="F140" s="1325">
        <v>2000</v>
      </c>
      <c r="H140" s="1332"/>
    </row>
    <row r="141" s="1300" customFormat="1" ht="14.25" customHeight="1" spans="1:8">
      <c r="A141" s="1312" t="s">
        <v>292</v>
      </c>
      <c r="B141" s="1317" t="s">
        <v>2066</v>
      </c>
      <c r="C141" s="1317">
        <v>9810</v>
      </c>
      <c r="D141" s="1317">
        <v>9770</v>
      </c>
      <c r="E141" s="1317">
        <v>10060</v>
      </c>
      <c r="F141" s="1334"/>
      <c r="H141" s="1332"/>
    </row>
    <row r="142" s="1300" customFormat="1" ht="14.25" customHeight="1" spans="1:8">
      <c r="A142" s="1312" t="s">
        <v>292</v>
      </c>
      <c r="B142" s="1317" t="s">
        <v>2071</v>
      </c>
      <c r="C142" s="1317">
        <v>9300</v>
      </c>
      <c r="D142" s="1317">
        <v>9270</v>
      </c>
      <c r="E142" s="1317">
        <v>9530</v>
      </c>
      <c r="F142" s="1334"/>
      <c r="H142" s="1332"/>
    </row>
    <row r="143" s="1300" customFormat="1" ht="14.25" customHeight="1" spans="1:8">
      <c r="A143" s="1312" t="s">
        <v>292</v>
      </c>
      <c r="B143" s="1317" t="s">
        <v>2076</v>
      </c>
      <c r="C143" s="1317">
        <v>10080</v>
      </c>
      <c r="D143" s="1317">
        <v>10050</v>
      </c>
      <c r="E143" s="1317">
        <v>10340</v>
      </c>
      <c r="F143" s="1334"/>
      <c r="H143" s="1332"/>
    </row>
    <row r="144" s="1300" customFormat="1" ht="14.25" customHeight="1" spans="1:8">
      <c r="A144" s="1312" t="s">
        <v>292</v>
      </c>
      <c r="B144" s="1317" t="s">
        <v>2080</v>
      </c>
      <c r="C144" s="1317">
        <v>9820</v>
      </c>
      <c r="D144" s="1317">
        <v>9750</v>
      </c>
      <c r="E144" s="1317">
        <v>9900</v>
      </c>
      <c r="F144" s="1334"/>
      <c r="H144" s="1332"/>
    </row>
    <row r="145" s="1300" customFormat="1" ht="14.25" customHeight="1" spans="1:8">
      <c r="A145" s="1312" t="s">
        <v>292</v>
      </c>
      <c r="B145" s="1317" t="s">
        <v>2084</v>
      </c>
      <c r="C145" s="1317"/>
      <c r="D145" s="1317"/>
      <c r="E145" s="1317"/>
      <c r="F145" s="1325">
        <v>1740</v>
      </c>
      <c r="H145" s="1332"/>
    </row>
    <row r="146" s="1300" customFormat="1" ht="14.25" customHeight="1" spans="1:8">
      <c r="A146" s="1312" t="s">
        <v>292</v>
      </c>
      <c r="B146" s="1317" t="s">
        <v>2088</v>
      </c>
      <c r="C146" s="1317"/>
      <c r="D146" s="1317"/>
      <c r="E146" s="1317"/>
      <c r="F146" s="1325">
        <v>1740</v>
      </c>
      <c r="H146" s="1332"/>
    </row>
    <row r="147" s="1300" customFormat="1" ht="14.25" customHeight="1" spans="1:8">
      <c r="A147" s="1312" t="s">
        <v>292</v>
      </c>
      <c r="B147" s="1317" t="s">
        <v>2092</v>
      </c>
      <c r="C147" s="1317"/>
      <c r="D147" s="1317"/>
      <c r="E147" s="1317"/>
      <c r="F147" s="1325">
        <v>1740</v>
      </c>
      <c r="H147" s="1332"/>
    </row>
    <row r="148" s="1300" customFormat="1" ht="14.25" customHeight="1" spans="1:8">
      <c r="A148" s="1312" t="s">
        <v>292</v>
      </c>
      <c r="B148" s="1317" t="s">
        <v>2096</v>
      </c>
      <c r="C148" s="1317"/>
      <c r="D148" s="1317"/>
      <c r="E148" s="1317"/>
      <c r="F148" s="1325">
        <v>1740</v>
      </c>
      <c r="H148" s="1332"/>
    </row>
    <row r="149" s="1300" customFormat="1" ht="14.25" customHeight="1" spans="1:8">
      <c r="A149" s="1312" t="s">
        <v>292</v>
      </c>
      <c r="B149" s="1317" t="s">
        <v>2100</v>
      </c>
      <c r="C149" s="1317"/>
      <c r="D149" s="1317"/>
      <c r="E149" s="1317"/>
      <c r="F149" s="1325">
        <v>1740</v>
      </c>
      <c r="H149" s="1332"/>
    </row>
    <row r="150" s="1300" customFormat="1" ht="14.25" customHeight="1" spans="1:8">
      <c r="A150" s="1312" t="s">
        <v>292</v>
      </c>
      <c r="B150" s="1317" t="s">
        <v>2103</v>
      </c>
      <c r="C150" s="1317"/>
      <c r="D150" s="1317"/>
      <c r="E150" s="1317"/>
      <c r="F150" s="1325">
        <v>1610</v>
      </c>
      <c r="H150" s="1332"/>
    </row>
    <row r="151" s="1300" customFormat="1" ht="14.25" customHeight="1" spans="1:8">
      <c r="A151" s="1312" t="s">
        <v>292</v>
      </c>
      <c r="B151" s="1317" t="s">
        <v>2106</v>
      </c>
      <c r="C151" s="1317"/>
      <c r="D151" s="1317"/>
      <c r="E151" s="1317"/>
      <c r="F151" s="1325">
        <v>1610</v>
      </c>
      <c r="H151" s="1332"/>
    </row>
    <row r="152" s="1300" customFormat="1" ht="14.25" customHeight="1" spans="1:8">
      <c r="A152" s="1312" t="s">
        <v>292</v>
      </c>
      <c r="B152" s="1317" t="s">
        <v>2109</v>
      </c>
      <c r="C152" s="1317"/>
      <c r="D152" s="1317"/>
      <c r="E152" s="1317"/>
      <c r="F152" s="1325">
        <v>1610</v>
      </c>
      <c r="H152" s="1332"/>
    </row>
    <row r="153" s="1300" customFormat="1" ht="14.25" customHeight="1" spans="1:8">
      <c r="A153" s="1312" t="s">
        <v>292</v>
      </c>
      <c r="B153" s="1317" t="s">
        <v>2112</v>
      </c>
      <c r="C153" s="1317"/>
      <c r="D153" s="1317"/>
      <c r="E153" s="1317"/>
      <c r="F153" s="1325">
        <v>1610</v>
      </c>
      <c r="H153" s="1332"/>
    </row>
    <row r="154" s="1300" customFormat="1" ht="14.25" customHeight="1" spans="1:8">
      <c r="A154" s="1312" t="s">
        <v>292</v>
      </c>
      <c r="B154" s="1317" t="s">
        <v>2115</v>
      </c>
      <c r="C154" s="1317"/>
      <c r="D154" s="1317"/>
      <c r="E154" s="1317"/>
      <c r="F154" s="1325">
        <v>1610</v>
      </c>
      <c r="H154" s="1332"/>
    </row>
    <row r="155" s="1300" customFormat="1" ht="14.25" customHeight="1" spans="1:8">
      <c r="A155" s="1312" t="s">
        <v>292</v>
      </c>
      <c r="B155" s="1317" t="s">
        <v>2118</v>
      </c>
      <c r="C155" s="1317"/>
      <c r="D155" s="1317"/>
      <c r="E155" s="1317"/>
      <c r="F155" s="1325">
        <v>1800</v>
      </c>
      <c r="H155" s="1332"/>
    </row>
    <row r="156" s="1300" customFormat="1" ht="14.25" customHeight="1" spans="1:8">
      <c r="A156" s="1312" t="s">
        <v>292</v>
      </c>
      <c r="B156" s="1317" t="s">
        <v>2120</v>
      </c>
      <c r="C156" s="1317"/>
      <c r="D156" s="1317"/>
      <c r="E156" s="1317"/>
      <c r="F156" s="1325">
        <v>1910</v>
      </c>
      <c r="H156" s="1332"/>
    </row>
    <row r="157" s="1300" customFormat="1" ht="14.25" customHeight="1" spans="1:8">
      <c r="A157" s="1312" t="s">
        <v>292</v>
      </c>
      <c r="B157" s="1323" t="s">
        <v>2122</v>
      </c>
      <c r="C157" s="1323"/>
      <c r="D157" s="1323"/>
      <c r="E157" s="1323"/>
      <c r="F157" s="1333">
        <v>1500</v>
      </c>
      <c r="H157" s="1332"/>
    </row>
    <row r="158" s="1300" customFormat="1" ht="14.25" customHeight="1" spans="1:8">
      <c r="A158" s="1312" t="s">
        <v>297</v>
      </c>
      <c r="B158" s="1313" t="s">
        <v>1790</v>
      </c>
      <c r="C158" s="1313">
        <v>8170</v>
      </c>
      <c r="D158" s="1313">
        <v>8140</v>
      </c>
      <c r="E158" s="1313">
        <v>8590</v>
      </c>
      <c r="F158" s="1314">
        <v>1450</v>
      </c>
      <c r="H158" s="1332"/>
    </row>
    <row r="159" s="1300" customFormat="1" ht="14.25" customHeight="1" spans="1:8">
      <c r="A159" s="1312" t="s">
        <v>297</v>
      </c>
      <c r="B159" s="1317" t="s">
        <v>1803</v>
      </c>
      <c r="C159" s="1317">
        <v>7410</v>
      </c>
      <c r="D159" s="1317">
        <v>7370</v>
      </c>
      <c r="E159" s="1317">
        <v>8030</v>
      </c>
      <c r="F159" s="1325">
        <v>1510</v>
      </c>
      <c r="H159" s="1332"/>
    </row>
    <row r="160" s="1300" customFormat="1" ht="14.25" customHeight="1" spans="1:8">
      <c r="A160" s="1312" t="s">
        <v>297</v>
      </c>
      <c r="B160" s="1317" t="s">
        <v>1815</v>
      </c>
      <c r="C160" s="1317">
        <v>7240</v>
      </c>
      <c r="D160" s="1317">
        <v>7210</v>
      </c>
      <c r="E160" s="1317">
        <v>7860</v>
      </c>
      <c r="F160" s="1325">
        <v>1370</v>
      </c>
      <c r="H160" s="1332"/>
    </row>
    <row r="161" s="1300" customFormat="1" ht="14.25" customHeight="1" spans="1:8">
      <c r="A161" s="1312" t="s">
        <v>297</v>
      </c>
      <c r="B161" s="1317" t="s">
        <v>1827</v>
      </c>
      <c r="C161" s="1317">
        <v>7720</v>
      </c>
      <c r="D161" s="1317">
        <v>7690</v>
      </c>
      <c r="E161" s="1317">
        <v>8200</v>
      </c>
      <c r="F161" s="1325">
        <v>1190</v>
      </c>
      <c r="H161" s="1332"/>
    </row>
    <row r="162" s="1300" customFormat="1" ht="14.25" customHeight="1" spans="1:8">
      <c r="A162" s="1312" t="s">
        <v>297</v>
      </c>
      <c r="B162" s="1317" t="s">
        <v>1839</v>
      </c>
      <c r="C162" s="1317">
        <v>6900</v>
      </c>
      <c r="D162" s="1317">
        <v>6870</v>
      </c>
      <c r="E162" s="1317">
        <v>7500</v>
      </c>
      <c r="F162" s="1325">
        <v>1390</v>
      </c>
      <c r="H162" s="1332"/>
    </row>
    <row r="163" s="1300" customFormat="1" ht="14.25" customHeight="1" spans="1:8">
      <c r="A163" s="1312" t="s">
        <v>297</v>
      </c>
      <c r="B163" s="1317" t="s">
        <v>1850</v>
      </c>
      <c r="C163" s="1317">
        <v>7120</v>
      </c>
      <c r="D163" s="1317">
        <v>7090</v>
      </c>
      <c r="E163" s="1317">
        <v>7690</v>
      </c>
      <c r="F163" s="1325">
        <v>1230</v>
      </c>
      <c r="H163" s="1332"/>
    </row>
    <row r="164" s="1300" customFormat="1" ht="14.25" customHeight="1" spans="1:8">
      <c r="A164" s="1312" t="s">
        <v>297</v>
      </c>
      <c r="B164" s="1317" t="s">
        <v>1861</v>
      </c>
      <c r="C164" s="1317">
        <v>6560</v>
      </c>
      <c r="D164" s="1317">
        <v>6530</v>
      </c>
      <c r="E164" s="1317">
        <v>7110</v>
      </c>
      <c r="F164" s="1325">
        <v>1340</v>
      </c>
      <c r="H164" s="1332"/>
    </row>
    <row r="165" s="1300" customFormat="1" ht="14.25" customHeight="1" spans="1:8">
      <c r="A165" s="1312" t="s">
        <v>297</v>
      </c>
      <c r="B165" s="1317" t="s">
        <v>1872</v>
      </c>
      <c r="C165" s="1317">
        <v>7450</v>
      </c>
      <c r="D165" s="1317">
        <v>7430</v>
      </c>
      <c r="E165" s="1317">
        <v>8110</v>
      </c>
      <c r="F165" s="1325">
        <v>1290</v>
      </c>
      <c r="H165" s="1332"/>
    </row>
    <row r="166" s="1300" customFormat="1" ht="14.25" customHeight="1" spans="1:8">
      <c r="A166" s="1312" t="s">
        <v>297</v>
      </c>
      <c r="B166" s="1317" t="s">
        <v>1882</v>
      </c>
      <c r="C166" s="1317">
        <v>7490</v>
      </c>
      <c r="D166" s="1317">
        <v>7460</v>
      </c>
      <c r="E166" s="1317">
        <v>8150</v>
      </c>
      <c r="F166" s="1325">
        <v>1350</v>
      </c>
      <c r="H166" s="1332"/>
    </row>
    <row r="167" s="1300" customFormat="1" ht="14.25" customHeight="1" spans="1:8">
      <c r="A167" s="1312" t="s">
        <v>297</v>
      </c>
      <c r="B167" s="1317" t="s">
        <v>1892</v>
      </c>
      <c r="C167" s="1317">
        <v>7540</v>
      </c>
      <c r="D167" s="1317">
        <v>7510</v>
      </c>
      <c r="E167" s="1317">
        <v>8030</v>
      </c>
      <c r="F167" s="1334"/>
      <c r="H167" s="1332"/>
    </row>
    <row r="168" s="1300" customFormat="1" ht="14.25" customHeight="1" spans="1:8">
      <c r="A168" s="1312" t="s">
        <v>297</v>
      </c>
      <c r="B168" s="1317" t="s">
        <v>1902</v>
      </c>
      <c r="C168" s="1317">
        <v>7210</v>
      </c>
      <c r="D168" s="1317">
        <v>7180</v>
      </c>
      <c r="E168" s="1317">
        <v>7830</v>
      </c>
      <c r="F168" s="1334"/>
      <c r="H168" s="1332"/>
    </row>
    <row r="169" s="1300" customFormat="1" ht="14.25" customHeight="1" spans="1:8">
      <c r="A169" s="1312" t="s">
        <v>297</v>
      </c>
      <c r="B169" s="1317" t="s">
        <v>1912</v>
      </c>
      <c r="C169" s="1317">
        <v>7040</v>
      </c>
      <c r="D169" s="1317">
        <v>7020</v>
      </c>
      <c r="E169" s="1317">
        <v>7670</v>
      </c>
      <c r="F169" s="1334"/>
      <c r="H169" s="1332"/>
    </row>
    <row r="170" s="1300" customFormat="1" ht="14.25" customHeight="1" spans="1:8">
      <c r="A170" s="1312" t="s">
        <v>297</v>
      </c>
      <c r="B170" s="1317" t="s">
        <v>1922</v>
      </c>
      <c r="C170" s="1317">
        <v>8040</v>
      </c>
      <c r="D170" s="1317">
        <v>7190</v>
      </c>
      <c r="E170" s="1317">
        <v>7850</v>
      </c>
      <c r="F170" s="1334"/>
      <c r="H170" s="1332"/>
    </row>
    <row r="171" s="1300" customFormat="1" ht="14.25" customHeight="1" spans="1:8">
      <c r="A171" s="1312" t="s">
        <v>297</v>
      </c>
      <c r="B171" s="1317" t="s">
        <v>1932</v>
      </c>
      <c r="C171" s="1317">
        <v>7860</v>
      </c>
      <c r="D171" s="1317">
        <v>7720</v>
      </c>
      <c r="E171" s="1317">
        <v>8150</v>
      </c>
      <c r="F171" s="1325">
        <v>1110</v>
      </c>
      <c r="H171" s="1332"/>
    </row>
    <row r="172" s="1300" customFormat="1" ht="14.25" customHeight="1" spans="1:8">
      <c r="A172" s="1312" t="s">
        <v>297</v>
      </c>
      <c r="B172" s="1317" t="s">
        <v>1942</v>
      </c>
      <c r="C172" s="1317">
        <v>7210</v>
      </c>
      <c r="D172" s="1317">
        <v>7170</v>
      </c>
      <c r="E172" s="1317">
        <v>7320</v>
      </c>
      <c r="F172" s="1334"/>
      <c r="H172" s="1332"/>
    </row>
    <row r="173" s="1300" customFormat="1" ht="14.25" customHeight="1" spans="1:8">
      <c r="A173" s="1312" t="s">
        <v>297</v>
      </c>
      <c r="B173" s="1317" t="s">
        <v>1952</v>
      </c>
      <c r="C173" s="1317">
        <v>6860</v>
      </c>
      <c r="D173" s="1317">
        <v>6810</v>
      </c>
      <c r="E173" s="1317">
        <v>7440</v>
      </c>
      <c r="F173" s="1334"/>
      <c r="H173" s="1332"/>
    </row>
    <row r="174" s="1300" customFormat="1" ht="14.25" customHeight="1" spans="1:8">
      <c r="A174" s="1312" t="s">
        <v>297</v>
      </c>
      <c r="B174" s="1317" t="s">
        <v>1962</v>
      </c>
      <c r="C174" s="1317">
        <v>7120</v>
      </c>
      <c r="D174" s="1317">
        <v>7090</v>
      </c>
      <c r="E174" s="1317">
        <v>7500</v>
      </c>
      <c r="F174" s="1325">
        <v>1490</v>
      </c>
      <c r="H174" s="1332"/>
    </row>
    <row r="175" s="1300" customFormat="1" ht="14.25" customHeight="1" spans="1:8">
      <c r="A175" s="1312" t="s">
        <v>297</v>
      </c>
      <c r="B175" s="1317" t="s">
        <v>1972</v>
      </c>
      <c r="C175" s="1317">
        <v>7850</v>
      </c>
      <c r="D175" s="1317">
        <v>7820</v>
      </c>
      <c r="E175" s="1317">
        <v>8120</v>
      </c>
      <c r="F175" s="1325">
        <v>1530</v>
      </c>
      <c r="H175" s="1332"/>
    </row>
    <row r="176" s="1300" customFormat="1" ht="14.25" customHeight="1" spans="1:8">
      <c r="A176" s="1312" t="s">
        <v>297</v>
      </c>
      <c r="B176" s="1317" t="s">
        <v>1982</v>
      </c>
      <c r="C176" s="1317">
        <v>7620</v>
      </c>
      <c r="D176" s="1317">
        <v>7570</v>
      </c>
      <c r="E176" s="1317">
        <v>7990</v>
      </c>
      <c r="F176" s="1325">
        <v>1480</v>
      </c>
      <c r="H176" s="1332"/>
    </row>
    <row r="177" s="1300" customFormat="1" ht="14.25" customHeight="1" spans="1:8">
      <c r="A177" s="1312" t="s">
        <v>297</v>
      </c>
      <c r="B177" s="1317" t="s">
        <v>1991</v>
      </c>
      <c r="C177" s="1317">
        <v>8590</v>
      </c>
      <c r="D177" s="1317">
        <v>8570</v>
      </c>
      <c r="E177" s="1317">
        <v>8740</v>
      </c>
      <c r="F177" s="1325">
        <v>1540</v>
      </c>
      <c r="H177" s="1332"/>
    </row>
    <row r="178" s="1300" customFormat="1" ht="14.25" customHeight="1" spans="1:8">
      <c r="A178" s="1312" t="s">
        <v>297</v>
      </c>
      <c r="B178" s="1317" t="s">
        <v>1999</v>
      </c>
      <c r="C178" s="1317">
        <v>7510</v>
      </c>
      <c r="D178" s="1317">
        <v>7470</v>
      </c>
      <c r="E178" s="1317">
        <v>8090</v>
      </c>
      <c r="F178" s="1325">
        <v>1320</v>
      </c>
      <c r="H178" s="1332"/>
    </row>
    <row r="179" s="1300" customFormat="1" ht="14.25" customHeight="1" spans="1:8">
      <c r="A179" s="1312" t="s">
        <v>297</v>
      </c>
      <c r="B179" s="1317" t="s">
        <v>2007</v>
      </c>
      <c r="C179" s="1317">
        <v>6380</v>
      </c>
      <c r="D179" s="1317">
        <v>6340</v>
      </c>
      <c r="E179" s="1317">
        <v>6810</v>
      </c>
      <c r="F179" s="1334"/>
      <c r="H179" s="1332"/>
    </row>
    <row r="180" s="1300" customFormat="1" ht="14.25" customHeight="1" spans="1:8">
      <c r="A180" s="1312" t="s">
        <v>297</v>
      </c>
      <c r="B180" s="1317" t="s">
        <v>2014</v>
      </c>
      <c r="C180" s="1317">
        <v>7830</v>
      </c>
      <c r="D180" s="1317">
        <v>7800</v>
      </c>
      <c r="E180" s="1317">
        <v>7780</v>
      </c>
      <c r="F180" s="1325">
        <v>1440</v>
      </c>
      <c r="H180" s="1332"/>
    </row>
    <row r="181" s="1300" customFormat="1" ht="14.25" customHeight="1" spans="1:8">
      <c r="A181" s="1312" t="s">
        <v>297</v>
      </c>
      <c r="B181" s="1317" t="s">
        <v>2021</v>
      </c>
      <c r="C181" s="1317">
        <v>7110</v>
      </c>
      <c r="D181" s="1317">
        <v>7080</v>
      </c>
      <c r="E181" s="1317">
        <v>7730</v>
      </c>
      <c r="F181" s="1325">
        <v>1350</v>
      </c>
      <c r="H181" s="1332"/>
    </row>
    <row r="182" s="1300" customFormat="1" ht="14.25" customHeight="1" spans="1:8">
      <c r="A182" s="1312" t="s">
        <v>297</v>
      </c>
      <c r="B182" s="1317" t="s">
        <v>2028</v>
      </c>
      <c r="C182" s="1317">
        <v>7310</v>
      </c>
      <c r="D182" s="1317">
        <v>7280</v>
      </c>
      <c r="E182" s="1317">
        <v>7950</v>
      </c>
      <c r="F182" s="1325">
        <v>1220</v>
      </c>
      <c r="H182" s="1332"/>
    </row>
    <row r="183" s="1300" customFormat="1" ht="14.25" customHeight="1" spans="1:8">
      <c r="A183" s="1312" t="s">
        <v>297</v>
      </c>
      <c r="B183" s="1317" t="s">
        <v>2035</v>
      </c>
      <c r="C183" s="1317">
        <v>7470</v>
      </c>
      <c r="D183" s="1317">
        <v>7440</v>
      </c>
      <c r="E183" s="1317">
        <v>7880</v>
      </c>
      <c r="F183" s="1334"/>
      <c r="H183" s="1332"/>
    </row>
    <row r="184" s="1300" customFormat="1" ht="14.25" customHeight="1" spans="1:8">
      <c r="A184" s="1312" t="s">
        <v>297</v>
      </c>
      <c r="B184" s="1317" t="s">
        <v>2042</v>
      </c>
      <c r="C184" s="1317">
        <v>6960</v>
      </c>
      <c r="D184" s="1317">
        <v>6930</v>
      </c>
      <c r="E184" s="1317">
        <v>7570</v>
      </c>
      <c r="F184" s="1334"/>
      <c r="H184" s="1332"/>
    </row>
    <row r="185" s="1300" customFormat="1" ht="14.25" customHeight="1" spans="1:8">
      <c r="A185" s="1312" t="s">
        <v>297</v>
      </c>
      <c r="B185" s="1317" t="s">
        <v>2047</v>
      </c>
      <c r="C185" s="1317">
        <v>7260</v>
      </c>
      <c r="D185" s="1317">
        <v>7230</v>
      </c>
      <c r="E185" s="1317">
        <v>7710</v>
      </c>
      <c r="F185" s="1325">
        <v>1360</v>
      </c>
      <c r="H185" s="1332"/>
    </row>
    <row r="186" s="1300" customFormat="1" ht="14.25" customHeight="1" spans="1:8">
      <c r="A186" s="1312" t="s">
        <v>297</v>
      </c>
      <c r="B186" s="1317" t="s">
        <v>2052</v>
      </c>
      <c r="C186" s="1317"/>
      <c r="D186" s="1317"/>
      <c r="E186" s="1317"/>
      <c r="F186" s="1325">
        <v>1560</v>
      </c>
      <c r="H186" s="1332"/>
    </row>
    <row r="187" s="1300" customFormat="1" ht="14.25" customHeight="1" spans="1:8">
      <c r="A187" s="1312" t="s">
        <v>297</v>
      </c>
      <c r="B187" s="1317" t="s">
        <v>2057</v>
      </c>
      <c r="C187" s="1317"/>
      <c r="D187" s="1317"/>
      <c r="E187" s="1317"/>
      <c r="F187" s="1325">
        <v>1560</v>
      </c>
      <c r="H187" s="1332"/>
    </row>
    <row r="188" s="1300" customFormat="1" ht="14.25" customHeight="1" spans="1:8">
      <c r="A188" s="1312" t="s">
        <v>297</v>
      </c>
      <c r="B188" s="1317" t="s">
        <v>2062</v>
      </c>
      <c r="C188" s="1317"/>
      <c r="D188" s="1317"/>
      <c r="E188" s="1317"/>
      <c r="F188" s="1325">
        <v>1560</v>
      </c>
      <c r="H188" s="1332"/>
    </row>
    <row r="189" s="1300" customFormat="1" ht="14.25" customHeight="1" spans="1:8">
      <c r="A189" s="1312" t="s">
        <v>297</v>
      </c>
      <c r="B189" s="1317" t="s">
        <v>2067</v>
      </c>
      <c r="C189" s="1317"/>
      <c r="D189" s="1317"/>
      <c r="E189" s="1317"/>
      <c r="F189" s="1325">
        <v>1320</v>
      </c>
      <c r="H189" s="1332"/>
    </row>
    <row r="190" s="1300" customFormat="1" ht="14.25" customHeight="1" spans="1:8">
      <c r="A190" s="1312" t="s">
        <v>297</v>
      </c>
      <c r="B190" s="1317" t="s">
        <v>2072</v>
      </c>
      <c r="C190" s="1317"/>
      <c r="D190" s="1317"/>
      <c r="E190" s="1317"/>
      <c r="F190" s="1325">
        <v>1320</v>
      </c>
      <c r="H190" s="1332"/>
    </row>
    <row r="191" s="1300" customFormat="1" ht="14.25" customHeight="1" spans="1:8">
      <c r="A191" s="1312" t="s">
        <v>297</v>
      </c>
      <c r="B191" s="1317" t="s">
        <v>2077</v>
      </c>
      <c r="C191" s="1317"/>
      <c r="D191" s="1317"/>
      <c r="E191" s="1317"/>
      <c r="F191" s="1325">
        <v>1320</v>
      </c>
      <c r="H191" s="1332"/>
    </row>
    <row r="192" s="1300" customFormat="1" ht="14.25" customHeight="1" spans="1:8">
      <c r="A192" s="1312" t="s">
        <v>297</v>
      </c>
      <c r="B192" s="1317" t="s">
        <v>2081</v>
      </c>
      <c r="C192" s="1317"/>
      <c r="D192" s="1317"/>
      <c r="E192" s="1317"/>
      <c r="F192" s="1325">
        <v>1100</v>
      </c>
      <c r="H192" s="1332"/>
    </row>
    <row r="193" s="1300" customFormat="1" ht="14.25" customHeight="1" spans="1:8">
      <c r="A193" s="1312" t="s">
        <v>297</v>
      </c>
      <c r="B193" s="1317" t="s">
        <v>2085</v>
      </c>
      <c r="C193" s="1317"/>
      <c r="D193" s="1317"/>
      <c r="E193" s="1317"/>
      <c r="F193" s="1325">
        <v>1100</v>
      </c>
      <c r="H193" s="1332"/>
    </row>
    <row r="194" s="1300" customFormat="1" ht="14.25" customHeight="1" spans="1:8">
      <c r="A194" s="1312" t="s">
        <v>297</v>
      </c>
      <c r="B194" s="1317" t="s">
        <v>2089</v>
      </c>
      <c r="C194" s="1317"/>
      <c r="D194" s="1317"/>
      <c r="E194" s="1317"/>
      <c r="F194" s="1325">
        <v>1080</v>
      </c>
      <c r="H194" s="1332"/>
    </row>
    <row r="195" s="1300" customFormat="1" ht="14.25" customHeight="1" spans="1:8">
      <c r="A195" s="1312" t="s">
        <v>297</v>
      </c>
      <c r="B195" s="1317" t="s">
        <v>2093</v>
      </c>
      <c r="C195" s="1317"/>
      <c r="D195" s="1317"/>
      <c r="E195" s="1317"/>
      <c r="F195" s="1325">
        <v>1270</v>
      </c>
      <c r="H195" s="1332"/>
    </row>
    <row r="196" s="1300" customFormat="1" ht="14.25" customHeight="1" spans="1:8">
      <c r="A196" s="1312" t="s">
        <v>297</v>
      </c>
      <c r="B196" s="1317" t="s">
        <v>2097</v>
      </c>
      <c r="C196" s="1317"/>
      <c r="D196" s="1317"/>
      <c r="E196" s="1317"/>
      <c r="F196" s="1325">
        <v>1150</v>
      </c>
      <c r="H196" s="1332"/>
    </row>
    <row r="197" s="1300" customFormat="1" ht="14.25" customHeight="1" spans="1:8">
      <c r="A197" s="1312" t="s">
        <v>297</v>
      </c>
      <c r="B197" s="1317" t="s">
        <v>2101</v>
      </c>
      <c r="C197" s="1317"/>
      <c r="D197" s="1317"/>
      <c r="E197" s="1317"/>
      <c r="F197" s="1325">
        <v>1330</v>
      </c>
      <c r="H197" s="1332"/>
    </row>
    <row r="198" s="1300" customFormat="1" ht="14.25" customHeight="1" spans="1:8">
      <c r="A198" s="1312" t="s">
        <v>297</v>
      </c>
      <c r="B198" s="1317" t="s">
        <v>2104</v>
      </c>
      <c r="C198" s="1317"/>
      <c r="D198" s="1317"/>
      <c r="E198" s="1317"/>
      <c r="F198" s="1325">
        <v>1170</v>
      </c>
      <c r="H198" s="1332"/>
    </row>
    <row r="199" s="1300" customFormat="1" ht="14.25" customHeight="1" spans="1:8">
      <c r="A199" s="1312" t="s">
        <v>297</v>
      </c>
      <c r="B199" s="1317" t="s">
        <v>2107</v>
      </c>
      <c r="C199" s="1317"/>
      <c r="D199" s="1317"/>
      <c r="E199" s="1317"/>
      <c r="F199" s="1325">
        <v>1120</v>
      </c>
      <c r="H199" s="1332"/>
    </row>
    <row r="200" s="1300" customFormat="1" ht="14.25" customHeight="1" spans="1:8">
      <c r="A200" s="1312" t="s">
        <v>297</v>
      </c>
      <c r="B200" s="1317" t="s">
        <v>2110</v>
      </c>
      <c r="C200" s="1317"/>
      <c r="D200" s="1317"/>
      <c r="E200" s="1317"/>
      <c r="F200" s="1325">
        <v>1120</v>
      </c>
      <c r="H200" s="1332"/>
    </row>
    <row r="201" s="1300" customFormat="1" ht="14.25" customHeight="1" spans="1:8">
      <c r="A201" s="1312" t="s">
        <v>297</v>
      </c>
      <c r="B201" s="1317" t="s">
        <v>2113</v>
      </c>
      <c r="C201" s="1317"/>
      <c r="D201" s="1317"/>
      <c r="E201" s="1317"/>
      <c r="F201" s="1325">
        <v>1540</v>
      </c>
      <c r="H201" s="1332"/>
    </row>
    <row r="202" s="1300" customFormat="1" ht="14.25" customHeight="1" spans="1:8">
      <c r="A202" s="1312" t="s">
        <v>297</v>
      </c>
      <c r="B202" s="1317" t="s">
        <v>2116</v>
      </c>
      <c r="C202" s="1317"/>
      <c r="D202" s="1317"/>
      <c r="E202" s="1317"/>
      <c r="F202" s="1325">
        <v>1310</v>
      </c>
      <c r="H202" s="1332"/>
    </row>
    <row r="203" s="1300" customFormat="1" ht="14.25" customHeight="1" spans="1:8">
      <c r="A203" s="1312" t="s">
        <v>297</v>
      </c>
      <c r="B203" s="1317" t="s">
        <v>2119</v>
      </c>
      <c r="C203" s="1317"/>
      <c r="D203" s="1317"/>
      <c r="E203" s="1317"/>
      <c r="F203" s="1325">
        <v>1310</v>
      </c>
      <c r="H203" s="1332"/>
    </row>
    <row r="204" s="1300" customFormat="1" ht="14.25" customHeight="1" spans="1:8">
      <c r="A204" s="1312" t="s">
        <v>297</v>
      </c>
      <c r="B204" s="1317" t="s">
        <v>2121</v>
      </c>
      <c r="C204" s="1317"/>
      <c r="D204" s="1317"/>
      <c r="E204" s="1317"/>
      <c r="F204" s="1325">
        <v>1080</v>
      </c>
      <c r="H204" s="1332"/>
    </row>
    <row r="205" s="1300" customFormat="1" ht="14.25" customHeight="1" spans="1:8">
      <c r="A205" s="1312" t="s">
        <v>297</v>
      </c>
      <c r="B205" s="1317" t="s">
        <v>2123</v>
      </c>
      <c r="C205" s="1317"/>
      <c r="D205" s="1317"/>
      <c r="E205" s="1317"/>
      <c r="F205" s="1325">
        <v>1080</v>
      </c>
      <c r="H205" s="1332"/>
    </row>
    <row r="206" s="1300" customFormat="1" ht="14.25" customHeight="1" spans="1:8">
      <c r="A206" s="1312" t="s">
        <v>302</v>
      </c>
      <c r="B206" s="1313" t="s">
        <v>1791</v>
      </c>
      <c r="C206" s="1313">
        <v>5450</v>
      </c>
      <c r="D206" s="1313">
        <v>5430</v>
      </c>
      <c r="E206" s="1313">
        <v>5700</v>
      </c>
      <c r="F206" s="1314">
        <v>1020</v>
      </c>
      <c r="H206" s="1332"/>
    </row>
    <row r="207" s="1300" customFormat="1" ht="14.25" customHeight="1" spans="1:8">
      <c r="A207" s="1312" t="s">
        <v>302</v>
      </c>
      <c r="B207" s="1317" t="s">
        <v>425</v>
      </c>
      <c r="C207" s="1317">
        <v>5860</v>
      </c>
      <c r="D207" s="1317">
        <v>5820</v>
      </c>
      <c r="E207" s="1317">
        <v>6050</v>
      </c>
      <c r="F207" s="1325">
        <v>1080</v>
      </c>
      <c r="H207" s="1332"/>
    </row>
    <row r="208" s="1300" customFormat="1" ht="14.25" customHeight="1" spans="1:8">
      <c r="A208" s="1312" t="s">
        <v>302</v>
      </c>
      <c r="B208" s="1317" t="s">
        <v>1816</v>
      </c>
      <c r="C208" s="1317">
        <v>4630</v>
      </c>
      <c r="D208" s="1317">
        <v>4600</v>
      </c>
      <c r="E208" s="1317">
        <v>4840</v>
      </c>
      <c r="F208" s="1325">
        <v>900</v>
      </c>
      <c r="H208" s="1332"/>
    </row>
    <row r="209" s="1300" customFormat="1" ht="14.25" customHeight="1" spans="1:8">
      <c r="A209" s="1312" t="s">
        <v>302</v>
      </c>
      <c r="B209" s="1317" t="s">
        <v>1828</v>
      </c>
      <c r="C209" s="1317">
        <v>5320</v>
      </c>
      <c r="D209" s="1317">
        <v>5270</v>
      </c>
      <c r="E209" s="1317">
        <v>5540</v>
      </c>
      <c r="F209" s="1325">
        <v>980</v>
      </c>
      <c r="H209" s="1332"/>
    </row>
    <row r="210" s="1300" customFormat="1" ht="14.25" customHeight="1" spans="1:8">
      <c r="A210" s="1312" t="s">
        <v>302</v>
      </c>
      <c r="B210" s="1317" t="s">
        <v>1840</v>
      </c>
      <c r="C210" s="1317">
        <v>5760</v>
      </c>
      <c r="D210" s="1317">
        <v>5710</v>
      </c>
      <c r="E210" s="1317">
        <v>6010</v>
      </c>
      <c r="F210" s="1325">
        <v>870</v>
      </c>
      <c r="H210" s="1332"/>
    </row>
    <row r="211" s="1300" customFormat="1" ht="14.25" customHeight="1" spans="1:8">
      <c r="A211" s="1312" t="s">
        <v>302</v>
      </c>
      <c r="B211" s="1317" t="s">
        <v>1851</v>
      </c>
      <c r="C211" s="1317">
        <v>4160</v>
      </c>
      <c r="D211" s="1317">
        <v>4100</v>
      </c>
      <c r="E211" s="1317">
        <v>4270</v>
      </c>
      <c r="F211" s="1325">
        <v>790</v>
      </c>
      <c r="H211" s="1332"/>
    </row>
    <row r="212" s="1300" customFormat="1" ht="14.25" customHeight="1" spans="1:8">
      <c r="A212" s="1312" t="s">
        <v>302</v>
      </c>
      <c r="B212" s="1317" t="s">
        <v>1862</v>
      </c>
      <c r="C212" s="1317">
        <v>4880</v>
      </c>
      <c r="D212" s="1317">
        <v>4850</v>
      </c>
      <c r="E212" s="1317">
        <v>5110</v>
      </c>
      <c r="F212" s="1325">
        <v>940</v>
      </c>
      <c r="H212" s="1332"/>
    </row>
    <row r="213" s="1300" customFormat="1" ht="14.25" customHeight="1" spans="1:8">
      <c r="A213" s="1312" t="s">
        <v>302</v>
      </c>
      <c r="B213" s="1317" t="s">
        <v>1873</v>
      </c>
      <c r="C213" s="1317">
        <v>4640</v>
      </c>
      <c r="D213" s="1317">
        <v>4590</v>
      </c>
      <c r="E213" s="1317">
        <v>4700</v>
      </c>
      <c r="F213" s="1325">
        <v>1030</v>
      </c>
      <c r="H213" s="1332"/>
    </row>
    <row r="214" s="1300" customFormat="1" ht="14.25" customHeight="1" spans="1:8">
      <c r="A214" s="1312" t="s">
        <v>302</v>
      </c>
      <c r="B214" s="1317" t="s">
        <v>1883</v>
      </c>
      <c r="C214" s="1317">
        <v>4540</v>
      </c>
      <c r="D214" s="1317">
        <v>4490</v>
      </c>
      <c r="E214" s="1317">
        <v>4610</v>
      </c>
      <c r="F214" s="1334"/>
      <c r="H214" s="1332"/>
    </row>
    <row r="215" s="1300" customFormat="1" ht="14.25" customHeight="1" spans="1:8">
      <c r="A215" s="1312" t="s">
        <v>302</v>
      </c>
      <c r="B215" s="1317" t="s">
        <v>1893</v>
      </c>
      <c r="C215" s="1317">
        <v>5280</v>
      </c>
      <c r="D215" s="1317">
        <v>5250</v>
      </c>
      <c r="E215" s="1317">
        <v>5520</v>
      </c>
      <c r="F215" s="1325">
        <v>1000</v>
      </c>
      <c r="H215" s="1332"/>
    </row>
    <row r="216" s="1300" customFormat="1" ht="14.25" customHeight="1" spans="1:8">
      <c r="A216" s="1312" t="s">
        <v>302</v>
      </c>
      <c r="B216" s="1317" t="s">
        <v>1903</v>
      </c>
      <c r="C216" s="1317">
        <v>5100</v>
      </c>
      <c r="D216" s="1317">
        <v>5050</v>
      </c>
      <c r="E216" s="1317">
        <v>5300</v>
      </c>
      <c r="F216" s="1325">
        <v>950</v>
      </c>
      <c r="H216" s="1332"/>
    </row>
    <row r="217" s="1300" customFormat="1" ht="14.25" customHeight="1" spans="1:8">
      <c r="A217" s="1312" t="s">
        <v>302</v>
      </c>
      <c r="B217" s="1317" t="s">
        <v>1913</v>
      </c>
      <c r="C217" s="1317">
        <v>5370</v>
      </c>
      <c r="D217" s="1317">
        <v>5320</v>
      </c>
      <c r="E217" s="1317">
        <v>5410</v>
      </c>
      <c r="F217" s="1325">
        <v>950</v>
      </c>
      <c r="H217" s="1332"/>
    </row>
    <row r="218" s="1300" customFormat="1" ht="14.25" customHeight="1" spans="1:8">
      <c r="A218" s="1312" t="s">
        <v>302</v>
      </c>
      <c r="B218" s="1317" t="s">
        <v>1923</v>
      </c>
      <c r="C218" s="1317">
        <v>5540</v>
      </c>
      <c r="D218" s="1317">
        <v>5480</v>
      </c>
      <c r="E218" s="1317">
        <v>5740</v>
      </c>
      <c r="F218" s="1325">
        <v>1020</v>
      </c>
      <c r="H218" s="1332"/>
    </row>
    <row r="219" s="1300" customFormat="1" ht="14.25" customHeight="1" spans="1:8">
      <c r="A219" s="1312" t="s">
        <v>302</v>
      </c>
      <c r="B219" s="1317" t="s">
        <v>1933</v>
      </c>
      <c r="C219" s="1317">
        <v>5140</v>
      </c>
      <c r="D219" s="1317">
        <v>5100</v>
      </c>
      <c r="E219" s="1317">
        <v>5350</v>
      </c>
      <c r="F219" s="1325">
        <v>1120</v>
      </c>
      <c r="H219" s="1332"/>
    </row>
    <row r="220" s="1300" customFormat="1" ht="14.25" customHeight="1" spans="1:8">
      <c r="A220" s="1312" t="s">
        <v>302</v>
      </c>
      <c r="B220" s="1317" t="s">
        <v>1943</v>
      </c>
      <c r="C220" s="1317">
        <v>5040</v>
      </c>
      <c r="D220" s="1317">
        <v>5000</v>
      </c>
      <c r="E220" s="1317">
        <v>5240</v>
      </c>
      <c r="F220" s="1325">
        <v>980</v>
      </c>
      <c r="H220" s="1332"/>
    </row>
    <row r="221" s="1300" customFormat="1" ht="14.25" customHeight="1" spans="1:8">
      <c r="A221" s="1312" t="s">
        <v>302</v>
      </c>
      <c r="B221" s="1317" t="s">
        <v>1953</v>
      </c>
      <c r="C221" s="1339"/>
      <c r="D221" s="1339"/>
      <c r="E221" s="1339"/>
      <c r="F221" s="1325">
        <v>1070</v>
      </c>
      <c r="H221" s="1332"/>
    </row>
    <row r="222" s="1300" customFormat="1" ht="14.25" customHeight="1" spans="1:8">
      <c r="A222" s="1312" t="s">
        <v>302</v>
      </c>
      <c r="B222" s="1317" t="s">
        <v>1963</v>
      </c>
      <c r="C222" s="1339"/>
      <c r="D222" s="1339"/>
      <c r="E222" s="1339"/>
      <c r="F222" s="1325">
        <v>870</v>
      </c>
      <c r="H222" s="1332"/>
    </row>
    <row r="223" s="1300" customFormat="1" ht="14.25" customHeight="1" spans="1:8">
      <c r="A223" s="1312" t="s">
        <v>302</v>
      </c>
      <c r="B223" s="1317" t="s">
        <v>1973</v>
      </c>
      <c r="C223" s="1339"/>
      <c r="D223" s="1339"/>
      <c r="E223" s="1339"/>
      <c r="F223" s="1325">
        <v>940</v>
      </c>
      <c r="H223" s="1332"/>
    </row>
    <row r="224" s="1300" customFormat="1" ht="14.25" customHeight="1" spans="1:8">
      <c r="A224" s="1312" t="s">
        <v>302</v>
      </c>
      <c r="B224" s="1317" t="s">
        <v>1983</v>
      </c>
      <c r="C224" s="1339"/>
      <c r="D224" s="1339"/>
      <c r="E224" s="1339"/>
      <c r="F224" s="1325">
        <v>990</v>
      </c>
      <c r="H224" s="1332"/>
    </row>
    <row r="225" s="1300" customFormat="1" ht="14.25" customHeight="1" spans="1:8">
      <c r="A225" s="1312" t="s">
        <v>302</v>
      </c>
      <c r="B225" s="1317" t="s">
        <v>1992</v>
      </c>
      <c r="C225" s="1317">
        <v>5730</v>
      </c>
      <c r="D225" s="1317">
        <v>5680</v>
      </c>
      <c r="E225" s="1317">
        <v>6020</v>
      </c>
      <c r="F225" s="1325">
        <v>1000</v>
      </c>
      <c r="H225" s="1332"/>
    </row>
    <row r="226" s="1300" customFormat="1" ht="14.25" customHeight="1" spans="1:8">
      <c r="A226" s="1312" t="s">
        <v>302</v>
      </c>
      <c r="B226" s="1317" t="s">
        <v>2000</v>
      </c>
      <c r="C226" s="1317">
        <v>4970</v>
      </c>
      <c r="D226" s="1317">
        <v>4940</v>
      </c>
      <c r="E226" s="1317">
        <v>5180</v>
      </c>
      <c r="F226" s="1325">
        <v>960</v>
      </c>
      <c r="H226" s="1332"/>
    </row>
    <row r="227" s="1300" customFormat="1" ht="14.25" customHeight="1" spans="1:8">
      <c r="A227" s="1312" t="s">
        <v>302</v>
      </c>
      <c r="B227" s="1317" t="s">
        <v>2008</v>
      </c>
      <c r="C227" s="1317">
        <v>5550</v>
      </c>
      <c r="D227" s="1317">
        <v>5500</v>
      </c>
      <c r="E227" s="1317">
        <v>5780</v>
      </c>
      <c r="F227" s="1325">
        <v>940</v>
      </c>
      <c r="H227" s="1332"/>
    </row>
    <row r="228" s="1300" customFormat="1" ht="14.25" customHeight="1" spans="1:8">
      <c r="A228" s="1312" t="s">
        <v>302</v>
      </c>
      <c r="B228" s="1317" t="s">
        <v>2015</v>
      </c>
      <c r="C228" s="1317">
        <v>5460</v>
      </c>
      <c r="D228" s="1317">
        <v>5420</v>
      </c>
      <c r="E228" s="1317">
        <v>5690</v>
      </c>
      <c r="F228" s="1325">
        <v>910</v>
      </c>
      <c r="H228" s="1332"/>
    </row>
    <row r="229" s="1300" customFormat="1" ht="14.25" customHeight="1" spans="1:8">
      <c r="A229" s="1312" t="s">
        <v>302</v>
      </c>
      <c r="B229" s="1317" t="s">
        <v>2022</v>
      </c>
      <c r="C229" s="1317">
        <v>5310</v>
      </c>
      <c r="D229" s="1317">
        <v>5270</v>
      </c>
      <c r="E229" s="1317">
        <v>5510</v>
      </c>
      <c r="F229" s="1334"/>
      <c r="H229" s="1332"/>
    </row>
    <row r="230" s="1300" customFormat="1" ht="14.25" customHeight="1" spans="1:8">
      <c r="A230" s="1312" t="s">
        <v>302</v>
      </c>
      <c r="B230" s="1317" t="s">
        <v>2029</v>
      </c>
      <c r="C230" s="1317">
        <v>4540</v>
      </c>
      <c r="D230" s="1317">
        <v>4500</v>
      </c>
      <c r="E230" s="1317">
        <v>4730</v>
      </c>
      <c r="F230" s="1334"/>
      <c r="H230" s="1332"/>
    </row>
    <row r="231" s="1300" customFormat="1" ht="14.25" customHeight="1" spans="1:8">
      <c r="A231" s="1312" t="s">
        <v>302</v>
      </c>
      <c r="B231" s="1317" t="s">
        <v>2036</v>
      </c>
      <c r="C231" s="1317">
        <v>4480</v>
      </c>
      <c r="D231" s="1317">
        <v>4410</v>
      </c>
      <c r="E231" s="1317">
        <v>4640</v>
      </c>
      <c r="F231" s="1334"/>
      <c r="H231" s="1332"/>
    </row>
    <row r="232" s="1300" customFormat="1" ht="14.25" customHeight="1" spans="1:8">
      <c r="A232" s="1312" t="s">
        <v>302</v>
      </c>
      <c r="B232" s="1317" t="s">
        <v>2043</v>
      </c>
      <c r="C232" s="1317">
        <v>5670</v>
      </c>
      <c r="D232" s="1317">
        <v>5600</v>
      </c>
      <c r="E232" s="1317">
        <v>5890</v>
      </c>
      <c r="F232" s="1325">
        <v>1150</v>
      </c>
      <c r="H232" s="1332"/>
    </row>
    <row r="233" s="1300" customFormat="1" ht="14.25" customHeight="1" spans="1:8">
      <c r="A233" s="1312" t="s">
        <v>302</v>
      </c>
      <c r="B233" s="1317" t="s">
        <v>2048</v>
      </c>
      <c r="C233" s="1317">
        <v>4590</v>
      </c>
      <c r="D233" s="1317">
        <v>4500</v>
      </c>
      <c r="E233" s="1317">
        <v>4600</v>
      </c>
      <c r="F233" s="1334"/>
      <c r="H233" s="1332"/>
    </row>
    <row r="234" s="1300" customFormat="1" ht="14.25" customHeight="1" spans="1:8">
      <c r="A234" s="1312" t="s">
        <v>302</v>
      </c>
      <c r="B234" s="1317" t="s">
        <v>2053</v>
      </c>
      <c r="C234" s="1317">
        <v>3990</v>
      </c>
      <c r="D234" s="1317">
        <v>3950</v>
      </c>
      <c r="E234" s="1317">
        <v>4180</v>
      </c>
      <c r="F234" s="1334"/>
      <c r="H234" s="1332"/>
    </row>
    <row r="235" s="1300" customFormat="1" ht="14.25" customHeight="1" spans="1:8">
      <c r="A235" s="1312" t="s">
        <v>302</v>
      </c>
      <c r="B235" s="1317" t="s">
        <v>2058</v>
      </c>
      <c r="C235" s="1317">
        <v>5590</v>
      </c>
      <c r="D235" s="1317">
        <v>5540</v>
      </c>
      <c r="E235" s="1317">
        <v>5810</v>
      </c>
      <c r="F235" s="1325">
        <v>970</v>
      </c>
      <c r="H235" s="1332"/>
    </row>
    <row r="236" s="1300" customFormat="1" ht="14.25" customHeight="1" spans="1:8">
      <c r="A236" s="1312" t="s">
        <v>302</v>
      </c>
      <c r="B236" s="1317" t="s">
        <v>2063</v>
      </c>
      <c r="C236" s="1317"/>
      <c r="D236" s="1317"/>
      <c r="E236" s="1317"/>
      <c r="F236" s="1325">
        <v>1020</v>
      </c>
      <c r="H236" s="1332"/>
    </row>
    <row r="237" s="1300" customFormat="1" ht="14.25" customHeight="1" spans="1:8">
      <c r="A237" s="1312" t="s">
        <v>302</v>
      </c>
      <c r="B237" s="1317" t="s">
        <v>2068</v>
      </c>
      <c r="C237" s="1317"/>
      <c r="D237" s="1317"/>
      <c r="E237" s="1317"/>
      <c r="F237" s="1325">
        <v>960</v>
      </c>
      <c r="H237" s="1332"/>
    </row>
    <row r="238" s="1300" customFormat="1" ht="14.25" customHeight="1" spans="1:8">
      <c r="A238" s="1312" t="s">
        <v>302</v>
      </c>
      <c r="B238" s="1317" t="s">
        <v>2073</v>
      </c>
      <c r="C238" s="1317"/>
      <c r="D238" s="1317"/>
      <c r="E238" s="1317"/>
      <c r="F238" s="1325">
        <v>960</v>
      </c>
      <c r="H238" s="1332"/>
    </row>
    <row r="239" s="1300" customFormat="1" ht="14.25" customHeight="1" spans="1:8">
      <c r="A239" s="1312" t="s">
        <v>302</v>
      </c>
      <c r="B239" s="1317" t="s">
        <v>2078</v>
      </c>
      <c r="C239" s="1317"/>
      <c r="D239" s="1317"/>
      <c r="E239" s="1317"/>
      <c r="F239" s="1325">
        <v>960</v>
      </c>
      <c r="H239" s="1332"/>
    </row>
    <row r="240" s="1300" customFormat="1" ht="14.25" customHeight="1" spans="1:8">
      <c r="A240" s="1312" t="s">
        <v>302</v>
      </c>
      <c r="B240" s="1317" t="s">
        <v>2082</v>
      </c>
      <c r="C240" s="1317"/>
      <c r="D240" s="1317"/>
      <c r="E240" s="1317"/>
      <c r="F240" s="1325">
        <v>990</v>
      </c>
      <c r="H240" s="1332"/>
    </row>
    <row r="241" s="1300" customFormat="1" ht="14.25" customHeight="1" spans="1:8">
      <c r="A241" s="1312" t="s">
        <v>302</v>
      </c>
      <c r="B241" s="1317" t="s">
        <v>2086</v>
      </c>
      <c r="C241" s="1317"/>
      <c r="D241" s="1317"/>
      <c r="E241" s="1317"/>
      <c r="F241" s="1325">
        <v>1000</v>
      </c>
      <c r="H241" s="1332"/>
    </row>
    <row r="242" s="1300" customFormat="1" ht="14.25" customHeight="1" spans="1:8">
      <c r="A242" s="1312" t="s">
        <v>302</v>
      </c>
      <c r="B242" s="1317" t="s">
        <v>2090</v>
      </c>
      <c r="C242" s="1317"/>
      <c r="D242" s="1317"/>
      <c r="E242" s="1317"/>
      <c r="F242" s="1325">
        <v>980</v>
      </c>
      <c r="H242" s="1332"/>
    </row>
    <row r="243" s="1300" customFormat="1" ht="14.25" customHeight="1" spans="1:8">
      <c r="A243" s="1312" t="s">
        <v>302</v>
      </c>
      <c r="B243" s="1317" t="s">
        <v>2094</v>
      </c>
      <c r="C243" s="1317"/>
      <c r="D243" s="1317"/>
      <c r="E243" s="1317"/>
      <c r="F243" s="1325">
        <v>970</v>
      </c>
      <c r="H243" s="1332"/>
    </row>
    <row r="244" s="1300" customFormat="1" ht="14.25" customHeight="1" spans="1:8">
      <c r="A244" s="1312" t="s">
        <v>302</v>
      </c>
      <c r="B244" s="1323" t="s">
        <v>2098</v>
      </c>
      <c r="C244" s="1323"/>
      <c r="D244" s="1323"/>
      <c r="E244" s="1323"/>
      <c r="F244" s="1333">
        <v>970</v>
      </c>
      <c r="H244" s="1332"/>
    </row>
    <row r="245" s="1300" customFormat="1" ht="14.25" customHeight="1" spans="1:8">
      <c r="A245" s="1312" t="s">
        <v>305</v>
      </c>
      <c r="B245" s="1313" t="s">
        <v>1792</v>
      </c>
      <c r="C245" s="1313">
        <v>4050</v>
      </c>
      <c r="D245" s="1313">
        <v>4020</v>
      </c>
      <c r="E245" s="1313">
        <v>4160</v>
      </c>
      <c r="F245" s="1314">
        <v>840</v>
      </c>
      <c r="H245" s="1332"/>
    </row>
    <row r="246" s="1300" customFormat="1" ht="14.25" customHeight="1" spans="1:8">
      <c r="A246" s="1312" t="s">
        <v>305</v>
      </c>
      <c r="B246" s="1317" t="s">
        <v>1804</v>
      </c>
      <c r="C246" s="1317">
        <v>4010</v>
      </c>
      <c r="D246" s="1317">
        <v>3960</v>
      </c>
      <c r="E246" s="1317">
        <v>4130</v>
      </c>
      <c r="F246" s="1325">
        <v>840</v>
      </c>
      <c r="H246" s="1332"/>
    </row>
    <row r="247" s="1300" customFormat="1" ht="14.25" customHeight="1" spans="1:8">
      <c r="A247" s="1312" t="s">
        <v>305</v>
      </c>
      <c r="B247" s="1317" t="s">
        <v>1817</v>
      </c>
      <c r="C247" s="1317">
        <v>3170</v>
      </c>
      <c r="D247" s="1317">
        <v>3140</v>
      </c>
      <c r="E247" s="1317">
        <v>3270</v>
      </c>
      <c r="F247" s="1325">
        <v>640</v>
      </c>
      <c r="H247" s="1332"/>
    </row>
    <row r="248" s="1300" customFormat="1" ht="14.25" customHeight="1" spans="1:8">
      <c r="A248" s="1312" t="s">
        <v>305</v>
      </c>
      <c r="B248" s="1317" t="s">
        <v>1829</v>
      </c>
      <c r="C248" s="1317">
        <v>3140</v>
      </c>
      <c r="D248" s="1317">
        <v>3120</v>
      </c>
      <c r="E248" s="1317">
        <v>3240</v>
      </c>
      <c r="F248" s="1325">
        <v>620</v>
      </c>
      <c r="H248" s="1332"/>
    </row>
    <row r="249" s="1300" customFormat="1" ht="14.25" customHeight="1" spans="1:8">
      <c r="A249" s="1312" t="s">
        <v>305</v>
      </c>
      <c r="B249" s="1317" t="s">
        <v>1841</v>
      </c>
      <c r="C249" s="1317">
        <v>3200</v>
      </c>
      <c r="D249" s="1317">
        <v>3100</v>
      </c>
      <c r="E249" s="1317">
        <v>3230</v>
      </c>
      <c r="F249" s="1325">
        <v>750</v>
      </c>
      <c r="H249" s="1332"/>
    </row>
    <row r="250" s="1300" customFormat="1" ht="14.25" customHeight="1" spans="1:8">
      <c r="A250" s="1312" t="s">
        <v>305</v>
      </c>
      <c r="B250" s="1317" t="s">
        <v>1852</v>
      </c>
      <c r="C250" s="1317">
        <v>4060</v>
      </c>
      <c r="D250" s="1317">
        <v>4000</v>
      </c>
      <c r="E250" s="1317">
        <v>4140</v>
      </c>
      <c r="F250" s="1325">
        <v>790</v>
      </c>
      <c r="H250" s="1332"/>
    </row>
    <row r="251" s="1300" customFormat="1" ht="14.25" customHeight="1" spans="1:8">
      <c r="A251" s="1312" t="s">
        <v>305</v>
      </c>
      <c r="B251" s="1317" t="s">
        <v>1863</v>
      </c>
      <c r="C251" s="1317">
        <v>3990</v>
      </c>
      <c r="D251" s="1317">
        <v>3970</v>
      </c>
      <c r="E251" s="1317">
        <v>4110</v>
      </c>
      <c r="F251" s="1325">
        <v>730</v>
      </c>
      <c r="H251" s="1332"/>
    </row>
    <row r="252" s="1300" customFormat="1" ht="14.25" customHeight="1" spans="1:8">
      <c r="A252" s="1312" t="s">
        <v>305</v>
      </c>
      <c r="B252" s="1317" t="s">
        <v>1874</v>
      </c>
      <c r="C252" s="1317">
        <v>3560</v>
      </c>
      <c r="D252" s="1317">
        <v>3530</v>
      </c>
      <c r="E252" s="1317">
        <v>3650</v>
      </c>
      <c r="F252" s="1325">
        <v>750</v>
      </c>
      <c r="H252" s="1332"/>
    </row>
    <row r="253" s="1300" customFormat="1" ht="14.25" customHeight="1" spans="1:8">
      <c r="A253" s="1312" t="s">
        <v>305</v>
      </c>
      <c r="B253" s="1317" t="s">
        <v>1884</v>
      </c>
      <c r="C253" s="1317">
        <v>3780</v>
      </c>
      <c r="D253" s="1317">
        <v>3750</v>
      </c>
      <c r="E253" s="1317">
        <v>3870</v>
      </c>
      <c r="F253" s="1325">
        <v>770</v>
      </c>
      <c r="H253" s="1332"/>
    </row>
    <row r="254" s="1300" customFormat="1" ht="14.25" customHeight="1" spans="1:8">
      <c r="A254" s="1312" t="s">
        <v>305</v>
      </c>
      <c r="B254" s="1317" t="s">
        <v>1894</v>
      </c>
      <c r="C254" s="1339"/>
      <c r="D254" s="1339"/>
      <c r="E254" s="1339"/>
      <c r="F254" s="1325">
        <v>740</v>
      </c>
      <c r="H254" s="1332"/>
    </row>
    <row r="255" s="1300" customFormat="1" ht="14.25" customHeight="1" spans="1:8">
      <c r="A255" s="1312" t="s">
        <v>305</v>
      </c>
      <c r="B255" s="1317" t="s">
        <v>1904</v>
      </c>
      <c r="C255" s="1339"/>
      <c r="D255" s="1339"/>
      <c r="E255" s="1339"/>
      <c r="F255" s="1325">
        <v>760</v>
      </c>
      <c r="H255" s="1332"/>
    </row>
    <row r="256" s="1300" customFormat="1" ht="14.25" customHeight="1" spans="1:8">
      <c r="A256" s="1312" t="s">
        <v>305</v>
      </c>
      <c r="B256" s="1317" t="s">
        <v>1914</v>
      </c>
      <c r="C256" s="1317">
        <v>3760</v>
      </c>
      <c r="D256" s="1317">
        <v>3730</v>
      </c>
      <c r="E256" s="1317">
        <v>3870</v>
      </c>
      <c r="F256" s="1325">
        <v>830</v>
      </c>
      <c r="H256" s="1332"/>
    </row>
    <row r="257" s="1300" customFormat="1" ht="14.25" customHeight="1" spans="1:8">
      <c r="A257" s="1312" t="s">
        <v>305</v>
      </c>
      <c r="B257" s="1317" t="s">
        <v>1924</v>
      </c>
      <c r="C257" s="1317">
        <v>3570</v>
      </c>
      <c r="D257" s="1317">
        <v>3540</v>
      </c>
      <c r="E257" s="1317">
        <v>3650</v>
      </c>
      <c r="F257" s="1325">
        <v>790</v>
      </c>
      <c r="H257" s="1332"/>
    </row>
    <row r="258" s="1300" customFormat="1" ht="14.25" customHeight="1" spans="1:8">
      <c r="A258" s="1312" t="s">
        <v>305</v>
      </c>
      <c r="B258" s="1317" t="s">
        <v>1934</v>
      </c>
      <c r="C258" s="1317">
        <v>3410</v>
      </c>
      <c r="D258" s="1317">
        <v>3380</v>
      </c>
      <c r="E258" s="1317">
        <v>3500</v>
      </c>
      <c r="F258" s="1325">
        <v>830</v>
      </c>
      <c r="H258" s="1332"/>
    </row>
    <row r="259" s="1300" customFormat="1" ht="14.25" customHeight="1" spans="1:8">
      <c r="A259" s="1312" t="s">
        <v>305</v>
      </c>
      <c r="B259" s="1317" t="s">
        <v>1944</v>
      </c>
      <c r="C259" s="1317">
        <v>3870</v>
      </c>
      <c r="D259" s="1317">
        <v>3840</v>
      </c>
      <c r="E259" s="1317">
        <v>3970</v>
      </c>
      <c r="F259" s="1325">
        <v>830</v>
      </c>
      <c r="H259" s="1332"/>
    </row>
    <row r="260" s="1300" customFormat="1" ht="14.25" customHeight="1" spans="1:8">
      <c r="A260" s="1312" t="s">
        <v>305</v>
      </c>
      <c r="B260" s="1317" t="s">
        <v>1954</v>
      </c>
      <c r="C260" s="1317">
        <v>3700</v>
      </c>
      <c r="D260" s="1317">
        <v>3660</v>
      </c>
      <c r="E260" s="1317">
        <v>3810</v>
      </c>
      <c r="F260" s="1325">
        <v>790</v>
      </c>
      <c r="H260" s="1332"/>
    </row>
    <row r="261" s="1300" customFormat="1" ht="14.25" customHeight="1" spans="1:8">
      <c r="A261" s="1312" t="s">
        <v>305</v>
      </c>
      <c r="B261" s="1317" t="s">
        <v>1964</v>
      </c>
      <c r="C261" s="1317">
        <v>3470</v>
      </c>
      <c r="D261" s="1317">
        <v>3430</v>
      </c>
      <c r="E261" s="1317">
        <v>3640</v>
      </c>
      <c r="F261" s="1325">
        <v>760</v>
      </c>
      <c r="H261" s="1332"/>
    </row>
    <row r="262" s="1300" customFormat="1" ht="14.25" customHeight="1" spans="1:8">
      <c r="A262" s="1312" t="s">
        <v>305</v>
      </c>
      <c r="B262" s="1317" t="s">
        <v>1974</v>
      </c>
      <c r="C262" s="1317">
        <v>3510</v>
      </c>
      <c r="D262" s="1317">
        <v>3470</v>
      </c>
      <c r="E262" s="1317">
        <v>3680</v>
      </c>
      <c r="F262" s="1334"/>
      <c r="H262" s="1332"/>
    </row>
    <row r="263" s="1300" customFormat="1" ht="14.25" customHeight="1" spans="1:8">
      <c r="A263" s="1312" t="s">
        <v>305</v>
      </c>
      <c r="B263" s="1317" t="s">
        <v>1984</v>
      </c>
      <c r="C263" s="1317">
        <v>3960</v>
      </c>
      <c r="D263" s="1317">
        <v>3930</v>
      </c>
      <c r="E263" s="1317">
        <v>4070</v>
      </c>
      <c r="F263" s="1325">
        <v>830</v>
      </c>
      <c r="H263" s="1332"/>
    </row>
    <row r="264" s="1300" customFormat="1" ht="14.25" customHeight="1" spans="1:8">
      <c r="A264" s="1312" t="s">
        <v>305</v>
      </c>
      <c r="B264" s="1317" t="s">
        <v>1993</v>
      </c>
      <c r="C264" s="1317">
        <v>4010</v>
      </c>
      <c r="D264" s="1317">
        <v>3980</v>
      </c>
      <c r="E264" s="1317">
        <v>4150</v>
      </c>
      <c r="F264" s="1325">
        <v>760</v>
      </c>
      <c r="H264" s="1332"/>
    </row>
    <row r="265" s="1300" customFormat="1" ht="14.25" customHeight="1" spans="1:8">
      <c r="A265" s="1312" t="s">
        <v>305</v>
      </c>
      <c r="B265" s="1317" t="s">
        <v>2001</v>
      </c>
      <c r="C265" s="1317">
        <v>3910</v>
      </c>
      <c r="D265" s="1317">
        <v>3890</v>
      </c>
      <c r="E265" s="1317">
        <v>4040</v>
      </c>
      <c r="F265" s="1325">
        <v>780</v>
      </c>
      <c r="H265" s="1332"/>
    </row>
    <row r="266" s="1300" customFormat="1" ht="14.25" customHeight="1" spans="1:8">
      <c r="A266" s="1312" t="s">
        <v>305</v>
      </c>
      <c r="B266" s="1317" t="s">
        <v>2009</v>
      </c>
      <c r="C266" s="1317">
        <v>3930</v>
      </c>
      <c r="D266" s="1317">
        <v>3900</v>
      </c>
      <c r="E266" s="1317">
        <v>4080</v>
      </c>
      <c r="F266" s="1325">
        <v>770</v>
      </c>
      <c r="H266" s="1332"/>
    </row>
    <row r="267" s="1300" customFormat="1" ht="14.25" customHeight="1" spans="1:8">
      <c r="A267" s="1312" t="s">
        <v>305</v>
      </c>
      <c r="B267" s="1317" t="s">
        <v>2016</v>
      </c>
      <c r="C267" s="1317">
        <v>3800</v>
      </c>
      <c r="D267" s="1317">
        <v>3780</v>
      </c>
      <c r="E267" s="1317">
        <v>3930</v>
      </c>
      <c r="F267" s="1334"/>
      <c r="H267" s="1332"/>
    </row>
    <row r="268" s="1300" customFormat="1" ht="14.25" customHeight="1" spans="1:8">
      <c r="A268" s="1312" t="s">
        <v>305</v>
      </c>
      <c r="B268" s="1317" t="s">
        <v>2023</v>
      </c>
      <c r="C268" s="1317">
        <v>3460</v>
      </c>
      <c r="D268" s="1317">
        <v>3430</v>
      </c>
      <c r="E268" s="1317">
        <v>3560</v>
      </c>
      <c r="F268" s="1325">
        <v>840</v>
      </c>
      <c r="H268" s="1332"/>
    </row>
    <row r="269" s="1300" customFormat="1" ht="14.25" customHeight="1" spans="1:8">
      <c r="A269" s="1312" t="s">
        <v>305</v>
      </c>
      <c r="B269" s="1317" t="s">
        <v>2030</v>
      </c>
      <c r="C269" s="1317">
        <v>3210</v>
      </c>
      <c r="D269" s="1317">
        <v>3190</v>
      </c>
      <c r="E269" s="1317">
        <v>3310</v>
      </c>
      <c r="F269" s="1325">
        <v>730</v>
      </c>
      <c r="H269" s="1332"/>
    </row>
    <row r="270" s="1300" customFormat="1" ht="14.25" customHeight="1" spans="1:8">
      <c r="A270" s="1312" t="s">
        <v>305</v>
      </c>
      <c r="B270" s="1317" t="s">
        <v>2037</v>
      </c>
      <c r="C270" s="1317">
        <v>3240</v>
      </c>
      <c r="D270" s="1317">
        <v>3210</v>
      </c>
      <c r="E270" s="1317">
        <v>3390</v>
      </c>
      <c r="F270" s="1325">
        <v>820</v>
      </c>
      <c r="H270" s="1332"/>
    </row>
    <row r="271" s="1300" customFormat="1" ht="14.25" customHeight="1" spans="1:8">
      <c r="A271" s="1312" t="s">
        <v>305</v>
      </c>
      <c r="B271" s="1317" t="s">
        <v>2044</v>
      </c>
      <c r="C271" s="1317">
        <v>3300</v>
      </c>
      <c r="D271" s="1317">
        <v>3270</v>
      </c>
      <c r="E271" s="1317">
        <v>3380</v>
      </c>
      <c r="F271" s="1325">
        <v>750</v>
      </c>
      <c r="H271" s="1332"/>
    </row>
    <row r="272" s="1300" customFormat="1" ht="14.25" customHeight="1" spans="1:8">
      <c r="A272" s="1312" t="s">
        <v>305</v>
      </c>
      <c r="B272" s="1317" t="s">
        <v>2049</v>
      </c>
      <c r="C272" s="1339"/>
      <c r="D272" s="1339"/>
      <c r="E272" s="1339"/>
      <c r="F272" s="1325">
        <v>740</v>
      </c>
      <c r="H272" s="1332"/>
    </row>
    <row r="273" s="1300" customFormat="1" ht="14.25" customHeight="1" spans="1:8">
      <c r="A273" s="1312" t="s">
        <v>305</v>
      </c>
      <c r="B273" s="1317" t="s">
        <v>2054</v>
      </c>
      <c r="C273" s="1317">
        <v>3130</v>
      </c>
      <c r="D273" s="1317">
        <v>3100</v>
      </c>
      <c r="E273" s="1317">
        <v>3230</v>
      </c>
      <c r="F273" s="1325">
        <v>700</v>
      </c>
      <c r="H273" s="1332"/>
    </row>
    <row r="274" s="1300" customFormat="1" ht="14.25" customHeight="1" spans="1:8">
      <c r="A274" s="1312" t="s">
        <v>305</v>
      </c>
      <c r="B274" s="1317" t="s">
        <v>2059</v>
      </c>
      <c r="C274" s="1317">
        <v>3460</v>
      </c>
      <c r="D274" s="1317">
        <v>3430</v>
      </c>
      <c r="E274" s="1317">
        <v>3560</v>
      </c>
      <c r="F274" s="1325">
        <v>690</v>
      </c>
      <c r="H274" s="1332"/>
    </row>
    <row r="275" s="1300" customFormat="1" ht="14.25" customHeight="1" spans="1:8">
      <c r="A275" s="1312" t="s">
        <v>305</v>
      </c>
      <c r="B275" s="1317" t="s">
        <v>2064</v>
      </c>
      <c r="C275" s="1317">
        <v>4040</v>
      </c>
      <c r="D275" s="1317">
        <v>4020</v>
      </c>
      <c r="E275" s="1317">
        <v>4160</v>
      </c>
      <c r="F275" s="1325">
        <v>820</v>
      </c>
      <c r="H275" s="1332"/>
    </row>
    <row r="276" s="1300" customFormat="1" ht="14.25" customHeight="1" spans="1:8">
      <c r="A276" s="1312" t="s">
        <v>305</v>
      </c>
      <c r="B276" s="1317" t="s">
        <v>2069</v>
      </c>
      <c r="C276" s="1317">
        <v>3270</v>
      </c>
      <c r="D276" s="1317">
        <v>3240</v>
      </c>
      <c r="E276" s="1317">
        <v>3350</v>
      </c>
      <c r="F276" s="1325">
        <v>680</v>
      </c>
      <c r="H276" s="1332"/>
    </row>
    <row r="277" s="1300" customFormat="1" ht="14.25" customHeight="1" spans="1:8">
      <c r="A277" s="1312" t="s">
        <v>305</v>
      </c>
      <c r="B277" s="1317" t="s">
        <v>2074</v>
      </c>
      <c r="C277" s="1317">
        <v>2930</v>
      </c>
      <c r="D277" s="1317">
        <v>2900</v>
      </c>
      <c r="E277" s="1317">
        <v>3000</v>
      </c>
      <c r="F277" s="1325">
        <v>640</v>
      </c>
      <c r="H277" s="1332"/>
    </row>
    <row r="278" s="1300" customFormat="1" ht="14.25" customHeight="1" spans="1:8">
      <c r="A278" s="1312" t="s">
        <v>305</v>
      </c>
      <c r="B278" s="1317" t="s">
        <v>2079</v>
      </c>
      <c r="C278" s="1317">
        <v>4080</v>
      </c>
      <c r="D278" s="1317">
        <v>4030</v>
      </c>
      <c r="E278" s="1317">
        <v>4140</v>
      </c>
      <c r="F278" s="1325">
        <v>850</v>
      </c>
      <c r="H278" s="1332"/>
    </row>
    <row r="279" s="1300" customFormat="1" ht="14.25" customHeight="1" spans="1:8">
      <c r="A279" s="1312" t="s">
        <v>305</v>
      </c>
      <c r="B279" s="1317" t="s">
        <v>2083</v>
      </c>
      <c r="C279" s="1317"/>
      <c r="D279" s="1317"/>
      <c r="E279" s="1317"/>
      <c r="F279" s="1325">
        <v>760</v>
      </c>
      <c r="H279" s="1332"/>
    </row>
    <row r="280" s="1300" customFormat="1" ht="14.25" customHeight="1" spans="1:8">
      <c r="A280" s="1312" t="s">
        <v>305</v>
      </c>
      <c r="B280" s="1317" t="s">
        <v>2087</v>
      </c>
      <c r="C280" s="1317"/>
      <c r="D280" s="1317"/>
      <c r="E280" s="1317"/>
      <c r="F280" s="1325">
        <v>760</v>
      </c>
      <c r="H280" s="1332"/>
    </row>
    <row r="281" s="1300" customFormat="1" ht="14.25" customHeight="1" spans="1:8">
      <c r="A281" s="1312" t="s">
        <v>305</v>
      </c>
      <c r="B281" s="1317" t="s">
        <v>2091</v>
      </c>
      <c r="C281" s="1317"/>
      <c r="D281" s="1317"/>
      <c r="E281" s="1317"/>
      <c r="F281" s="1325">
        <v>780</v>
      </c>
      <c r="H281" s="1332"/>
    </row>
    <row r="282" s="1300" customFormat="1" ht="14.25" customHeight="1" spans="1:8">
      <c r="A282" s="1312" t="s">
        <v>305</v>
      </c>
      <c r="B282" s="1317" t="s">
        <v>2095</v>
      </c>
      <c r="C282" s="1317"/>
      <c r="D282" s="1317"/>
      <c r="E282" s="1317"/>
      <c r="F282" s="1325">
        <v>730</v>
      </c>
      <c r="H282" s="1332"/>
    </row>
    <row r="283" s="1300" customFormat="1" ht="14.25" customHeight="1" spans="1:8">
      <c r="A283" s="1312" t="s">
        <v>305</v>
      </c>
      <c r="B283" s="1317" t="s">
        <v>2099</v>
      </c>
      <c r="C283" s="1317"/>
      <c r="D283" s="1317"/>
      <c r="E283" s="1317"/>
      <c r="F283" s="1325">
        <v>770</v>
      </c>
      <c r="H283" s="1332"/>
    </row>
    <row r="284" s="1300" customFormat="1" ht="14.25" customHeight="1" spans="1:8">
      <c r="A284" s="1312" t="s">
        <v>305</v>
      </c>
      <c r="B284" s="1317" t="s">
        <v>2102</v>
      </c>
      <c r="C284" s="1317"/>
      <c r="D284" s="1317"/>
      <c r="E284" s="1317"/>
      <c r="F284" s="1325">
        <v>640</v>
      </c>
      <c r="H284" s="1332"/>
    </row>
    <row r="285" s="1300" customFormat="1" ht="14.25" customHeight="1" spans="1:8">
      <c r="A285" s="1312" t="s">
        <v>305</v>
      </c>
      <c r="B285" s="1317" t="s">
        <v>2105</v>
      </c>
      <c r="C285" s="1317"/>
      <c r="D285" s="1317"/>
      <c r="E285" s="1317"/>
      <c r="F285" s="1325">
        <v>640</v>
      </c>
      <c r="H285" s="1332"/>
    </row>
    <row r="286" s="1300" customFormat="1" ht="14.25" customHeight="1" spans="1:8">
      <c r="A286" s="1312" t="s">
        <v>305</v>
      </c>
      <c r="B286" s="1317" t="s">
        <v>2108</v>
      </c>
      <c r="C286" s="1317"/>
      <c r="D286" s="1317"/>
      <c r="E286" s="1317"/>
      <c r="F286" s="1325">
        <v>850</v>
      </c>
      <c r="H286" s="1332"/>
    </row>
    <row r="287" s="1300" customFormat="1" ht="14.25" customHeight="1" spans="1:8">
      <c r="A287" s="1312" t="s">
        <v>305</v>
      </c>
      <c r="B287" s="1317" t="s">
        <v>2111</v>
      </c>
      <c r="C287" s="1317"/>
      <c r="D287" s="1317"/>
      <c r="E287" s="1317"/>
      <c r="F287" s="1325">
        <v>760</v>
      </c>
      <c r="H287" s="1332"/>
    </row>
    <row r="288" s="1300" customFormat="1" ht="14.25" customHeight="1" spans="1:8">
      <c r="A288" s="1312" t="s">
        <v>305</v>
      </c>
      <c r="B288" s="1317" t="s">
        <v>2114</v>
      </c>
      <c r="C288" s="1317"/>
      <c r="D288" s="1317"/>
      <c r="E288" s="1317"/>
      <c r="F288" s="1325">
        <v>830</v>
      </c>
      <c r="H288" s="1332"/>
    </row>
    <row r="289" s="1300" customFormat="1" ht="14.25" customHeight="1" spans="1:8">
      <c r="A289" s="1312" t="s">
        <v>305</v>
      </c>
      <c r="B289" s="1323" t="s">
        <v>2117</v>
      </c>
      <c r="C289" s="1323"/>
      <c r="D289" s="1323"/>
      <c r="E289" s="1323"/>
      <c r="F289" s="1333">
        <v>680</v>
      </c>
      <c r="H289" s="1332"/>
    </row>
    <row r="290" s="1300" customFormat="1" ht="14.25" customHeight="1" spans="1:8">
      <c r="A290" s="1312" t="s">
        <v>308</v>
      </c>
      <c r="B290" s="1313" t="s">
        <v>1793</v>
      </c>
      <c r="C290" s="1313">
        <v>2770</v>
      </c>
      <c r="D290" s="1313">
        <v>2740</v>
      </c>
      <c r="E290" s="1313">
        <v>2720</v>
      </c>
      <c r="F290" s="1340"/>
      <c r="H290" s="1332"/>
    </row>
    <row r="291" s="1300" customFormat="1" ht="14.25" customHeight="1" spans="1:8">
      <c r="A291" s="1312" t="s">
        <v>308</v>
      </c>
      <c r="B291" s="1317" t="s">
        <v>1805</v>
      </c>
      <c r="C291" s="1317">
        <v>2670</v>
      </c>
      <c r="D291" s="1317">
        <v>2640</v>
      </c>
      <c r="E291" s="1317">
        <v>2620</v>
      </c>
      <c r="F291" s="1334"/>
      <c r="H291" s="1332"/>
    </row>
    <row r="292" s="1300" customFormat="1" ht="14.25" customHeight="1" spans="1:8">
      <c r="A292" s="1312" t="s">
        <v>308</v>
      </c>
      <c r="B292" s="1317" t="s">
        <v>1818</v>
      </c>
      <c r="C292" s="1317">
        <v>2180</v>
      </c>
      <c r="D292" s="1317">
        <v>2140</v>
      </c>
      <c r="E292" s="1317">
        <v>2120</v>
      </c>
      <c r="F292" s="1325">
        <v>490</v>
      </c>
      <c r="H292" s="1332"/>
    </row>
    <row r="293" s="1300" customFormat="1" ht="14.25" customHeight="1" spans="1:8">
      <c r="A293" s="1312" t="s">
        <v>308</v>
      </c>
      <c r="B293" s="1317" t="s">
        <v>2124</v>
      </c>
      <c r="C293" s="1317"/>
      <c r="D293" s="1317"/>
      <c r="E293" s="1317"/>
      <c r="F293" s="1325">
        <v>470</v>
      </c>
      <c r="H293" s="1332"/>
    </row>
    <row r="294" s="1300" customFormat="1" ht="14.25" customHeight="1" spans="1:8">
      <c r="A294" s="1312" t="s">
        <v>308</v>
      </c>
      <c r="B294" s="1317" t="s">
        <v>1830</v>
      </c>
      <c r="C294" s="1317">
        <v>2730</v>
      </c>
      <c r="D294" s="1317">
        <v>2700</v>
      </c>
      <c r="E294" s="1317">
        <v>2680</v>
      </c>
      <c r="F294" s="1325">
        <v>490</v>
      </c>
      <c r="H294" s="1332"/>
    </row>
    <row r="295" s="1300" customFormat="1" ht="14.25" customHeight="1" spans="1:8">
      <c r="A295" s="1312" t="s">
        <v>308</v>
      </c>
      <c r="B295" s="1317" t="s">
        <v>1842</v>
      </c>
      <c r="C295" s="1317">
        <v>2380</v>
      </c>
      <c r="D295" s="1317">
        <v>2350</v>
      </c>
      <c r="E295" s="1317">
        <v>2330</v>
      </c>
      <c r="F295" s="1325">
        <v>530</v>
      </c>
      <c r="H295" s="1332"/>
    </row>
    <row r="296" s="1300" customFormat="1" ht="14.25" customHeight="1" spans="1:8">
      <c r="A296" s="1312" t="s">
        <v>308</v>
      </c>
      <c r="B296" s="1317" t="s">
        <v>1853</v>
      </c>
      <c r="C296" s="1317">
        <v>2650</v>
      </c>
      <c r="D296" s="1317">
        <v>2620</v>
      </c>
      <c r="E296" s="1317">
        <v>2590</v>
      </c>
      <c r="F296" s="1325">
        <v>590</v>
      </c>
      <c r="H296" s="1332"/>
    </row>
    <row r="297" s="1300" customFormat="1" ht="14.25" customHeight="1" spans="1:8">
      <c r="A297" s="1312" t="s">
        <v>308</v>
      </c>
      <c r="B297" s="1317" t="s">
        <v>1864</v>
      </c>
      <c r="C297" s="1317">
        <v>2700</v>
      </c>
      <c r="D297" s="1317">
        <v>2670</v>
      </c>
      <c r="E297" s="1317">
        <v>2650</v>
      </c>
      <c r="F297" s="1325">
        <v>630</v>
      </c>
      <c r="H297" s="1332"/>
    </row>
    <row r="298" s="1300" customFormat="1" ht="14.25" customHeight="1" spans="1:8">
      <c r="A298" s="1312" t="s">
        <v>308</v>
      </c>
      <c r="B298" s="1317" t="s">
        <v>1875</v>
      </c>
      <c r="C298" s="1317">
        <v>2650</v>
      </c>
      <c r="D298" s="1317">
        <v>2620</v>
      </c>
      <c r="E298" s="1317">
        <v>2590</v>
      </c>
      <c r="F298" s="1325">
        <v>640</v>
      </c>
      <c r="H298" s="1332"/>
    </row>
    <row r="299" s="1300" customFormat="1" ht="14.25" customHeight="1" spans="1:8">
      <c r="A299" s="1312" t="s">
        <v>308</v>
      </c>
      <c r="B299" s="1317" t="s">
        <v>1885</v>
      </c>
      <c r="C299" s="1317">
        <v>2500</v>
      </c>
      <c r="D299" s="1317">
        <v>2480</v>
      </c>
      <c r="E299" s="1317">
        <v>2460</v>
      </c>
      <c r="F299" s="1334"/>
      <c r="H299" s="1332"/>
    </row>
    <row r="300" s="1300" customFormat="1" ht="14.25" customHeight="1" spans="1:8">
      <c r="A300" s="1312" t="s">
        <v>308</v>
      </c>
      <c r="B300" s="1317" t="s">
        <v>1895</v>
      </c>
      <c r="C300" s="1317">
        <v>2760</v>
      </c>
      <c r="D300" s="1317">
        <v>2730</v>
      </c>
      <c r="E300" s="1317">
        <v>2700</v>
      </c>
      <c r="F300" s="1325">
        <v>630</v>
      </c>
      <c r="H300" s="1332"/>
    </row>
    <row r="301" s="1300" customFormat="1" ht="14.25" customHeight="1" spans="1:8">
      <c r="A301" s="1312" t="s">
        <v>308</v>
      </c>
      <c r="B301" s="1317" t="s">
        <v>1905</v>
      </c>
      <c r="C301" s="1317">
        <v>2510</v>
      </c>
      <c r="D301" s="1317">
        <v>2480</v>
      </c>
      <c r="E301" s="1317">
        <v>2460</v>
      </c>
      <c r="F301" s="1334"/>
      <c r="H301" s="1332"/>
    </row>
    <row r="302" s="1300" customFormat="1" ht="14.25" customHeight="1" spans="1:8">
      <c r="A302" s="1312" t="s">
        <v>308</v>
      </c>
      <c r="B302" s="1317" t="s">
        <v>1915</v>
      </c>
      <c r="C302" s="1317">
        <v>2480</v>
      </c>
      <c r="D302" s="1317">
        <v>2450</v>
      </c>
      <c r="E302" s="1317">
        <v>2420</v>
      </c>
      <c r="F302" s="1325">
        <v>600</v>
      </c>
      <c r="H302" s="1332"/>
    </row>
    <row r="303" s="1300" customFormat="1" ht="14.25" customHeight="1" spans="1:8">
      <c r="A303" s="1312" t="s">
        <v>308</v>
      </c>
      <c r="B303" s="1317" t="s">
        <v>1925</v>
      </c>
      <c r="C303" s="1317">
        <v>2270</v>
      </c>
      <c r="D303" s="1317">
        <v>2240</v>
      </c>
      <c r="E303" s="1317">
        <v>2210</v>
      </c>
      <c r="F303" s="1325">
        <v>540</v>
      </c>
      <c r="H303" s="1332"/>
    </row>
    <row r="304" s="1300" customFormat="1" ht="14.25" customHeight="1" spans="1:8">
      <c r="A304" s="1312" t="s">
        <v>308</v>
      </c>
      <c r="B304" s="1317" t="s">
        <v>1935</v>
      </c>
      <c r="C304" s="1317">
        <v>2310</v>
      </c>
      <c r="D304" s="1317">
        <v>2290</v>
      </c>
      <c r="E304" s="1317">
        <v>2270</v>
      </c>
      <c r="F304" s="1334"/>
      <c r="H304" s="1332"/>
    </row>
    <row r="305" s="1300" customFormat="1" ht="14.25" customHeight="1" spans="1:8">
      <c r="A305" s="1312" t="s">
        <v>308</v>
      </c>
      <c r="B305" s="1317" t="s">
        <v>1945</v>
      </c>
      <c r="C305" s="1317">
        <v>2490</v>
      </c>
      <c r="D305" s="1317">
        <v>2470</v>
      </c>
      <c r="E305" s="1317">
        <v>2440</v>
      </c>
      <c r="F305" s="1325">
        <v>560</v>
      </c>
      <c r="H305" s="1332"/>
    </row>
    <row r="306" s="1300" customFormat="1" ht="14.25" customHeight="1" spans="1:8">
      <c r="A306" s="1312" t="s">
        <v>308</v>
      </c>
      <c r="B306" s="1317" t="s">
        <v>1955</v>
      </c>
      <c r="C306" s="1317">
        <v>2420</v>
      </c>
      <c r="D306" s="1317">
        <v>2400</v>
      </c>
      <c r="E306" s="1317">
        <v>2380</v>
      </c>
      <c r="F306" s="1334"/>
      <c r="H306" s="1332"/>
    </row>
    <row r="307" s="1300" customFormat="1" ht="14.25" customHeight="1" spans="1:8">
      <c r="A307" s="1312" t="s">
        <v>308</v>
      </c>
      <c r="B307" s="1317" t="s">
        <v>1965</v>
      </c>
      <c r="C307" s="1317">
        <v>2770</v>
      </c>
      <c r="D307" s="1317">
        <v>2740</v>
      </c>
      <c r="E307" s="1317">
        <v>2710</v>
      </c>
      <c r="F307" s="1325">
        <v>650</v>
      </c>
      <c r="H307" s="1332"/>
    </row>
    <row r="308" s="1300" customFormat="1" ht="14.25" customHeight="1" spans="1:8">
      <c r="A308" s="1312" t="s">
        <v>308</v>
      </c>
      <c r="B308" s="1317" t="s">
        <v>1975</v>
      </c>
      <c r="C308" s="1317">
        <v>2610</v>
      </c>
      <c r="D308" s="1317">
        <v>2580</v>
      </c>
      <c r="E308" s="1317">
        <v>2550</v>
      </c>
      <c r="F308" s="1325">
        <v>580</v>
      </c>
      <c r="H308" s="1332"/>
    </row>
    <row r="309" s="1300" customFormat="1" ht="14.25" customHeight="1" spans="1:8">
      <c r="A309" s="1312" t="s">
        <v>308</v>
      </c>
      <c r="B309" s="1317" t="s">
        <v>1985</v>
      </c>
      <c r="C309" s="1317">
        <v>2690</v>
      </c>
      <c r="D309" s="1317">
        <v>2670</v>
      </c>
      <c r="E309" s="1317">
        <v>2650</v>
      </c>
      <c r="F309" s="1334"/>
      <c r="H309" s="1332"/>
    </row>
    <row r="310" s="1300" customFormat="1" ht="14.25" customHeight="1" spans="1:8">
      <c r="A310" s="1312" t="s">
        <v>308</v>
      </c>
      <c r="B310" s="1317" t="s">
        <v>1994</v>
      </c>
      <c r="C310" s="1317">
        <v>2360</v>
      </c>
      <c r="D310" s="1317">
        <v>2330</v>
      </c>
      <c r="E310" s="1317">
        <v>2310</v>
      </c>
      <c r="F310" s="1325">
        <v>560</v>
      </c>
      <c r="H310" s="1332"/>
    </row>
    <row r="311" s="1300" customFormat="1" ht="14.25" customHeight="1" spans="1:8">
      <c r="A311" s="1312" t="s">
        <v>308</v>
      </c>
      <c r="B311" s="1317" t="s">
        <v>2002</v>
      </c>
      <c r="C311" s="1317">
        <v>1970</v>
      </c>
      <c r="D311" s="1317">
        <v>1950</v>
      </c>
      <c r="E311" s="1317">
        <v>1920</v>
      </c>
      <c r="F311" s="1325">
        <v>470</v>
      </c>
      <c r="H311" s="1332"/>
    </row>
    <row r="312" s="1300" customFormat="1" ht="14.25" customHeight="1" spans="1:8">
      <c r="A312" s="1312" t="s">
        <v>308</v>
      </c>
      <c r="B312" s="1317" t="s">
        <v>2010</v>
      </c>
      <c r="C312" s="1317">
        <v>2230</v>
      </c>
      <c r="D312" s="1317">
        <v>2200</v>
      </c>
      <c r="E312" s="1317">
        <v>2170</v>
      </c>
      <c r="F312" s="1325">
        <v>460</v>
      </c>
      <c r="H312" s="1332"/>
    </row>
    <row r="313" s="1300" customFormat="1" ht="14.25" customHeight="1" spans="1:8">
      <c r="A313" s="1312" t="s">
        <v>308</v>
      </c>
      <c r="B313" s="1317" t="s">
        <v>2017</v>
      </c>
      <c r="C313" s="1317">
        <v>2770</v>
      </c>
      <c r="D313" s="1317">
        <v>2740</v>
      </c>
      <c r="E313" s="1317">
        <v>2710</v>
      </c>
      <c r="F313" s="1325">
        <v>610</v>
      </c>
      <c r="H313" s="1332"/>
    </row>
    <row r="314" s="1300" customFormat="1" ht="14.25" customHeight="1" spans="1:8">
      <c r="A314" s="1312" t="s">
        <v>308</v>
      </c>
      <c r="B314" s="1317" t="s">
        <v>2024</v>
      </c>
      <c r="C314" s="1317"/>
      <c r="D314" s="1317"/>
      <c r="E314" s="1317"/>
      <c r="F314" s="1325">
        <v>490</v>
      </c>
      <c r="H314" s="1332"/>
    </row>
    <row r="315" s="1300" customFormat="1" ht="14.25" customHeight="1" spans="1:8">
      <c r="A315" s="1312" t="s">
        <v>308</v>
      </c>
      <c r="B315" s="1317" t="s">
        <v>2031</v>
      </c>
      <c r="C315" s="1317"/>
      <c r="D315" s="1317"/>
      <c r="E315" s="1317"/>
      <c r="F315" s="1325">
        <v>520</v>
      </c>
      <c r="H315" s="1332"/>
    </row>
    <row r="316" s="1300" customFormat="1" ht="14.25" customHeight="1" spans="1:8">
      <c r="A316" s="1312" t="s">
        <v>308</v>
      </c>
      <c r="B316" s="1323" t="s">
        <v>2038</v>
      </c>
      <c r="C316" s="1323"/>
      <c r="D316" s="1323"/>
      <c r="E316" s="1323"/>
      <c r="F316" s="1333">
        <v>460</v>
      </c>
      <c r="H316" s="1332"/>
    </row>
    <row r="317" s="1300" customFormat="1" ht="14.25" customHeight="1" spans="1:8">
      <c r="A317" s="1312" t="s">
        <v>311</v>
      </c>
      <c r="B317" s="1313" t="s">
        <v>1794</v>
      </c>
      <c r="C317" s="1313">
        <v>1200</v>
      </c>
      <c r="D317" s="1313">
        <v>1180</v>
      </c>
      <c r="E317" s="1313">
        <v>1160</v>
      </c>
      <c r="F317" s="1314">
        <v>370</v>
      </c>
      <c r="H317" s="1302"/>
    </row>
    <row r="318" s="1300" customFormat="1" ht="14.25" customHeight="1" spans="1:8">
      <c r="A318" s="1312" t="s">
        <v>311</v>
      </c>
      <c r="B318" s="1317" t="s">
        <v>1806</v>
      </c>
      <c r="C318" s="1317">
        <v>1090</v>
      </c>
      <c r="D318" s="1317">
        <v>1060</v>
      </c>
      <c r="E318" s="1317">
        <v>1040</v>
      </c>
      <c r="F318" s="1334"/>
      <c r="H318" s="1302"/>
    </row>
    <row r="319" s="1300" customFormat="1" ht="14.25" customHeight="1" spans="1:8">
      <c r="A319" s="1312" t="s">
        <v>311</v>
      </c>
      <c r="B319" s="1317" t="s">
        <v>1819</v>
      </c>
      <c r="C319" s="1317">
        <v>1520</v>
      </c>
      <c r="D319" s="1317">
        <v>1470</v>
      </c>
      <c r="E319" s="1317">
        <v>1440</v>
      </c>
      <c r="F319" s="1325">
        <v>370</v>
      </c>
      <c r="H319" s="1302"/>
    </row>
    <row r="320" s="1300" customFormat="1" ht="14.25" customHeight="1" spans="1:8">
      <c r="A320" s="1312" t="s">
        <v>311</v>
      </c>
      <c r="B320" s="1317" t="s">
        <v>1831</v>
      </c>
      <c r="C320" s="1317">
        <v>1360</v>
      </c>
      <c r="D320" s="1317">
        <v>1300</v>
      </c>
      <c r="E320" s="1317">
        <v>1270</v>
      </c>
      <c r="F320" s="1334"/>
      <c r="H320" s="1302"/>
    </row>
    <row r="321" s="1300" customFormat="1" ht="14.25" customHeight="1" spans="1:8">
      <c r="A321" s="1312" t="s">
        <v>311</v>
      </c>
      <c r="B321" s="1317" t="s">
        <v>1843</v>
      </c>
      <c r="C321" s="1317">
        <v>1750</v>
      </c>
      <c r="D321" s="1317">
        <v>1690</v>
      </c>
      <c r="E321" s="1317">
        <v>1660</v>
      </c>
      <c r="F321" s="1334"/>
      <c r="H321" s="1302"/>
    </row>
    <row r="322" s="1300" customFormat="1" ht="14.25" customHeight="1" spans="1:8">
      <c r="A322" s="1312" t="s">
        <v>311</v>
      </c>
      <c r="B322" s="1317" t="s">
        <v>1854</v>
      </c>
      <c r="C322" s="1317">
        <v>1650</v>
      </c>
      <c r="D322" s="1317">
        <v>1610</v>
      </c>
      <c r="E322" s="1317">
        <v>1580</v>
      </c>
      <c r="F322" s="1325">
        <v>500</v>
      </c>
      <c r="H322" s="1302"/>
    </row>
    <row r="323" s="1300" customFormat="1" ht="14.25" customHeight="1" spans="1:8">
      <c r="A323" s="1312" t="s">
        <v>311</v>
      </c>
      <c r="B323" s="1317" t="s">
        <v>1865</v>
      </c>
      <c r="C323" s="1317">
        <v>1780</v>
      </c>
      <c r="D323" s="1317">
        <v>1740</v>
      </c>
      <c r="E323" s="1317">
        <v>1720</v>
      </c>
      <c r="F323" s="1334"/>
      <c r="H323" s="1302"/>
    </row>
    <row r="324" s="1300" customFormat="1" ht="14.25" customHeight="1" spans="1:8">
      <c r="A324" s="1312" t="s">
        <v>311</v>
      </c>
      <c r="B324" s="1317" t="s">
        <v>1876</v>
      </c>
      <c r="C324" s="1317">
        <v>1650</v>
      </c>
      <c r="D324" s="1317">
        <v>1610</v>
      </c>
      <c r="E324" s="1317">
        <v>1580</v>
      </c>
      <c r="F324" s="1334"/>
      <c r="H324" s="1302"/>
    </row>
    <row r="325" s="1300" customFormat="1" ht="14.25" customHeight="1" spans="1:8">
      <c r="A325" s="1312" t="s">
        <v>311</v>
      </c>
      <c r="B325" s="1317" t="s">
        <v>1886</v>
      </c>
      <c r="C325" s="1317">
        <v>1330</v>
      </c>
      <c r="D325" s="1317">
        <v>1270</v>
      </c>
      <c r="E325" s="1317">
        <v>1240</v>
      </c>
      <c r="F325" s="1325">
        <v>430</v>
      </c>
      <c r="H325" s="1302"/>
    </row>
    <row r="326" s="1300" customFormat="1" ht="14.25" customHeight="1" spans="1:8">
      <c r="A326" s="1312" t="s">
        <v>311</v>
      </c>
      <c r="B326" s="1317" t="s">
        <v>1896</v>
      </c>
      <c r="C326" s="1317">
        <v>1470</v>
      </c>
      <c r="D326" s="1317">
        <v>1430</v>
      </c>
      <c r="E326" s="1317">
        <v>1400</v>
      </c>
      <c r="F326" s="1334"/>
      <c r="H326" s="1302"/>
    </row>
    <row r="327" s="1300" customFormat="1" ht="14.25" customHeight="1" spans="1:8">
      <c r="A327" s="1312" t="s">
        <v>311</v>
      </c>
      <c r="B327" s="1317" t="s">
        <v>1906</v>
      </c>
      <c r="C327" s="1317">
        <v>1420</v>
      </c>
      <c r="D327" s="1317">
        <v>1380</v>
      </c>
      <c r="E327" s="1317">
        <v>1360</v>
      </c>
      <c r="F327" s="1325">
        <v>420</v>
      </c>
      <c r="H327" s="1302"/>
    </row>
    <row r="328" s="1300" customFormat="1" ht="14.25" customHeight="1" spans="1:8">
      <c r="A328" s="1312" t="s">
        <v>311</v>
      </c>
      <c r="B328" s="1317" t="s">
        <v>1916</v>
      </c>
      <c r="C328" s="1317">
        <v>1400</v>
      </c>
      <c r="D328" s="1317">
        <v>1360</v>
      </c>
      <c r="E328" s="1317">
        <v>1330</v>
      </c>
      <c r="F328" s="1325">
        <v>460</v>
      </c>
      <c r="H328" s="1302"/>
    </row>
    <row r="329" s="1300" customFormat="1" ht="14.25" customHeight="1" spans="1:8">
      <c r="A329" s="1312" t="s">
        <v>311</v>
      </c>
      <c r="B329" s="1317" t="s">
        <v>1926</v>
      </c>
      <c r="C329" s="1317">
        <v>1640</v>
      </c>
      <c r="D329" s="1317">
        <v>1610</v>
      </c>
      <c r="E329" s="1317">
        <v>1580</v>
      </c>
      <c r="F329" s="1325">
        <v>410</v>
      </c>
      <c r="H329" s="1302"/>
    </row>
    <row r="330" s="1300" customFormat="1" ht="14.25" customHeight="1" spans="1:8">
      <c r="A330" s="1312" t="s">
        <v>311</v>
      </c>
      <c r="B330" s="1317" t="s">
        <v>1936</v>
      </c>
      <c r="C330" s="1317">
        <v>1260</v>
      </c>
      <c r="D330" s="1317">
        <v>1220</v>
      </c>
      <c r="E330" s="1317">
        <v>1200</v>
      </c>
      <c r="F330" s="1334"/>
      <c r="H330" s="1302"/>
    </row>
    <row r="331" s="1300" customFormat="1" ht="14.25" customHeight="1" spans="1:8">
      <c r="A331" s="1312" t="s">
        <v>311</v>
      </c>
      <c r="B331" s="1317" t="s">
        <v>1946</v>
      </c>
      <c r="C331" s="1317">
        <v>1620</v>
      </c>
      <c r="D331" s="1317">
        <v>1560</v>
      </c>
      <c r="E331" s="1317">
        <v>1530</v>
      </c>
      <c r="F331" s="1325">
        <v>490</v>
      </c>
      <c r="H331" s="1302"/>
    </row>
    <row r="332" s="1300" customFormat="1" ht="14.25" customHeight="1" spans="1:8">
      <c r="A332" s="1312" t="s">
        <v>311</v>
      </c>
      <c r="B332" s="1317" t="s">
        <v>1956</v>
      </c>
      <c r="C332" s="1317">
        <v>1520</v>
      </c>
      <c r="D332" s="1317">
        <v>1470</v>
      </c>
      <c r="E332" s="1317">
        <v>1440</v>
      </c>
      <c r="F332" s="1325">
        <v>440</v>
      </c>
      <c r="H332" s="1302"/>
    </row>
    <row r="333" s="1300" customFormat="1" ht="14.25" customHeight="1" spans="1:8">
      <c r="A333" s="1312" t="s">
        <v>311</v>
      </c>
      <c r="B333" s="1317" t="s">
        <v>1966</v>
      </c>
      <c r="C333" s="1317">
        <v>1370</v>
      </c>
      <c r="D333" s="1317">
        <v>1320</v>
      </c>
      <c r="E333" s="1317">
        <v>1300</v>
      </c>
      <c r="F333" s="1325">
        <v>460</v>
      </c>
      <c r="H333" s="1302"/>
    </row>
    <row r="334" s="1300" customFormat="1" ht="14.25" customHeight="1" spans="1:8">
      <c r="A334" s="1312" t="s">
        <v>311</v>
      </c>
      <c r="B334" s="1317" t="s">
        <v>1976</v>
      </c>
      <c r="C334" s="1317">
        <v>1410</v>
      </c>
      <c r="D334" s="1317">
        <v>1340</v>
      </c>
      <c r="E334" s="1317">
        <v>1310</v>
      </c>
      <c r="F334" s="1325">
        <v>410</v>
      </c>
      <c r="H334" s="1302"/>
    </row>
    <row r="335" s="1300" customFormat="1" ht="14.25" customHeight="1" spans="1:8">
      <c r="A335" s="1312" t="s">
        <v>311</v>
      </c>
      <c r="B335" s="1317" t="s">
        <v>1986</v>
      </c>
      <c r="C335" s="1317">
        <v>1260</v>
      </c>
      <c r="D335" s="1317">
        <v>1220</v>
      </c>
      <c r="E335" s="1317">
        <v>1200</v>
      </c>
      <c r="F335" s="1334"/>
      <c r="H335" s="1302"/>
    </row>
    <row r="336" s="1300" customFormat="1" ht="14.25" customHeight="1" spans="1:8">
      <c r="A336" s="1312" t="s">
        <v>311</v>
      </c>
      <c r="B336" s="1317" t="s">
        <v>1995</v>
      </c>
      <c r="C336" s="1317">
        <v>1160</v>
      </c>
      <c r="D336" s="1317">
        <v>1140</v>
      </c>
      <c r="E336" s="1317">
        <v>1120</v>
      </c>
      <c r="F336" s="1325">
        <v>430</v>
      </c>
      <c r="H336" s="1302"/>
    </row>
    <row r="337" s="1300" customFormat="1" ht="14.25" customHeight="1" spans="1:8">
      <c r="A337" s="1312" t="s">
        <v>311</v>
      </c>
      <c r="B337" s="1323" t="s">
        <v>2003</v>
      </c>
      <c r="C337" s="1323"/>
      <c r="D337" s="1323"/>
      <c r="E337" s="1323"/>
      <c r="F337" s="1333">
        <v>380</v>
      </c>
      <c r="H337" s="1302"/>
    </row>
    <row r="338" s="1300" customFormat="1" ht="14.25" customHeight="1" spans="1:8">
      <c r="A338" s="1312" t="s">
        <v>314</v>
      </c>
      <c r="B338" s="1313" t="s">
        <v>1795</v>
      </c>
      <c r="C338" s="1313">
        <v>880</v>
      </c>
      <c r="D338" s="1313">
        <v>850</v>
      </c>
      <c r="E338" s="1313">
        <v>830</v>
      </c>
      <c r="F338" s="1340"/>
      <c r="H338" s="1302"/>
    </row>
    <row r="339" s="1300" customFormat="1" ht="14.25" customHeight="1" spans="1:8">
      <c r="A339" s="1312" t="s">
        <v>314</v>
      </c>
      <c r="B339" s="1317" t="s">
        <v>1807</v>
      </c>
      <c r="C339" s="1317">
        <v>830</v>
      </c>
      <c r="D339" s="1317">
        <v>800</v>
      </c>
      <c r="E339" s="1317">
        <v>780</v>
      </c>
      <c r="F339" s="1334"/>
      <c r="H339" s="1302"/>
    </row>
    <row r="340" s="1300" customFormat="1" ht="14.25" customHeight="1" spans="1:8">
      <c r="A340" s="1312" t="s">
        <v>314</v>
      </c>
      <c r="B340" s="1317" t="s">
        <v>1820</v>
      </c>
      <c r="C340" s="1317">
        <v>980</v>
      </c>
      <c r="D340" s="1317">
        <v>950</v>
      </c>
      <c r="E340" s="1317">
        <v>920</v>
      </c>
      <c r="F340" s="1334"/>
      <c r="H340" s="1302"/>
    </row>
    <row r="341" s="1300" customFormat="1" ht="14.25" customHeight="1" spans="1:8">
      <c r="A341" s="1312" t="s">
        <v>314</v>
      </c>
      <c r="B341" s="1317" t="s">
        <v>1832</v>
      </c>
      <c r="C341" s="1317">
        <v>760</v>
      </c>
      <c r="D341" s="1317">
        <v>720</v>
      </c>
      <c r="E341" s="1317">
        <v>690</v>
      </c>
      <c r="F341" s="1325">
        <v>350</v>
      </c>
      <c r="H341" s="1302"/>
    </row>
    <row r="342" s="1300" customFormat="1" ht="14.25" customHeight="1" spans="1:8">
      <c r="A342" s="1312" t="s">
        <v>314</v>
      </c>
      <c r="B342" s="1317" t="s">
        <v>1844</v>
      </c>
      <c r="C342" s="1317">
        <v>910</v>
      </c>
      <c r="D342" s="1317">
        <v>870</v>
      </c>
      <c r="E342" s="1317">
        <v>850</v>
      </c>
      <c r="F342" s="1325">
        <v>370</v>
      </c>
      <c r="H342" s="1302"/>
    </row>
    <row r="343" s="1300" customFormat="1" ht="14.25" customHeight="1" spans="1:8">
      <c r="A343" s="1312" t="s">
        <v>314</v>
      </c>
      <c r="B343" s="1317" t="s">
        <v>1855</v>
      </c>
      <c r="C343" s="1317">
        <v>800</v>
      </c>
      <c r="D343" s="1317">
        <v>760</v>
      </c>
      <c r="E343" s="1317">
        <v>730</v>
      </c>
      <c r="F343" s="1325">
        <v>340</v>
      </c>
      <c r="H343" s="1302"/>
    </row>
    <row r="344" s="1300" customFormat="1" ht="14.25" customHeight="1" spans="1:8">
      <c r="A344" s="1312" t="s">
        <v>314</v>
      </c>
      <c r="B344" s="1323" t="s">
        <v>1866</v>
      </c>
      <c r="C344" s="1323">
        <v>720</v>
      </c>
      <c r="D344" s="1323">
        <v>690</v>
      </c>
      <c r="E344" s="1323">
        <v>660</v>
      </c>
      <c r="F344" s="1333">
        <v>300</v>
      </c>
      <c r="H344" s="1302"/>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1288"/>
    <col min="2" max="16384" width="9" style="1289"/>
  </cols>
  <sheetData>
    <row r="1" ht="14.25" spans="1:14">
      <c r="A1" s="1290" t="s">
        <v>2125</v>
      </c>
      <c r="B1" s="1291"/>
      <c r="C1" s="1291"/>
      <c r="D1" s="1291"/>
      <c r="E1" s="1291"/>
      <c r="F1" s="1291"/>
      <c r="G1" s="1291"/>
      <c r="H1" s="1291"/>
      <c r="I1" s="1291"/>
      <c r="J1" s="1291"/>
      <c r="K1" s="1291"/>
      <c r="L1" s="1291"/>
      <c r="M1" s="1291"/>
      <c r="N1" s="1291"/>
    </row>
    <row r="2" spans="1:13">
      <c r="A2" s="1292" t="s">
        <v>105</v>
      </c>
      <c r="B2" s="1293" t="s">
        <v>240</v>
      </c>
      <c r="C2" s="1293" t="s">
        <v>253</v>
      </c>
      <c r="D2" s="1293" t="s">
        <v>265</v>
      </c>
      <c r="E2" s="1293" t="s">
        <v>275</v>
      </c>
      <c r="F2" s="1293" t="s">
        <v>284</v>
      </c>
      <c r="G2" s="1293" t="s">
        <v>292</v>
      </c>
      <c r="H2" s="1294" t="s">
        <v>297</v>
      </c>
      <c r="I2" s="1294" t="s">
        <v>302</v>
      </c>
      <c r="J2" s="1297" t="s">
        <v>305</v>
      </c>
      <c r="K2" s="1297" t="s">
        <v>308</v>
      </c>
      <c r="L2" s="1297" t="s">
        <v>311</v>
      </c>
      <c r="M2" s="1297" t="s">
        <v>314</v>
      </c>
    </row>
    <row r="3" spans="1:14">
      <c r="A3" s="1292">
        <v>0.1</v>
      </c>
      <c r="B3" s="1295">
        <v>15.052</v>
      </c>
      <c r="C3" s="1295">
        <v>15.052</v>
      </c>
      <c r="D3" s="1295">
        <v>14.263</v>
      </c>
      <c r="E3" s="1295">
        <v>14.263</v>
      </c>
      <c r="F3" s="1295">
        <v>14.263</v>
      </c>
      <c r="G3" s="1295">
        <v>14.263</v>
      </c>
      <c r="H3" s="1295">
        <v>14.263</v>
      </c>
      <c r="I3" s="1295">
        <v>14.097</v>
      </c>
      <c r="J3" s="1295">
        <v>14.097</v>
      </c>
      <c r="K3" s="1295">
        <v>14.097</v>
      </c>
      <c r="L3" s="1295">
        <v>14.097</v>
      </c>
      <c r="M3" s="1295">
        <v>14.097</v>
      </c>
      <c r="N3" s="1298"/>
    </row>
    <row r="4" spans="1:13">
      <c r="A4" s="1292">
        <v>0.2</v>
      </c>
      <c r="B4" s="1295">
        <v>7.526</v>
      </c>
      <c r="C4" s="1295">
        <v>7.526</v>
      </c>
      <c r="D4" s="1295">
        <v>7.1315</v>
      </c>
      <c r="E4" s="1295">
        <v>7.1315</v>
      </c>
      <c r="F4" s="1295">
        <v>7.1315</v>
      </c>
      <c r="G4" s="1295">
        <v>7.1315</v>
      </c>
      <c r="H4" s="1295">
        <v>7.1315</v>
      </c>
      <c r="I4" s="1295">
        <v>7.0485</v>
      </c>
      <c r="J4" s="1295">
        <v>7.0485</v>
      </c>
      <c r="K4" s="1295">
        <v>7.0485</v>
      </c>
      <c r="L4" s="1295">
        <v>7.0485</v>
      </c>
      <c r="M4" s="1295">
        <v>7.0485</v>
      </c>
    </row>
    <row r="5" spans="1:13">
      <c r="A5" s="1292">
        <v>0.3</v>
      </c>
      <c r="B5" s="1295">
        <v>5.0173</v>
      </c>
      <c r="C5" s="1295">
        <v>5.0173</v>
      </c>
      <c r="D5" s="1295">
        <v>4.7543</v>
      </c>
      <c r="E5" s="1295">
        <v>4.7543</v>
      </c>
      <c r="F5" s="1295">
        <v>4.7543</v>
      </c>
      <c r="G5" s="1295">
        <v>4.7543</v>
      </c>
      <c r="H5" s="1295">
        <v>4.7543</v>
      </c>
      <c r="I5" s="1295">
        <v>4.699</v>
      </c>
      <c r="J5" s="1295">
        <v>4.699</v>
      </c>
      <c r="K5" s="1295">
        <v>4.699</v>
      </c>
      <c r="L5" s="1295">
        <v>4.699</v>
      </c>
      <c r="M5" s="1295">
        <v>4.699</v>
      </c>
    </row>
    <row r="6" spans="1:13">
      <c r="A6" s="1292">
        <v>0.4</v>
      </c>
      <c r="B6" s="1295">
        <v>3.763</v>
      </c>
      <c r="C6" s="1295">
        <v>3.763</v>
      </c>
      <c r="D6" s="1295">
        <v>3.5658</v>
      </c>
      <c r="E6" s="1295">
        <v>3.5658</v>
      </c>
      <c r="F6" s="1295">
        <v>3.5658</v>
      </c>
      <c r="G6" s="1295">
        <v>3.5658</v>
      </c>
      <c r="H6" s="1295">
        <v>3.5658</v>
      </c>
      <c r="I6" s="1295">
        <v>3.5243</v>
      </c>
      <c r="J6" s="1295">
        <v>3.5243</v>
      </c>
      <c r="K6" s="1295">
        <v>3.5243</v>
      </c>
      <c r="L6" s="1295">
        <v>3.5243</v>
      </c>
      <c r="M6" s="1295">
        <v>3.5243</v>
      </c>
    </row>
    <row r="7" spans="1:13">
      <c r="A7" s="1292">
        <v>0.5</v>
      </c>
      <c r="B7" s="1295">
        <v>3.0104</v>
      </c>
      <c r="C7" s="1295">
        <v>3.0104</v>
      </c>
      <c r="D7" s="1295">
        <v>2.8526</v>
      </c>
      <c r="E7" s="1295">
        <v>2.8526</v>
      </c>
      <c r="F7" s="1295">
        <v>2.8526</v>
      </c>
      <c r="G7" s="1295">
        <v>2.8526</v>
      </c>
      <c r="H7" s="1295">
        <v>2.8526</v>
      </c>
      <c r="I7" s="1295">
        <v>2.8194</v>
      </c>
      <c r="J7" s="1295">
        <v>2.8194</v>
      </c>
      <c r="K7" s="1295">
        <v>2.8194</v>
      </c>
      <c r="L7" s="1295">
        <v>2.8194</v>
      </c>
      <c r="M7" s="1295">
        <v>2.8194</v>
      </c>
    </row>
    <row r="8" spans="1:13">
      <c r="A8" s="1292">
        <v>0.6</v>
      </c>
      <c r="B8" s="1295">
        <v>2.5087</v>
      </c>
      <c r="C8" s="1295">
        <v>2.5087</v>
      </c>
      <c r="D8" s="1295">
        <v>2.3772</v>
      </c>
      <c r="E8" s="1295">
        <v>2.3772</v>
      </c>
      <c r="F8" s="1295">
        <v>2.3772</v>
      </c>
      <c r="G8" s="1295">
        <v>2.3772</v>
      </c>
      <c r="H8" s="1295">
        <v>2.3772</v>
      </c>
      <c r="I8" s="1295">
        <v>2.3495</v>
      </c>
      <c r="J8" s="1295">
        <v>2.3495</v>
      </c>
      <c r="K8" s="1295">
        <v>2.3495</v>
      </c>
      <c r="L8" s="1295">
        <v>2.3495</v>
      </c>
      <c r="M8" s="1295">
        <v>2.3495</v>
      </c>
    </row>
    <row r="9" spans="1:13">
      <c r="A9" s="1292">
        <v>0.7</v>
      </c>
      <c r="B9" s="1295">
        <v>2.1503</v>
      </c>
      <c r="C9" s="1295">
        <v>2.1503</v>
      </c>
      <c r="D9" s="1295">
        <v>2.0376</v>
      </c>
      <c r="E9" s="1295">
        <v>2.0376</v>
      </c>
      <c r="F9" s="1295">
        <v>2.0376</v>
      </c>
      <c r="G9" s="1295">
        <v>2.0376</v>
      </c>
      <c r="H9" s="1295">
        <v>2.0376</v>
      </c>
      <c r="I9" s="1295">
        <v>2.0139</v>
      </c>
      <c r="J9" s="1295">
        <v>2.0139</v>
      </c>
      <c r="K9" s="1295">
        <v>2.0139</v>
      </c>
      <c r="L9" s="1295">
        <v>2.0139</v>
      </c>
      <c r="M9" s="1295">
        <v>2.0139</v>
      </c>
    </row>
    <row r="10" spans="1:13">
      <c r="A10" s="1292">
        <v>0.8</v>
      </c>
      <c r="B10" s="1295">
        <v>1.8815</v>
      </c>
      <c r="C10" s="1295">
        <v>1.8815</v>
      </c>
      <c r="D10" s="1295">
        <v>1.7829</v>
      </c>
      <c r="E10" s="1295">
        <v>1.7829</v>
      </c>
      <c r="F10" s="1295">
        <v>1.7829</v>
      </c>
      <c r="G10" s="1295">
        <v>1.7829</v>
      </c>
      <c r="H10" s="1295">
        <v>1.7829</v>
      </c>
      <c r="I10" s="1295">
        <v>1.7621</v>
      </c>
      <c r="J10" s="1295">
        <v>1.7621</v>
      </c>
      <c r="K10" s="1295">
        <v>1.7621</v>
      </c>
      <c r="L10" s="1295">
        <v>1.7621</v>
      </c>
      <c r="M10" s="1295">
        <v>1.7621</v>
      </c>
    </row>
    <row r="11" spans="1:13">
      <c r="A11" s="1292">
        <v>0.9</v>
      </c>
      <c r="B11" s="1295">
        <v>1.6724</v>
      </c>
      <c r="C11" s="1295">
        <v>1.6724</v>
      </c>
      <c r="D11" s="1295">
        <v>1.5848</v>
      </c>
      <c r="E11" s="1295">
        <v>1.5848</v>
      </c>
      <c r="F11" s="1295">
        <v>1.5848</v>
      </c>
      <c r="G11" s="1295">
        <v>1.5848</v>
      </c>
      <c r="H11" s="1295">
        <v>1.5848</v>
      </c>
      <c r="I11" s="1295">
        <v>1.5663</v>
      </c>
      <c r="J11" s="1295">
        <v>1.5663</v>
      </c>
      <c r="K11" s="1295">
        <v>1.5663</v>
      </c>
      <c r="L11" s="1295">
        <v>1.5663</v>
      </c>
      <c r="M11" s="1295">
        <v>1.5663</v>
      </c>
    </row>
    <row r="12" spans="1:13">
      <c r="A12" s="1292">
        <v>1</v>
      </c>
      <c r="B12" s="1295">
        <v>1.5052</v>
      </c>
      <c r="C12" s="1295">
        <v>1.5052</v>
      </c>
      <c r="D12" s="1295">
        <v>1.4263</v>
      </c>
      <c r="E12" s="1295">
        <v>1.4263</v>
      </c>
      <c r="F12" s="1295">
        <v>1.4263</v>
      </c>
      <c r="G12" s="1295">
        <v>1.4263</v>
      </c>
      <c r="H12" s="1295">
        <v>1.4263</v>
      </c>
      <c r="I12" s="1295">
        <v>1.4097</v>
      </c>
      <c r="J12" s="1295">
        <v>1.4097</v>
      </c>
      <c r="K12" s="1295">
        <v>1.4097</v>
      </c>
      <c r="L12" s="1295">
        <v>1.4097</v>
      </c>
      <c r="M12" s="1295">
        <v>1.4097</v>
      </c>
    </row>
    <row r="13" spans="1:13">
      <c r="A13" s="1292">
        <v>1.1</v>
      </c>
      <c r="B13" s="1295">
        <v>1.4509</v>
      </c>
      <c r="C13" s="1295">
        <v>1.4509</v>
      </c>
      <c r="D13" s="1295">
        <v>1.3698</v>
      </c>
      <c r="E13" s="1295">
        <v>1.3698</v>
      </c>
      <c r="F13" s="1295">
        <v>1.3698</v>
      </c>
      <c r="G13" s="1295">
        <v>1.3698</v>
      </c>
      <c r="H13" s="1295">
        <v>1.3698</v>
      </c>
      <c r="I13" s="1295">
        <v>1.343</v>
      </c>
      <c r="J13" s="1295">
        <v>1.343</v>
      </c>
      <c r="K13" s="1295">
        <v>1.343</v>
      </c>
      <c r="L13" s="1295">
        <v>1.343</v>
      </c>
      <c r="M13" s="1295">
        <v>1.343</v>
      </c>
    </row>
    <row r="14" spans="1:13">
      <c r="A14" s="1292">
        <v>1.2</v>
      </c>
      <c r="B14" s="1295">
        <v>1.4035</v>
      </c>
      <c r="C14" s="1295">
        <v>1.4035</v>
      </c>
      <c r="D14" s="1295">
        <v>1.3205</v>
      </c>
      <c r="E14" s="1295">
        <v>1.3205</v>
      </c>
      <c r="F14" s="1295">
        <v>1.3205</v>
      </c>
      <c r="G14" s="1295">
        <v>1.3205</v>
      </c>
      <c r="H14" s="1295">
        <v>1.3205</v>
      </c>
      <c r="I14" s="1295">
        <v>1.2845</v>
      </c>
      <c r="J14" s="1295">
        <v>1.2845</v>
      </c>
      <c r="K14" s="1295">
        <v>1.2845</v>
      </c>
      <c r="L14" s="1295">
        <v>1.2845</v>
      </c>
      <c r="M14" s="1295">
        <v>1.2845</v>
      </c>
    </row>
    <row r="15" spans="1:13">
      <c r="A15" s="1292">
        <v>1.3</v>
      </c>
      <c r="B15" s="1295">
        <v>1.3622</v>
      </c>
      <c r="C15" s="1295">
        <v>1.3622</v>
      </c>
      <c r="D15" s="1295">
        <v>1.2775</v>
      </c>
      <c r="E15" s="1295">
        <v>1.2775</v>
      </c>
      <c r="F15" s="1295">
        <v>1.2775</v>
      </c>
      <c r="G15" s="1295">
        <v>1.2775</v>
      </c>
      <c r="H15" s="1295">
        <v>1.2775</v>
      </c>
      <c r="I15" s="1295">
        <v>1.2332</v>
      </c>
      <c r="J15" s="1295">
        <v>1.2332</v>
      </c>
      <c r="K15" s="1295">
        <v>1.2332</v>
      </c>
      <c r="L15" s="1295">
        <v>1.2332</v>
      </c>
      <c r="M15" s="1295">
        <v>1.2332</v>
      </c>
    </row>
    <row r="16" spans="1:14">
      <c r="A16" s="1292">
        <v>1.4</v>
      </c>
      <c r="B16" s="1295">
        <v>1.3262</v>
      </c>
      <c r="C16" s="1295">
        <v>1.3262</v>
      </c>
      <c r="D16" s="1295">
        <v>1.2402</v>
      </c>
      <c r="E16" s="1295">
        <v>1.2402</v>
      </c>
      <c r="F16" s="1295">
        <v>1.2402</v>
      </c>
      <c r="G16" s="1295">
        <v>1.2402</v>
      </c>
      <c r="H16" s="1295">
        <v>1.2402</v>
      </c>
      <c r="I16" s="1295">
        <v>1.1882</v>
      </c>
      <c r="J16" s="1295">
        <v>1.1882</v>
      </c>
      <c r="K16" s="1295">
        <v>1.1882</v>
      </c>
      <c r="L16" s="1295">
        <v>1.1882</v>
      </c>
      <c r="M16" s="1295">
        <v>1.1882</v>
      </c>
      <c r="N16" s="1298"/>
    </row>
    <row r="17" spans="1:14">
      <c r="A17" s="1292">
        <v>1.5</v>
      </c>
      <c r="B17" s="1295">
        <v>1.2948</v>
      </c>
      <c r="C17" s="1295">
        <v>1.2948</v>
      </c>
      <c r="D17" s="1295">
        <v>1.2075</v>
      </c>
      <c r="E17" s="1295">
        <v>1.2075</v>
      </c>
      <c r="F17" s="1295">
        <v>1.2075</v>
      </c>
      <c r="G17" s="1295">
        <v>1.2075</v>
      </c>
      <c r="H17" s="1295">
        <v>1.2075</v>
      </c>
      <c r="I17" s="1295">
        <v>1.1486</v>
      </c>
      <c r="J17" s="1295">
        <v>1.1486</v>
      </c>
      <c r="K17" s="1295">
        <v>1.1486</v>
      </c>
      <c r="L17" s="1295">
        <v>1.1486</v>
      </c>
      <c r="M17" s="1295">
        <v>1.1486</v>
      </c>
      <c r="N17" s="1298"/>
    </row>
    <row r="18" spans="1:13">
      <c r="A18" s="1292">
        <v>1.6</v>
      </c>
      <c r="B18" s="1295">
        <v>1.2673</v>
      </c>
      <c r="C18" s="1295">
        <v>1.2673</v>
      </c>
      <c r="D18" s="1295">
        <v>1.1789</v>
      </c>
      <c r="E18" s="1295">
        <v>1.1789</v>
      </c>
      <c r="F18" s="1295">
        <v>1.1789</v>
      </c>
      <c r="G18" s="1295">
        <v>1.1789</v>
      </c>
      <c r="H18" s="1295">
        <v>1.1789</v>
      </c>
      <c r="I18" s="1295">
        <v>1.1135</v>
      </c>
      <c r="J18" s="1295">
        <v>1.1135</v>
      </c>
      <c r="K18" s="1295">
        <v>1.1135</v>
      </c>
      <c r="L18" s="1295">
        <v>1.1135</v>
      </c>
      <c r="M18" s="1295">
        <v>1.1135</v>
      </c>
    </row>
    <row r="19" spans="1:13">
      <c r="A19" s="1292">
        <v>1.7</v>
      </c>
      <c r="B19" s="1295">
        <v>1.2429</v>
      </c>
      <c r="C19" s="1295">
        <v>1.2429</v>
      </c>
      <c r="D19" s="1295">
        <v>1.1534</v>
      </c>
      <c r="E19" s="1295">
        <v>1.1534</v>
      </c>
      <c r="F19" s="1295">
        <v>1.1534</v>
      </c>
      <c r="G19" s="1295">
        <v>1.1534</v>
      </c>
      <c r="H19" s="1295">
        <v>1.1534</v>
      </c>
      <c r="I19" s="1295">
        <v>1.082</v>
      </c>
      <c r="J19" s="1295">
        <v>1.082</v>
      </c>
      <c r="K19" s="1295">
        <v>1.082</v>
      </c>
      <c r="L19" s="1295">
        <v>1.082</v>
      </c>
      <c r="M19" s="1295">
        <v>1.082</v>
      </c>
    </row>
    <row r="20" spans="1:13">
      <c r="A20" s="1292">
        <v>1.8</v>
      </c>
      <c r="B20" s="1295">
        <v>1.2207</v>
      </c>
      <c r="C20" s="1295">
        <v>1.2207</v>
      </c>
      <c r="D20" s="1295">
        <v>1.1304</v>
      </c>
      <c r="E20" s="1295">
        <v>1.1304</v>
      </c>
      <c r="F20" s="1295">
        <v>1.1304</v>
      </c>
      <c r="G20" s="1295">
        <v>1.1304</v>
      </c>
      <c r="H20" s="1295">
        <v>1.1304</v>
      </c>
      <c r="I20" s="1295">
        <v>1.0532</v>
      </c>
      <c r="J20" s="1295">
        <v>1.0532</v>
      </c>
      <c r="K20" s="1295">
        <v>1.0532</v>
      </c>
      <c r="L20" s="1295">
        <v>1.0532</v>
      </c>
      <c r="M20" s="1295">
        <v>1.0532</v>
      </c>
    </row>
    <row r="21" spans="1:13">
      <c r="A21" s="1292">
        <v>1.9</v>
      </c>
      <c r="B21" s="1295">
        <v>1.2</v>
      </c>
      <c r="C21" s="1295">
        <v>1.2</v>
      </c>
      <c r="D21" s="1295">
        <v>1.1089</v>
      </c>
      <c r="E21" s="1295">
        <v>1.1089</v>
      </c>
      <c r="F21" s="1295">
        <v>1.1089</v>
      </c>
      <c r="G21" s="1295">
        <v>1.1089</v>
      </c>
      <c r="H21" s="1295">
        <v>1.1089</v>
      </c>
      <c r="I21" s="1295">
        <v>1.0261</v>
      </c>
      <c r="J21" s="1295">
        <v>1.0261</v>
      </c>
      <c r="K21" s="1295">
        <v>1.0261</v>
      </c>
      <c r="L21" s="1295">
        <v>1.0261</v>
      </c>
      <c r="M21" s="1295">
        <v>1.0261</v>
      </c>
    </row>
    <row r="22" spans="1:13">
      <c r="A22" s="1292">
        <v>2</v>
      </c>
      <c r="B22" s="1295">
        <v>1.1801</v>
      </c>
      <c r="C22" s="1295">
        <v>1.1801</v>
      </c>
      <c r="D22" s="1295">
        <v>1.0883</v>
      </c>
      <c r="E22" s="1295">
        <v>1.0883</v>
      </c>
      <c r="F22" s="1295">
        <v>1.0883</v>
      </c>
      <c r="G22" s="1295">
        <v>1.0883</v>
      </c>
      <c r="H22" s="1295">
        <v>1.0883</v>
      </c>
      <c r="I22" s="1295">
        <v>1</v>
      </c>
      <c r="J22" s="1295">
        <v>1</v>
      </c>
      <c r="K22" s="1295">
        <v>1</v>
      </c>
      <c r="L22" s="1295">
        <v>1</v>
      </c>
      <c r="M22" s="1295">
        <v>1</v>
      </c>
    </row>
    <row r="23" spans="1:13">
      <c r="A23" s="1296">
        <v>2.1</v>
      </c>
      <c r="B23" s="1295">
        <v>1.1616</v>
      </c>
      <c r="C23" s="1295">
        <v>1.1616</v>
      </c>
      <c r="D23" s="1295">
        <v>1.0685</v>
      </c>
      <c r="E23" s="1295">
        <v>1.0685</v>
      </c>
      <c r="F23" s="1295">
        <v>1.0685</v>
      </c>
      <c r="G23" s="1295">
        <v>1.0685</v>
      </c>
      <c r="H23" s="1295">
        <v>1.0685</v>
      </c>
      <c r="I23" s="1295">
        <v>0.9755</v>
      </c>
      <c r="J23" s="1295">
        <v>0.9755</v>
      </c>
      <c r="K23" s="1295">
        <v>0.9755</v>
      </c>
      <c r="L23" s="1295">
        <v>0.9755</v>
      </c>
      <c r="M23" s="1295">
        <v>0.9755</v>
      </c>
    </row>
    <row r="24" spans="1:13">
      <c r="A24" s="1296">
        <v>2.2</v>
      </c>
      <c r="B24" s="1295">
        <v>1.1441</v>
      </c>
      <c r="C24" s="1295">
        <v>1.1441</v>
      </c>
      <c r="D24" s="1295">
        <v>1.0497</v>
      </c>
      <c r="E24" s="1295">
        <v>1.0497</v>
      </c>
      <c r="F24" s="1295">
        <v>1.0497</v>
      </c>
      <c r="G24" s="1295">
        <v>1.0497</v>
      </c>
      <c r="H24" s="1295">
        <v>1.0497</v>
      </c>
      <c r="I24" s="1295">
        <v>0.9523</v>
      </c>
      <c r="J24" s="1295">
        <v>0.9523</v>
      </c>
      <c r="K24" s="1295">
        <v>0.9523</v>
      </c>
      <c r="L24" s="1295">
        <v>0.9523</v>
      </c>
      <c r="M24" s="1295">
        <v>0.9523</v>
      </c>
    </row>
    <row r="25" spans="1:13">
      <c r="A25" s="1296">
        <v>2.3</v>
      </c>
      <c r="B25" s="1295">
        <v>1.1276</v>
      </c>
      <c r="C25" s="1295">
        <v>1.1276</v>
      </c>
      <c r="D25" s="1295">
        <v>1.032</v>
      </c>
      <c r="E25" s="1295">
        <v>1.032</v>
      </c>
      <c r="F25" s="1295">
        <v>1.032</v>
      </c>
      <c r="G25" s="1295">
        <v>1.032</v>
      </c>
      <c r="H25" s="1295">
        <v>1.032</v>
      </c>
      <c r="I25" s="1295">
        <v>0.9304</v>
      </c>
      <c r="J25" s="1295">
        <v>0.9304</v>
      </c>
      <c r="K25" s="1295">
        <v>0.9304</v>
      </c>
      <c r="L25" s="1295">
        <v>0.9304</v>
      </c>
      <c r="M25" s="1295">
        <v>0.9304</v>
      </c>
    </row>
    <row r="26" spans="1:13">
      <c r="A26" s="1296">
        <v>2.4</v>
      </c>
      <c r="B26" s="1295">
        <v>1.1121</v>
      </c>
      <c r="C26" s="1295">
        <v>1.1121</v>
      </c>
      <c r="D26" s="1295">
        <v>1.0155</v>
      </c>
      <c r="E26" s="1295">
        <v>1.0155</v>
      </c>
      <c r="F26" s="1295">
        <v>1.0155</v>
      </c>
      <c r="G26" s="1295">
        <v>1.0155</v>
      </c>
      <c r="H26" s="1295">
        <v>1.0155</v>
      </c>
      <c r="I26" s="1295">
        <v>0.91</v>
      </c>
      <c r="J26" s="1295">
        <v>0.91</v>
      </c>
      <c r="K26" s="1295">
        <v>0.91</v>
      </c>
      <c r="L26" s="1295">
        <v>0.91</v>
      </c>
      <c r="M26" s="1295">
        <v>0.91</v>
      </c>
    </row>
    <row r="27" spans="1:13">
      <c r="A27" s="1296">
        <v>2.5</v>
      </c>
      <c r="B27" s="1295">
        <v>1.0976</v>
      </c>
      <c r="C27" s="1295">
        <v>1.0976</v>
      </c>
      <c r="D27" s="1295">
        <v>1</v>
      </c>
      <c r="E27" s="1295">
        <v>1</v>
      </c>
      <c r="F27" s="1295">
        <v>1</v>
      </c>
      <c r="G27" s="1295">
        <v>1</v>
      </c>
      <c r="H27" s="1295">
        <v>1</v>
      </c>
      <c r="I27" s="1295">
        <v>0.8908</v>
      </c>
      <c r="J27" s="1295">
        <v>0.8908</v>
      </c>
      <c r="K27" s="1295">
        <v>0.8908</v>
      </c>
      <c r="L27" s="1295">
        <v>0.8908</v>
      </c>
      <c r="M27" s="1295">
        <v>0.8908</v>
      </c>
    </row>
    <row r="28" spans="1:13">
      <c r="A28" s="1296">
        <v>2.6</v>
      </c>
      <c r="B28" s="1295">
        <v>1.0841</v>
      </c>
      <c r="C28" s="1295">
        <v>1.0841</v>
      </c>
      <c r="D28" s="1295">
        <v>0.9862</v>
      </c>
      <c r="E28" s="1295">
        <v>0.9862</v>
      </c>
      <c r="F28" s="1295">
        <v>0.9862</v>
      </c>
      <c r="G28" s="1295">
        <v>0.9862</v>
      </c>
      <c r="H28" s="1295">
        <v>0.9862</v>
      </c>
      <c r="I28" s="1295">
        <v>0.873</v>
      </c>
      <c r="J28" s="1295">
        <v>0.873</v>
      </c>
      <c r="K28" s="1295">
        <v>0.873</v>
      </c>
      <c r="L28" s="1295">
        <v>0.873</v>
      </c>
      <c r="M28" s="1295">
        <v>0.873</v>
      </c>
    </row>
    <row r="29" spans="1:13">
      <c r="A29" s="1296">
        <v>2.7</v>
      </c>
      <c r="B29" s="1295">
        <v>1.0716</v>
      </c>
      <c r="C29" s="1295">
        <v>1.0716</v>
      </c>
      <c r="D29" s="1295">
        <v>0.9733</v>
      </c>
      <c r="E29" s="1295">
        <v>0.9733</v>
      </c>
      <c r="F29" s="1295">
        <v>0.9733</v>
      </c>
      <c r="G29" s="1295">
        <v>0.9733</v>
      </c>
      <c r="H29" s="1295">
        <v>0.9733</v>
      </c>
      <c r="I29" s="1295">
        <v>0.8567</v>
      </c>
      <c r="J29" s="1295">
        <v>0.8567</v>
      </c>
      <c r="K29" s="1295">
        <v>0.8567</v>
      </c>
      <c r="L29" s="1295">
        <v>0.8567</v>
      </c>
      <c r="M29" s="1295">
        <v>0.8567</v>
      </c>
    </row>
    <row r="30" spans="1:13">
      <c r="A30" s="1296">
        <v>2.8</v>
      </c>
      <c r="B30" s="1295">
        <v>1.0602</v>
      </c>
      <c r="C30" s="1295">
        <v>1.0602</v>
      </c>
      <c r="D30" s="1295">
        <v>0.9616</v>
      </c>
      <c r="E30" s="1295">
        <v>0.9616</v>
      </c>
      <c r="F30" s="1295">
        <v>0.9616</v>
      </c>
      <c r="G30" s="1295">
        <v>0.9616</v>
      </c>
      <c r="H30" s="1295">
        <v>0.9616</v>
      </c>
      <c r="I30" s="1295">
        <v>0.8417</v>
      </c>
      <c r="J30" s="1295">
        <v>0.8417</v>
      </c>
      <c r="K30" s="1295">
        <v>0.8417</v>
      </c>
      <c r="L30" s="1295">
        <v>0.8417</v>
      </c>
      <c r="M30" s="1295">
        <v>0.8417</v>
      </c>
    </row>
    <row r="31" spans="1:13">
      <c r="A31" s="1296">
        <v>2.9</v>
      </c>
      <c r="B31" s="1295">
        <v>1.0497</v>
      </c>
      <c r="C31" s="1295">
        <v>1.0497</v>
      </c>
      <c r="D31" s="1295">
        <v>0.9509</v>
      </c>
      <c r="E31" s="1295">
        <v>0.9509</v>
      </c>
      <c r="F31" s="1295">
        <v>0.9509</v>
      </c>
      <c r="G31" s="1295">
        <v>0.9509</v>
      </c>
      <c r="H31" s="1295">
        <v>0.9509</v>
      </c>
      <c r="I31" s="1295">
        <v>0.8281</v>
      </c>
      <c r="J31" s="1295">
        <v>0.8281</v>
      </c>
      <c r="K31" s="1295">
        <v>0.8281</v>
      </c>
      <c r="L31" s="1295">
        <v>0.8281</v>
      </c>
      <c r="M31" s="1295">
        <v>0.8281</v>
      </c>
    </row>
    <row r="32" spans="1:13">
      <c r="A32" s="1296">
        <v>3</v>
      </c>
      <c r="B32" s="1295">
        <v>1.0401</v>
      </c>
      <c r="C32" s="1295">
        <v>1.0401</v>
      </c>
      <c r="D32" s="1295">
        <v>0.9409</v>
      </c>
      <c r="E32" s="1295">
        <v>0.9409</v>
      </c>
      <c r="F32" s="1295">
        <v>0.9409</v>
      </c>
      <c r="G32" s="1295">
        <v>0.9409</v>
      </c>
      <c r="H32" s="1295">
        <v>0.9409</v>
      </c>
      <c r="I32" s="1295">
        <v>0.8158</v>
      </c>
      <c r="J32" s="1295">
        <v>0.8158</v>
      </c>
      <c r="K32" s="1295">
        <v>0.8158</v>
      </c>
      <c r="L32" s="1295">
        <v>0.8158</v>
      </c>
      <c r="M32" s="1295">
        <v>0.8158</v>
      </c>
    </row>
    <row r="33" spans="1:13">
      <c r="A33" s="1296">
        <v>3.1</v>
      </c>
      <c r="B33" s="1295">
        <v>1.0314</v>
      </c>
      <c r="C33" s="1295">
        <v>1.0314</v>
      </c>
      <c r="D33" s="1295">
        <v>0.9317</v>
      </c>
      <c r="E33" s="1295">
        <v>0.9317</v>
      </c>
      <c r="F33" s="1295">
        <v>0.9317</v>
      </c>
      <c r="G33" s="1295">
        <v>0.9317</v>
      </c>
      <c r="H33" s="1295">
        <v>0.9317</v>
      </c>
      <c r="I33" s="1295">
        <v>0.8041</v>
      </c>
      <c r="J33" s="1295">
        <v>0.8041</v>
      </c>
      <c r="K33" s="1295">
        <v>0.8041</v>
      </c>
      <c r="L33" s="1295">
        <v>0.8041</v>
      </c>
      <c r="M33" s="1295">
        <v>0.8041</v>
      </c>
    </row>
    <row r="34" spans="1:13">
      <c r="A34" s="1296">
        <v>3.2</v>
      </c>
      <c r="B34" s="1295">
        <v>1.023</v>
      </c>
      <c r="C34" s="1295">
        <v>1.023</v>
      </c>
      <c r="D34" s="1295">
        <v>0.9228</v>
      </c>
      <c r="E34" s="1295">
        <v>0.9228</v>
      </c>
      <c r="F34" s="1295">
        <v>0.9228</v>
      </c>
      <c r="G34" s="1295">
        <v>0.9228</v>
      </c>
      <c r="H34" s="1295">
        <v>0.9228</v>
      </c>
      <c r="I34" s="1295">
        <v>0.793</v>
      </c>
      <c r="J34" s="1295">
        <v>0.793</v>
      </c>
      <c r="K34" s="1295">
        <v>0.793</v>
      </c>
      <c r="L34" s="1295">
        <v>0.793</v>
      </c>
      <c r="M34" s="1295">
        <v>0.793</v>
      </c>
    </row>
    <row r="35" spans="1:13">
      <c r="A35" s="1296">
        <v>3.3</v>
      </c>
      <c r="B35" s="1295">
        <v>1.015</v>
      </c>
      <c r="C35" s="1295">
        <v>1.015</v>
      </c>
      <c r="D35" s="1295">
        <v>0.9144</v>
      </c>
      <c r="E35" s="1295">
        <v>0.9144</v>
      </c>
      <c r="F35" s="1295">
        <v>0.9144</v>
      </c>
      <c r="G35" s="1295">
        <v>0.9144</v>
      </c>
      <c r="H35" s="1295">
        <v>0.9144</v>
      </c>
      <c r="I35" s="1295">
        <v>0.7822</v>
      </c>
      <c r="J35" s="1295">
        <v>0.7822</v>
      </c>
      <c r="K35" s="1295">
        <v>0.7822</v>
      </c>
      <c r="L35" s="1295">
        <v>0.7822</v>
      </c>
      <c r="M35" s="1295">
        <v>0.7822</v>
      </c>
    </row>
    <row r="36" spans="1:13">
      <c r="A36" s="1296">
        <v>3.4</v>
      </c>
      <c r="B36" s="1295">
        <v>1.0073</v>
      </c>
      <c r="C36" s="1295">
        <v>1.0073</v>
      </c>
      <c r="D36" s="1295">
        <v>0.9063</v>
      </c>
      <c r="E36" s="1295">
        <v>0.9063</v>
      </c>
      <c r="F36" s="1295">
        <v>0.9063</v>
      </c>
      <c r="G36" s="1295">
        <v>0.9063</v>
      </c>
      <c r="H36" s="1295">
        <v>0.9063</v>
      </c>
      <c r="I36" s="1295">
        <v>0.7721</v>
      </c>
      <c r="J36" s="1295">
        <v>0.7721</v>
      </c>
      <c r="K36" s="1295">
        <v>0.7721</v>
      </c>
      <c r="L36" s="1295">
        <v>0.7721</v>
      </c>
      <c r="M36" s="1295">
        <v>0.7721</v>
      </c>
    </row>
    <row r="37" spans="1:13">
      <c r="A37" s="1296">
        <v>3.5</v>
      </c>
      <c r="B37" s="1295">
        <v>1</v>
      </c>
      <c r="C37" s="1295">
        <v>1</v>
      </c>
      <c r="D37" s="1295">
        <v>0.8987</v>
      </c>
      <c r="E37" s="1295">
        <v>0.8987</v>
      </c>
      <c r="F37" s="1295">
        <v>0.8987</v>
      </c>
      <c r="G37" s="1295">
        <v>0.8987</v>
      </c>
      <c r="H37" s="1295">
        <v>0.8987</v>
      </c>
      <c r="I37" s="1295">
        <v>0.7624</v>
      </c>
      <c r="J37" s="1295">
        <v>0.7624</v>
      </c>
      <c r="K37" s="1295">
        <v>0.7624</v>
      </c>
      <c r="L37" s="1295">
        <v>0.7624</v>
      </c>
      <c r="M37" s="1295">
        <v>0.7624</v>
      </c>
    </row>
    <row r="38" spans="1:13">
      <c r="A38" s="1296">
        <v>3.6</v>
      </c>
      <c r="B38" s="1295">
        <v>0.9933</v>
      </c>
      <c r="C38" s="1295">
        <v>0.9933</v>
      </c>
      <c r="D38" s="1295">
        <v>0.8914</v>
      </c>
      <c r="E38" s="1295">
        <v>0.8914</v>
      </c>
      <c r="F38" s="1295">
        <v>0.8914</v>
      </c>
      <c r="G38" s="1295">
        <v>0.8914</v>
      </c>
      <c r="H38" s="1295">
        <v>0.8914</v>
      </c>
      <c r="I38" s="1295">
        <v>0.7532</v>
      </c>
      <c r="J38" s="1295">
        <v>0.7532</v>
      </c>
      <c r="K38" s="1295">
        <v>0.7532</v>
      </c>
      <c r="L38" s="1295">
        <v>0.7532</v>
      </c>
      <c r="M38" s="1295">
        <v>0.7532</v>
      </c>
    </row>
    <row r="39" spans="1:13">
      <c r="A39" s="1296">
        <v>3.7</v>
      </c>
      <c r="B39" s="1295">
        <v>0.9869</v>
      </c>
      <c r="C39" s="1295">
        <v>0.9869</v>
      </c>
      <c r="D39" s="1295">
        <v>0.8845</v>
      </c>
      <c r="E39" s="1295">
        <v>0.8845</v>
      </c>
      <c r="F39" s="1295">
        <v>0.8845</v>
      </c>
      <c r="G39" s="1295">
        <v>0.8845</v>
      </c>
      <c r="H39" s="1295">
        <v>0.8845</v>
      </c>
      <c r="I39" s="1295">
        <v>0.7446</v>
      </c>
      <c r="J39" s="1295">
        <v>0.7446</v>
      </c>
      <c r="K39" s="1295">
        <v>0.7446</v>
      </c>
      <c r="L39" s="1295">
        <v>0.7446</v>
      </c>
      <c r="M39" s="1295">
        <v>0.7446</v>
      </c>
    </row>
    <row r="40" spans="1:13">
      <c r="A40" s="1296">
        <v>3.8</v>
      </c>
      <c r="B40" s="1295">
        <v>0.9808</v>
      </c>
      <c r="C40" s="1295">
        <v>0.9808</v>
      </c>
      <c r="D40" s="1295">
        <v>0.8781</v>
      </c>
      <c r="E40" s="1295">
        <v>0.8781</v>
      </c>
      <c r="F40" s="1295">
        <v>0.8781</v>
      </c>
      <c r="G40" s="1295">
        <v>0.8781</v>
      </c>
      <c r="H40" s="1295">
        <v>0.8781</v>
      </c>
      <c r="I40" s="1295">
        <v>0.7364</v>
      </c>
      <c r="J40" s="1295">
        <v>0.7364</v>
      </c>
      <c r="K40" s="1295">
        <v>0.7364</v>
      </c>
      <c r="L40" s="1295">
        <v>0.7364</v>
      </c>
      <c r="M40" s="1295">
        <v>0.7364</v>
      </c>
    </row>
    <row r="41" spans="1:13">
      <c r="A41" s="1296">
        <v>3.9</v>
      </c>
      <c r="B41" s="1295">
        <v>0.9751</v>
      </c>
      <c r="C41" s="1295">
        <v>0.9751</v>
      </c>
      <c r="D41" s="1295">
        <v>0.8721</v>
      </c>
      <c r="E41" s="1295">
        <v>0.8721</v>
      </c>
      <c r="F41" s="1295">
        <v>0.8721</v>
      </c>
      <c r="G41" s="1295">
        <v>0.8721</v>
      </c>
      <c r="H41" s="1295">
        <v>0.8721</v>
      </c>
      <c r="I41" s="1295">
        <v>0.7288</v>
      </c>
      <c r="J41" s="1295">
        <v>0.7288</v>
      </c>
      <c r="K41" s="1295">
        <v>0.7288</v>
      </c>
      <c r="L41" s="1295">
        <v>0.7288</v>
      </c>
      <c r="M41" s="1295">
        <v>0.7288</v>
      </c>
    </row>
    <row r="42" spans="1:13">
      <c r="A42" s="1296">
        <v>4</v>
      </c>
      <c r="B42" s="1295">
        <v>0.9699</v>
      </c>
      <c r="C42" s="1295">
        <v>0.9699</v>
      </c>
      <c r="D42" s="1295">
        <v>0.8665</v>
      </c>
      <c r="E42" s="1295">
        <v>0.8665</v>
      </c>
      <c r="F42" s="1295">
        <v>0.8665</v>
      </c>
      <c r="G42" s="1295">
        <v>0.8665</v>
      </c>
      <c r="H42" s="1295">
        <v>0.8665</v>
      </c>
      <c r="I42" s="1295">
        <v>0.7218</v>
      </c>
      <c r="J42" s="1295">
        <v>0.7218</v>
      </c>
      <c r="K42" s="1295">
        <v>0.7218</v>
      </c>
      <c r="L42" s="1295">
        <v>0.7218</v>
      </c>
      <c r="M42" s="1295">
        <v>0.7218</v>
      </c>
    </row>
    <row r="43" spans="1:13">
      <c r="A43" s="1296">
        <v>4.1</v>
      </c>
      <c r="B43" s="1295">
        <v>0.9648</v>
      </c>
      <c r="C43" s="1295">
        <v>0.9648</v>
      </c>
      <c r="D43" s="1295">
        <v>0.8611</v>
      </c>
      <c r="E43" s="1295">
        <v>0.8611</v>
      </c>
      <c r="F43" s="1295">
        <v>0.8611</v>
      </c>
      <c r="G43" s="1295">
        <v>0.8611</v>
      </c>
      <c r="H43" s="1295">
        <v>0.8611</v>
      </c>
      <c r="I43" s="1295">
        <v>0.715</v>
      </c>
      <c r="J43" s="1295">
        <v>0.715</v>
      </c>
      <c r="K43" s="1295">
        <v>0.715</v>
      </c>
      <c r="L43" s="1295">
        <v>0.715</v>
      </c>
      <c r="M43" s="1295">
        <v>0.715</v>
      </c>
    </row>
    <row r="44" spans="1:13">
      <c r="A44" s="1296">
        <v>4.2</v>
      </c>
      <c r="B44" s="1295">
        <v>0.96</v>
      </c>
      <c r="C44" s="1295">
        <v>0.96</v>
      </c>
      <c r="D44" s="1295">
        <v>0.856</v>
      </c>
      <c r="E44" s="1295">
        <v>0.856</v>
      </c>
      <c r="F44" s="1295">
        <v>0.856</v>
      </c>
      <c r="G44" s="1295">
        <v>0.856</v>
      </c>
      <c r="H44" s="1295">
        <v>0.856</v>
      </c>
      <c r="I44" s="1295">
        <v>0.7084</v>
      </c>
      <c r="J44" s="1295">
        <v>0.7084</v>
      </c>
      <c r="K44" s="1295">
        <v>0.7084</v>
      </c>
      <c r="L44" s="1295">
        <v>0.7084</v>
      </c>
      <c r="M44" s="1295">
        <v>0.7084</v>
      </c>
    </row>
    <row r="45" spans="1:13">
      <c r="A45" s="1296">
        <v>4.3</v>
      </c>
      <c r="B45" s="1295">
        <v>0.9553</v>
      </c>
      <c r="C45" s="1295">
        <v>0.9553</v>
      </c>
      <c r="D45" s="1295">
        <v>0.851</v>
      </c>
      <c r="E45" s="1295">
        <v>0.851</v>
      </c>
      <c r="F45" s="1295">
        <v>0.851</v>
      </c>
      <c r="G45" s="1295">
        <v>0.851</v>
      </c>
      <c r="H45" s="1295">
        <v>0.851</v>
      </c>
      <c r="I45" s="1295">
        <v>0.702</v>
      </c>
      <c r="J45" s="1295">
        <v>0.702</v>
      </c>
      <c r="K45" s="1295">
        <v>0.702</v>
      </c>
      <c r="L45" s="1295">
        <v>0.702</v>
      </c>
      <c r="M45" s="1295">
        <v>0.702</v>
      </c>
    </row>
    <row r="46" spans="1:13">
      <c r="A46" s="1296">
        <v>4.4</v>
      </c>
      <c r="B46" s="1295">
        <v>0.9508</v>
      </c>
      <c r="C46" s="1295">
        <v>0.9508</v>
      </c>
      <c r="D46" s="1295">
        <v>0.8462</v>
      </c>
      <c r="E46" s="1295">
        <v>0.8462</v>
      </c>
      <c r="F46" s="1295">
        <v>0.8462</v>
      </c>
      <c r="G46" s="1295">
        <v>0.8462</v>
      </c>
      <c r="H46" s="1295">
        <v>0.8462</v>
      </c>
      <c r="I46" s="1295">
        <v>0.6958</v>
      </c>
      <c r="J46" s="1295">
        <v>0.6958</v>
      </c>
      <c r="K46" s="1295">
        <v>0.6958</v>
      </c>
      <c r="L46" s="1295">
        <v>0.6958</v>
      </c>
      <c r="M46" s="1295">
        <v>0.6958</v>
      </c>
    </row>
    <row r="47" spans="1:13">
      <c r="A47" s="1296">
        <v>4.5</v>
      </c>
      <c r="B47" s="1295">
        <v>0.9464</v>
      </c>
      <c r="C47" s="1295">
        <v>0.9464</v>
      </c>
      <c r="D47" s="1295">
        <v>0.8415</v>
      </c>
      <c r="E47" s="1295">
        <v>0.8415</v>
      </c>
      <c r="F47" s="1295">
        <v>0.8415</v>
      </c>
      <c r="G47" s="1295">
        <v>0.8415</v>
      </c>
      <c r="H47" s="1295">
        <v>0.8415</v>
      </c>
      <c r="I47" s="1295">
        <v>0.6899</v>
      </c>
      <c r="J47" s="1295">
        <v>0.6899</v>
      </c>
      <c r="K47" s="1295">
        <v>0.6899</v>
      </c>
      <c r="L47" s="1295">
        <v>0.6899</v>
      </c>
      <c r="M47" s="1295">
        <v>0.6899</v>
      </c>
    </row>
    <row r="48" spans="1:13">
      <c r="A48" s="1296">
        <v>4.6</v>
      </c>
      <c r="B48" s="1295">
        <v>0.9423</v>
      </c>
      <c r="C48" s="1295">
        <v>0.9423</v>
      </c>
      <c r="D48" s="1295">
        <v>0.8371</v>
      </c>
      <c r="E48" s="1295">
        <v>0.8371</v>
      </c>
      <c r="F48" s="1295">
        <v>0.8371</v>
      </c>
      <c r="G48" s="1295">
        <v>0.8371</v>
      </c>
      <c r="H48" s="1295">
        <v>0.8371</v>
      </c>
      <c r="I48" s="1295">
        <v>0.6843</v>
      </c>
      <c r="J48" s="1295">
        <v>0.6843</v>
      </c>
      <c r="K48" s="1295">
        <v>0.6843</v>
      </c>
      <c r="L48" s="1295">
        <v>0.6843</v>
      </c>
      <c r="M48" s="1295">
        <v>0.6843</v>
      </c>
    </row>
    <row r="49" spans="1:13">
      <c r="A49" s="1296">
        <v>4.7</v>
      </c>
      <c r="B49" s="1295">
        <v>0.9383</v>
      </c>
      <c r="C49" s="1295">
        <v>0.9383</v>
      </c>
      <c r="D49" s="1295">
        <v>0.8328</v>
      </c>
      <c r="E49" s="1295">
        <v>0.8328</v>
      </c>
      <c r="F49" s="1295">
        <v>0.8328</v>
      </c>
      <c r="G49" s="1295">
        <v>0.8328</v>
      </c>
      <c r="H49" s="1295">
        <v>0.8328</v>
      </c>
      <c r="I49" s="1295">
        <v>0.6788</v>
      </c>
      <c r="J49" s="1295">
        <v>0.6788</v>
      </c>
      <c r="K49" s="1295">
        <v>0.6788</v>
      </c>
      <c r="L49" s="1295">
        <v>0.6788</v>
      </c>
      <c r="M49" s="1295">
        <v>0.6788</v>
      </c>
    </row>
    <row r="50" spans="1:13">
      <c r="A50" s="1296">
        <v>4.8</v>
      </c>
      <c r="B50" s="1295">
        <v>0.9345</v>
      </c>
      <c r="C50" s="1295">
        <v>0.9345</v>
      </c>
      <c r="D50" s="1295">
        <v>0.8287</v>
      </c>
      <c r="E50" s="1295">
        <v>0.8287</v>
      </c>
      <c r="F50" s="1295">
        <v>0.8287</v>
      </c>
      <c r="G50" s="1295">
        <v>0.8287</v>
      </c>
      <c r="H50" s="1295">
        <v>0.8287</v>
      </c>
      <c r="I50" s="1295">
        <v>0.6736</v>
      </c>
      <c r="J50" s="1295">
        <v>0.6736</v>
      </c>
      <c r="K50" s="1295">
        <v>0.6736</v>
      </c>
      <c r="L50" s="1295">
        <v>0.6736</v>
      </c>
      <c r="M50" s="1295">
        <v>0.6736</v>
      </c>
    </row>
    <row r="51" spans="1:13">
      <c r="A51" s="1296">
        <v>4.9</v>
      </c>
      <c r="B51" s="1295">
        <v>0.9308</v>
      </c>
      <c r="C51" s="1295">
        <v>0.9308</v>
      </c>
      <c r="D51" s="1295">
        <v>0.8248</v>
      </c>
      <c r="E51" s="1295">
        <v>0.8248</v>
      </c>
      <c r="F51" s="1295">
        <v>0.8248</v>
      </c>
      <c r="G51" s="1295">
        <v>0.8248</v>
      </c>
      <c r="H51" s="1295">
        <v>0.8248</v>
      </c>
      <c r="I51" s="1295">
        <v>0.6685</v>
      </c>
      <c r="J51" s="1295">
        <v>0.6685</v>
      </c>
      <c r="K51" s="1295">
        <v>0.6685</v>
      </c>
      <c r="L51" s="1295">
        <v>0.6685</v>
      </c>
      <c r="M51" s="1295">
        <v>0.6685</v>
      </c>
    </row>
    <row r="52" spans="1:13">
      <c r="A52" s="1296">
        <v>5</v>
      </c>
      <c r="B52" s="1295">
        <v>0.9274</v>
      </c>
      <c r="C52" s="1295">
        <v>0.9274</v>
      </c>
      <c r="D52" s="1295">
        <v>0.8211</v>
      </c>
      <c r="E52" s="1295">
        <v>0.8211</v>
      </c>
      <c r="F52" s="1295">
        <v>0.8211</v>
      </c>
      <c r="G52" s="1295">
        <v>0.8211</v>
      </c>
      <c r="H52" s="1295">
        <v>0.8211</v>
      </c>
      <c r="I52" s="1295">
        <v>0.6637</v>
      </c>
      <c r="J52" s="1295">
        <v>0.6637</v>
      </c>
      <c r="K52" s="1295">
        <v>0.6637</v>
      </c>
      <c r="L52" s="1295">
        <v>0.6637</v>
      </c>
      <c r="M52" s="1295">
        <v>0.6637</v>
      </c>
    </row>
    <row r="53" spans="1:13">
      <c r="A53" s="1292">
        <v>5.1</v>
      </c>
      <c r="B53" s="1295">
        <v>0.9241</v>
      </c>
      <c r="C53" s="1295">
        <v>0.9241</v>
      </c>
      <c r="D53" s="1295">
        <v>0.8175</v>
      </c>
      <c r="E53" s="1295">
        <v>0.8175</v>
      </c>
      <c r="F53" s="1295">
        <v>0.8175</v>
      </c>
      <c r="G53" s="1295">
        <v>0.8175</v>
      </c>
      <c r="H53" s="1295">
        <v>0.8175</v>
      </c>
      <c r="I53" s="1295">
        <v>0.659</v>
      </c>
      <c r="J53" s="1295">
        <v>0.659</v>
      </c>
      <c r="K53" s="1295">
        <v>0.659</v>
      </c>
      <c r="L53" s="1295">
        <v>0.659</v>
      </c>
      <c r="M53" s="1295">
        <v>0.659</v>
      </c>
    </row>
    <row r="54" spans="1:13">
      <c r="A54" s="1292">
        <v>5.2</v>
      </c>
      <c r="B54" s="1295">
        <v>0.9209</v>
      </c>
      <c r="C54" s="1295">
        <v>0.9209</v>
      </c>
      <c r="D54" s="1295">
        <v>0.814</v>
      </c>
      <c r="E54" s="1295">
        <v>0.814</v>
      </c>
      <c r="F54" s="1295">
        <v>0.814</v>
      </c>
      <c r="G54" s="1295">
        <v>0.814</v>
      </c>
      <c r="H54" s="1295">
        <v>0.814</v>
      </c>
      <c r="I54" s="1295">
        <v>0.6545</v>
      </c>
      <c r="J54" s="1295">
        <v>0.6545</v>
      </c>
      <c r="K54" s="1295">
        <v>0.6545</v>
      </c>
      <c r="L54" s="1295">
        <v>0.6545</v>
      </c>
      <c r="M54" s="1295">
        <v>0.6545</v>
      </c>
    </row>
    <row r="55" spans="1:13">
      <c r="A55" s="1292">
        <v>5.3</v>
      </c>
      <c r="B55" s="1295">
        <v>0.9179</v>
      </c>
      <c r="C55" s="1295">
        <v>0.9179</v>
      </c>
      <c r="D55" s="1295">
        <v>0.8106</v>
      </c>
      <c r="E55" s="1295">
        <v>0.8106</v>
      </c>
      <c r="F55" s="1295">
        <v>0.8106</v>
      </c>
      <c r="G55" s="1295">
        <v>0.8106</v>
      </c>
      <c r="H55" s="1295">
        <v>0.8106</v>
      </c>
      <c r="I55" s="1295">
        <v>0.6502</v>
      </c>
      <c r="J55" s="1295">
        <v>0.6502</v>
      </c>
      <c r="K55" s="1295">
        <v>0.6502</v>
      </c>
      <c r="L55" s="1295">
        <v>0.6502</v>
      </c>
      <c r="M55" s="1295">
        <v>0.6502</v>
      </c>
    </row>
    <row r="56" spans="1:13">
      <c r="A56" s="1292">
        <v>5.4</v>
      </c>
      <c r="B56" s="1295">
        <v>0.9149</v>
      </c>
      <c r="C56" s="1295">
        <v>0.9149</v>
      </c>
      <c r="D56" s="1295">
        <v>0.8074</v>
      </c>
      <c r="E56" s="1295">
        <v>0.8074</v>
      </c>
      <c r="F56" s="1295">
        <v>0.8074</v>
      </c>
      <c r="G56" s="1295">
        <v>0.8074</v>
      </c>
      <c r="H56" s="1295">
        <v>0.8074</v>
      </c>
      <c r="I56" s="1295">
        <v>0.6459</v>
      </c>
      <c r="J56" s="1295">
        <v>0.6459</v>
      </c>
      <c r="K56" s="1295">
        <v>0.6459</v>
      </c>
      <c r="L56" s="1295">
        <v>0.6459</v>
      </c>
      <c r="M56" s="1295">
        <v>0.6459</v>
      </c>
    </row>
    <row r="57" spans="1:13">
      <c r="A57" s="1292">
        <v>5.5</v>
      </c>
      <c r="B57" s="1295">
        <v>0.912</v>
      </c>
      <c r="C57" s="1295">
        <v>0.912</v>
      </c>
      <c r="D57" s="1295">
        <v>0.8042</v>
      </c>
      <c r="E57" s="1295">
        <v>0.8042</v>
      </c>
      <c r="F57" s="1295">
        <v>0.8042</v>
      </c>
      <c r="G57" s="1295">
        <v>0.8042</v>
      </c>
      <c r="H57" s="1295">
        <v>0.8042</v>
      </c>
      <c r="I57" s="1295">
        <v>0.6418</v>
      </c>
      <c r="J57" s="1295">
        <v>0.6418</v>
      </c>
      <c r="K57" s="1295">
        <v>0.6418</v>
      </c>
      <c r="L57" s="1295">
        <v>0.6418</v>
      </c>
      <c r="M57" s="1295">
        <v>0.6418</v>
      </c>
    </row>
    <row r="58" spans="1:13">
      <c r="A58" s="1292">
        <v>5.6</v>
      </c>
      <c r="B58" s="1295">
        <v>0.9091</v>
      </c>
      <c r="C58" s="1295">
        <v>0.9091</v>
      </c>
      <c r="D58" s="1295">
        <v>0.8012</v>
      </c>
      <c r="E58" s="1295">
        <v>0.8012</v>
      </c>
      <c r="F58" s="1295">
        <v>0.8012</v>
      </c>
      <c r="G58" s="1295">
        <v>0.8012</v>
      </c>
      <c r="H58" s="1295">
        <v>0.8012</v>
      </c>
      <c r="I58" s="1295">
        <v>0.6379</v>
      </c>
      <c r="J58" s="1295">
        <v>0.6379</v>
      </c>
      <c r="K58" s="1295">
        <v>0.6379</v>
      </c>
      <c r="L58" s="1295">
        <v>0.6379</v>
      </c>
      <c r="M58" s="1295">
        <v>0.6379</v>
      </c>
    </row>
    <row r="59" spans="1:13">
      <c r="A59" s="1296">
        <v>5.7</v>
      </c>
      <c r="B59" s="1295">
        <v>0.9064</v>
      </c>
      <c r="C59" s="1295">
        <v>0.9064</v>
      </c>
      <c r="D59" s="1295">
        <v>0.7982</v>
      </c>
      <c r="E59" s="1295">
        <v>0.7982</v>
      </c>
      <c r="F59" s="1295">
        <v>0.7982</v>
      </c>
      <c r="G59" s="1295">
        <v>0.7982</v>
      </c>
      <c r="H59" s="1295">
        <v>0.7982</v>
      </c>
      <c r="I59" s="1295">
        <v>0.6341</v>
      </c>
      <c r="J59" s="1295">
        <v>0.6341</v>
      </c>
      <c r="K59" s="1295">
        <v>0.6341</v>
      </c>
      <c r="L59" s="1295">
        <v>0.6341</v>
      </c>
      <c r="M59" s="1295">
        <v>0.6341</v>
      </c>
    </row>
    <row r="60" spans="1:13">
      <c r="A60" s="1292">
        <v>5.8</v>
      </c>
      <c r="B60" s="1295">
        <v>0.9038</v>
      </c>
      <c r="C60" s="1295">
        <v>0.9038</v>
      </c>
      <c r="D60" s="1295">
        <v>0.7954</v>
      </c>
      <c r="E60" s="1295">
        <v>0.7954</v>
      </c>
      <c r="F60" s="1295">
        <v>0.7954</v>
      </c>
      <c r="G60" s="1295">
        <v>0.7954</v>
      </c>
      <c r="H60" s="1295">
        <v>0.7954</v>
      </c>
      <c r="I60" s="1295">
        <v>0.6304</v>
      </c>
      <c r="J60" s="1295">
        <v>0.6304</v>
      </c>
      <c r="K60" s="1295">
        <v>0.6304</v>
      </c>
      <c r="L60" s="1295">
        <v>0.6304</v>
      </c>
      <c r="M60" s="1295">
        <v>0.6304</v>
      </c>
    </row>
    <row r="61" spans="1:13">
      <c r="A61" s="1292">
        <v>5.9</v>
      </c>
      <c r="B61" s="1295">
        <v>0.9013</v>
      </c>
      <c r="C61" s="1295">
        <v>0.9013</v>
      </c>
      <c r="D61" s="1295">
        <v>0.7927</v>
      </c>
      <c r="E61" s="1295">
        <v>0.7927</v>
      </c>
      <c r="F61" s="1295">
        <v>0.7927</v>
      </c>
      <c r="G61" s="1295">
        <v>0.7927</v>
      </c>
      <c r="H61" s="1295">
        <v>0.7927</v>
      </c>
      <c r="I61" s="1295">
        <v>0.6269</v>
      </c>
      <c r="J61" s="1295">
        <v>0.6269</v>
      </c>
      <c r="K61" s="1295">
        <v>0.6269</v>
      </c>
      <c r="L61" s="1295">
        <v>0.6269</v>
      </c>
      <c r="M61" s="1295">
        <v>0.6269</v>
      </c>
    </row>
    <row r="62" spans="1:13">
      <c r="A62" s="1292">
        <v>6</v>
      </c>
      <c r="B62" s="1295">
        <v>0.8989</v>
      </c>
      <c r="C62" s="1295">
        <v>0.8989</v>
      </c>
      <c r="D62" s="1295">
        <v>0.7902</v>
      </c>
      <c r="E62" s="1295">
        <v>0.7902</v>
      </c>
      <c r="F62" s="1295">
        <v>0.7902</v>
      </c>
      <c r="G62" s="1295">
        <v>0.7902</v>
      </c>
      <c r="H62" s="1295">
        <v>0.7902</v>
      </c>
      <c r="I62" s="1295">
        <v>0.6235</v>
      </c>
      <c r="J62" s="1295">
        <v>0.6235</v>
      </c>
      <c r="K62" s="1295">
        <v>0.6235</v>
      </c>
      <c r="L62" s="1295">
        <v>0.6235</v>
      </c>
      <c r="M62" s="1295">
        <v>0.6235</v>
      </c>
    </row>
    <row r="63" spans="1:13">
      <c r="A63" s="1292">
        <v>6.1</v>
      </c>
      <c r="B63" s="1295">
        <v>0.8965</v>
      </c>
      <c r="C63" s="1295">
        <v>0.8965</v>
      </c>
      <c r="D63" s="1295">
        <v>0.7877</v>
      </c>
      <c r="E63" s="1295">
        <v>0.7877</v>
      </c>
      <c r="F63" s="1295">
        <v>0.7877</v>
      </c>
      <c r="G63" s="1295">
        <v>0.7877</v>
      </c>
      <c r="H63" s="1295">
        <v>0.7877</v>
      </c>
      <c r="I63" s="1295">
        <v>0.6203</v>
      </c>
      <c r="J63" s="1295">
        <v>0.6203</v>
      </c>
      <c r="K63" s="1295">
        <v>0.6203</v>
      </c>
      <c r="L63" s="1295">
        <v>0.6203</v>
      </c>
      <c r="M63" s="1295">
        <v>0.6203</v>
      </c>
    </row>
    <row r="64" spans="1:13">
      <c r="A64" s="1292">
        <v>6.2</v>
      </c>
      <c r="B64" s="1295">
        <v>0.8943</v>
      </c>
      <c r="C64" s="1295">
        <v>0.8943</v>
      </c>
      <c r="D64" s="1295">
        <v>0.7852</v>
      </c>
      <c r="E64" s="1295">
        <v>0.7852</v>
      </c>
      <c r="F64" s="1295">
        <v>0.7852</v>
      </c>
      <c r="G64" s="1295">
        <v>0.7852</v>
      </c>
      <c r="H64" s="1295">
        <v>0.7852</v>
      </c>
      <c r="I64" s="1295">
        <v>0.6172</v>
      </c>
      <c r="J64" s="1295">
        <v>0.6172</v>
      </c>
      <c r="K64" s="1295">
        <v>0.6172</v>
      </c>
      <c r="L64" s="1295">
        <v>0.6172</v>
      </c>
      <c r="M64" s="1295">
        <v>0.6172</v>
      </c>
    </row>
    <row r="65" spans="1:13">
      <c r="A65" s="1292">
        <v>6.3</v>
      </c>
      <c r="B65" s="1295">
        <v>0.892</v>
      </c>
      <c r="C65" s="1295">
        <v>0.892</v>
      </c>
      <c r="D65" s="1295">
        <v>0.7828</v>
      </c>
      <c r="E65" s="1295">
        <v>0.7828</v>
      </c>
      <c r="F65" s="1295">
        <v>0.7828</v>
      </c>
      <c r="G65" s="1295">
        <v>0.7828</v>
      </c>
      <c r="H65" s="1295">
        <v>0.7828</v>
      </c>
      <c r="I65" s="1295">
        <v>0.6141</v>
      </c>
      <c r="J65" s="1295">
        <v>0.6141</v>
      </c>
      <c r="K65" s="1295">
        <v>0.6141</v>
      </c>
      <c r="L65" s="1295">
        <v>0.6141</v>
      </c>
      <c r="M65" s="1295">
        <v>0.6141</v>
      </c>
    </row>
    <row r="66" spans="1:13">
      <c r="A66" s="1292">
        <v>6.4</v>
      </c>
      <c r="B66" s="1295">
        <v>0.8899</v>
      </c>
      <c r="C66" s="1295">
        <v>0.8899</v>
      </c>
      <c r="D66" s="1295">
        <v>0.7804</v>
      </c>
      <c r="E66" s="1295">
        <v>0.7804</v>
      </c>
      <c r="F66" s="1295">
        <v>0.7804</v>
      </c>
      <c r="G66" s="1295">
        <v>0.7804</v>
      </c>
      <c r="H66" s="1295">
        <v>0.7804</v>
      </c>
      <c r="I66" s="1295">
        <v>0.611</v>
      </c>
      <c r="J66" s="1295">
        <v>0.611</v>
      </c>
      <c r="K66" s="1295">
        <v>0.611</v>
      </c>
      <c r="L66" s="1295">
        <v>0.611</v>
      </c>
      <c r="M66" s="1295">
        <v>0.611</v>
      </c>
    </row>
    <row r="67" spans="1:13">
      <c r="A67" s="1292">
        <v>6.5</v>
      </c>
      <c r="B67" s="1295">
        <v>0.8878</v>
      </c>
      <c r="C67" s="1295">
        <v>0.8878</v>
      </c>
      <c r="D67" s="1295">
        <v>0.7781</v>
      </c>
      <c r="E67" s="1295">
        <v>0.7781</v>
      </c>
      <c r="F67" s="1295">
        <v>0.7781</v>
      </c>
      <c r="G67" s="1295">
        <v>0.7781</v>
      </c>
      <c r="H67" s="1295">
        <v>0.7781</v>
      </c>
      <c r="I67" s="1295">
        <v>0.608</v>
      </c>
      <c r="J67" s="1295">
        <v>0.608</v>
      </c>
      <c r="K67" s="1295">
        <v>0.608</v>
      </c>
      <c r="L67" s="1295">
        <v>0.608</v>
      </c>
      <c r="M67" s="1295">
        <v>0.608</v>
      </c>
    </row>
    <row r="68" spans="1:13">
      <c r="A68" s="1292">
        <v>6.6</v>
      </c>
      <c r="B68" s="1295">
        <v>0.8858</v>
      </c>
      <c r="C68" s="1295">
        <v>0.8858</v>
      </c>
      <c r="D68" s="1295">
        <v>0.7758</v>
      </c>
      <c r="E68" s="1295">
        <v>0.7758</v>
      </c>
      <c r="F68" s="1295">
        <v>0.7758</v>
      </c>
      <c r="G68" s="1295">
        <v>0.7758</v>
      </c>
      <c r="H68" s="1295">
        <v>0.7758</v>
      </c>
      <c r="I68" s="1295">
        <v>0.605</v>
      </c>
      <c r="J68" s="1295">
        <v>0.605</v>
      </c>
      <c r="K68" s="1295">
        <v>0.605</v>
      </c>
      <c r="L68" s="1295">
        <v>0.605</v>
      </c>
      <c r="M68" s="1295">
        <v>0.605</v>
      </c>
    </row>
    <row r="69" spans="1:13">
      <c r="A69" s="1292">
        <v>6.7</v>
      </c>
      <c r="B69" s="1295">
        <v>0.8838</v>
      </c>
      <c r="C69" s="1295">
        <v>0.8838</v>
      </c>
      <c r="D69" s="1295">
        <v>0.7736</v>
      </c>
      <c r="E69" s="1295">
        <v>0.7736</v>
      </c>
      <c r="F69" s="1295">
        <v>0.7736</v>
      </c>
      <c r="G69" s="1295">
        <v>0.7736</v>
      </c>
      <c r="H69" s="1295">
        <v>0.7736</v>
      </c>
      <c r="I69" s="1295">
        <v>0.6021</v>
      </c>
      <c r="J69" s="1295">
        <v>0.6021</v>
      </c>
      <c r="K69" s="1295">
        <v>0.6021</v>
      </c>
      <c r="L69" s="1295">
        <v>0.6021</v>
      </c>
      <c r="M69" s="1295">
        <v>0.6021</v>
      </c>
    </row>
    <row r="70" spans="1:13">
      <c r="A70" s="1292">
        <v>6.8</v>
      </c>
      <c r="B70" s="1295">
        <v>0.8819</v>
      </c>
      <c r="C70" s="1295">
        <v>0.8819</v>
      </c>
      <c r="D70" s="1295">
        <v>0.7716</v>
      </c>
      <c r="E70" s="1295">
        <v>0.7716</v>
      </c>
      <c r="F70" s="1295">
        <v>0.7716</v>
      </c>
      <c r="G70" s="1295">
        <v>0.7716</v>
      </c>
      <c r="H70" s="1295">
        <v>0.7716</v>
      </c>
      <c r="I70" s="1295">
        <v>0.5993</v>
      </c>
      <c r="J70" s="1295">
        <v>0.5993</v>
      </c>
      <c r="K70" s="1295">
        <v>0.5993</v>
      </c>
      <c r="L70" s="1295">
        <v>0.5993</v>
      </c>
      <c r="M70" s="1295">
        <v>0.5993</v>
      </c>
    </row>
    <row r="71" spans="1:13">
      <c r="A71" s="1292">
        <v>6.9</v>
      </c>
      <c r="B71" s="1295">
        <v>0.88</v>
      </c>
      <c r="C71" s="1295">
        <v>0.88</v>
      </c>
      <c r="D71" s="1295">
        <v>0.7695</v>
      </c>
      <c r="E71" s="1295">
        <v>0.7695</v>
      </c>
      <c r="F71" s="1295">
        <v>0.7695</v>
      </c>
      <c r="G71" s="1295">
        <v>0.7695</v>
      </c>
      <c r="H71" s="1295">
        <v>0.7695</v>
      </c>
      <c r="I71" s="1295">
        <v>0.5964</v>
      </c>
      <c r="J71" s="1295">
        <v>0.5964</v>
      </c>
      <c r="K71" s="1295">
        <v>0.5964</v>
      </c>
      <c r="L71" s="1295">
        <v>0.5964</v>
      </c>
      <c r="M71" s="1295">
        <v>0.5964</v>
      </c>
    </row>
    <row r="72" spans="1:13">
      <c r="A72" s="1292">
        <v>7</v>
      </c>
      <c r="B72" s="1295">
        <v>0.8782</v>
      </c>
      <c r="C72" s="1295">
        <v>0.8782</v>
      </c>
      <c r="D72" s="1295">
        <v>0.7675</v>
      </c>
      <c r="E72" s="1295">
        <v>0.7675</v>
      </c>
      <c r="F72" s="1295">
        <v>0.7675</v>
      </c>
      <c r="G72" s="1295">
        <v>0.7675</v>
      </c>
      <c r="H72" s="1295">
        <v>0.7675</v>
      </c>
      <c r="I72" s="1295">
        <v>0.5936</v>
      </c>
      <c r="J72" s="1295">
        <v>0.5936</v>
      </c>
      <c r="K72" s="1295">
        <v>0.5936</v>
      </c>
      <c r="L72" s="1295">
        <v>0.5936</v>
      </c>
      <c r="M72" s="1295">
        <v>0.5936</v>
      </c>
    </row>
    <row r="73" spans="1:13">
      <c r="A73" s="1292">
        <v>7.1</v>
      </c>
      <c r="B73" s="1295">
        <v>0.8766</v>
      </c>
      <c r="C73" s="1295">
        <v>0.8766</v>
      </c>
      <c r="D73" s="1295">
        <v>0.7657</v>
      </c>
      <c r="E73" s="1295">
        <v>0.7657</v>
      </c>
      <c r="F73" s="1295">
        <v>0.7657</v>
      </c>
      <c r="G73" s="1295">
        <v>0.7657</v>
      </c>
      <c r="H73" s="1295">
        <v>0.7657</v>
      </c>
      <c r="I73" s="1295">
        <v>0.5911</v>
      </c>
      <c r="J73" s="1295">
        <v>0.5911</v>
      </c>
      <c r="K73" s="1295">
        <v>0.5911</v>
      </c>
      <c r="L73" s="1295">
        <v>0.5911</v>
      </c>
      <c r="M73" s="1295">
        <v>0.5911</v>
      </c>
    </row>
    <row r="74" spans="1:13">
      <c r="A74" s="1292">
        <v>7.2</v>
      </c>
      <c r="B74" s="1295">
        <v>0.8749</v>
      </c>
      <c r="C74" s="1295">
        <v>0.8749</v>
      </c>
      <c r="D74" s="1295">
        <v>0.7638</v>
      </c>
      <c r="E74" s="1295">
        <v>0.7638</v>
      </c>
      <c r="F74" s="1295">
        <v>0.7638</v>
      </c>
      <c r="G74" s="1295">
        <v>0.7638</v>
      </c>
      <c r="H74" s="1295">
        <v>0.7638</v>
      </c>
      <c r="I74" s="1295">
        <v>0.5886</v>
      </c>
      <c r="J74" s="1295">
        <v>0.5886</v>
      </c>
      <c r="K74" s="1295">
        <v>0.5886</v>
      </c>
      <c r="L74" s="1295">
        <v>0.5886</v>
      </c>
      <c r="M74" s="1295">
        <v>0.5886</v>
      </c>
    </row>
    <row r="75" spans="1:13">
      <c r="A75" s="1292">
        <v>7.3</v>
      </c>
      <c r="B75" s="1295">
        <v>0.8733</v>
      </c>
      <c r="C75" s="1295">
        <v>0.8733</v>
      </c>
      <c r="D75" s="1295">
        <v>0.762</v>
      </c>
      <c r="E75" s="1295">
        <v>0.762</v>
      </c>
      <c r="F75" s="1295">
        <v>0.762</v>
      </c>
      <c r="G75" s="1295">
        <v>0.762</v>
      </c>
      <c r="H75" s="1295">
        <v>0.762</v>
      </c>
      <c r="I75" s="1295">
        <v>0.5862</v>
      </c>
      <c r="J75" s="1295">
        <v>0.5862</v>
      </c>
      <c r="K75" s="1295">
        <v>0.5862</v>
      </c>
      <c r="L75" s="1295">
        <v>0.5862</v>
      </c>
      <c r="M75" s="1295">
        <v>0.5862</v>
      </c>
    </row>
    <row r="76" spans="1:13">
      <c r="A76" s="1292">
        <v>7.4</v>
      </c>
      <c r="B76" s="1295">
        <v>0.8716</v>
      </c>
      <c r="C76" s="1295">
        <v>0.8716</v>
      </c>
      <c r="D76" s="1295">
        <v>0.7603</v>
      </c>
      <c r="E76" s="1295">
        <v>0.7603</v>
      </c>
      <c r="F76" s="1295">
        <v>0.7603</v>
      </c>
      <c r="G76" s="1295">
        <v>0.7603</v>
      </c>
      <c r="H76" s="1295">
        <v>0.7603</v>
      </c>
      <c r="I76" s="1295">
        <v>0.5838</v>
      </c>
      <c r="J76" s="1295">
        <v>0.5838</v>
      </c>
      <c r="K76" s="1295">
        <v>0.5838</v>
      </c>
      <c r="L76" s="1295">
        <v>0.5838</v>
      </c>
      <c r="M76" s="1295">
        <v>0.5838</v>
      </c>
    </row>
    <row r="77" spans="1:13">
      <c r="A77" s="1292">
        <v>7.5</v>
      </c>
      <c r="B77" s="1295">
        <v>0.87</v>
      </c>
      <c r="C77" s="1295">
        <v>0.87</v>
      </c>
      <c r="D77" s="1295">
        <v>0.7585</v>
      </c>
      <c r="E77" s="1295">
        <v>0.7585</v>
      </c>
      <c r="F77" s="1295">
        <v>0.7585</v>
      </c>
      <c r="G77" s="1295">
        <v>0.7585</v>
      </c>
      <c r="H77" s="1295">
        <v>0.7585</v>
      </c>
      <c r="I77" s="1295">
        <v>0.5814</v>
      </c>
      <c r="J77" s="1295">
        <v>0.5814</v>
      </c>
      <c r="K77" s="1295">
        <v>0.5814</v>
      </c>
      <c r="L77" s="1295">
        <v>0.5814</v>
      </c>
      <c r="M77" s="1295">
        <v>0.5814</v>
      </c>
    </row>
    <row r="78" spans="1:13">
      <c r="A78" s="1292">
        <v>7.6</v>
      </c>
      <c r="B78" s="1295">
        <v>0.8684</v>
      </c>
      <c r="C78" s="1295">
        <v>0.8684</v>
      </c>
      <c r="D78" s="1295">
        <v>0.7568</v>
      </c>
      <c r="E78" s="1295">
        <v>0.7568</v>
      </c>
      <c r="F78" s="1295">
        <v>0.7568</v>
      </c>
      <c r="G78" s="1295">
        <v>0.7568</v>
      </c>
      <c r="H78" s="1295">
        <v>0.7568</v>
      </c>
      <c r="I78" s="1295">
        <v>0.579</v>
      </c>
      <c r="J78" s="1295">
        <v>0.579</v>
      </c>
      <c r="K78" s="1295">
        <v>0.579</v>
      </c>
      <c r="L78" s="1295">
        <v>0.579</v>
      </c>
      <c r="M78" s="1295">
        <v>0.579</v>
      </c>
    </row>
    <row r="79" spans="1:13">
      <c r="A79" s="1292">
        <v>7.7</v>
      </c>
      <c r="B79" s="1295">
        <v>0.8669</v>
      </c>
      <c r="C79" s="1295">
        <v>0.8669</v>
      </c>
      <c r="D79" s="1295">
        <v>0.755</v>
      </c>
      <c r="E79" s="1295">
        <v>0.755</v>
      </c>
      <c r="F79" s="1295">
        <v>0.755</v>
      </c>
      <c r="G79" s="1295">
        <v>0.755</v>
      </c>
      <c r="H79" s="1295">
        <v>0.755</v>
      </c>
      <c r="I79" s="1295">
        <v>0.5767</v>
      </c>
      <c r="J79" s="1295">
        <v>0.5767</v>
      </c>
      <c r="K79" s="1295">
        <v>0.5767</v>
      </c>
      <c r="L79" s="1295">
        <v>0.5767</v>
      </c>
      <c r="M79" s="1295">
        <v>0.5767</v>
      </c>
    </row>
    <row r="80" spans="1:13">
      <c r="A80" s="1292">
        <v>7.8</v>
      </c>
      <c r="B80" s="1295">
        <v>0.8654</v>
      </c>
      <c r="C80" s="1295">
        <v>0.8654</v>
      </c>
      <c r="D80" s="1295">
        <v>0.7533</v>
      </c>
      <c r="E80" s="1295">
        <v>0.7533</v>
      </c>
      <c r="F80" s="1295">
        <v>0.7533</v>
      </c>
      <c r="G80" s="1295">
        <v>0.7533</v>
      </c>
      <c r="H80" s="1295">
        <v>0.7533</v>
      </c>
      <c r="I80" s="1295">
        <v>0.5745</v>
      </c>
      <c r="J80" s="1295">
        <v>0.5745</v>
      </c>
      <c r="K80" s="1295">
        <v>0.5745</v>
      </c>
      <c r="L80" s="1295">
        <v>0.5745</v>
      </c>
      <c r="M80" s="1295">
        <v>0.5745</v>
      </c>
    </row>
    <row r="81" spans="1:13">
      <c r="A81" s="1292">
        <v>7.9</v>
      </c>
      <c r="B81" s="1295">
        <v>0.8638</v>
      </c>
      <c r="C81" s="1295">
        <v>0.8638</v>
      </c>
      <c r="D81" s="1295">
        <v>0.7517</v>
      </c>
      <c r="E81" s="1295">
        <v>0.7517</v>
      </c>
      <c r="F81" s="1295">
        <v>0.7517</v>
      </c>
      <c r="G81" s="1295">
        <v>0.7517</v>
      </c>
      <c r="H81" s="1295">
        <v>0.7517</v>
      </c>
      <c r="I81" s="1295">
        <v>0.5722</v>
      </c>
      <c r="J81" s="1295">
        <v>0.5722</v>
      </c>
      <c r="K81" s="1295">
        <v>0.5722</v>
      </c>
      <c r="L81" s="1295">
        <v>0.5722</v>
      </c>
      <c r="M81" s="1295">
        <v>0.5722</v>
      </c>
    </row>
    <row r="82" spans="1:13">
      <c r="A82" s="1292">
        <v>8</v>
      </c>
      <c r="B82" s="1295">
        <v>0.8624</v>
      </c>
      <c r="C82" s="1295">
        <v>0.8624</v>
      </c>
      <c r="D82" s="1295">
        <v>0.75</v>
      </c>
      <c r="E82" s="1295">
        <v>0.75</v>
      </c>
      <c r="F82" s="1295">
        <v>0.75</v>
      </c>
      <c r="G82" s="1295">
        <v>0.75</v>
      </c>
      <c r="H82" s="1295">
        <v>0.75</v>
      </c>
      <c r="I82" s="1295">
        <v>0.5699</v>
      </c>
      <c r="J82" s="1295">
        <v>0.5699</v>
      </c>
      <c r="K82" s="1295">
        <v>0.5699</v>
      </c>
      <c r="L82" s="1295">
        <v>0.5699</v>
      </c>
      <c r="M82" s="1295">
        <v>0.5699</v>
      </c>
    </row>
    <row r="83" spans="1:13">
      <c r="A83" s="1292">
        <v>8.1</v>
      </c>
      <c r="B83" s="1295">
        <v>0.861</v>
      </c>
      <c r="C83" s="1295">
        <v>0.861</v>
      </c>
      <c r="D83" s="1295">
        <v>0.7485</v>
      </c>
      <c r="E83" s="1295">
        <v>0.7485</v>
      </c>
      <c r="F83" s="1295">
        <v>0.7485</v>
      </c>
      <c r="G83" s="1295">
        <v>0.7485</v>
      </c>
      <c r="H83" s="1295">
        <v>0.7485</v>
      </c>
      <c r="I83" s="1295">
        <v>0.5678</v>
      </c>
      <c r="J83" s="1295">
        <v>0.5678</v>
      </c>
      <c r="K83" s="1295">
        <v>0.5678</v>
      </c>
      <c r="L83" s="1295">
        <v>0.5678</v>
      </c>
      <c r="M83" s="1295">
        <v>0.5678</v>
      </c>
    </row>
    <row r="84" spans="1:13">
      <c r="A84" s="1292">
        <v>8.2</v>
      </c>
      <c r="B84" s="1295">
        <v>0.8597</v>
      </c>
      <c r="C84" s="1295">
        <v>0.8597</v>
      </c>
      <c r="D84" s="1295">
        <v>0.747</v>
      </c>
      <c r="E84" s="1295">
        <v>0.747</v>
      </c>
      <c r="F84" s="1295">
        <v>0.747</v>
      </c>
      <c r="G84" s="1295">
        <v>0.747</v>
      </c>
      <c r="H84" s="1295">
        <v>0.747</v>
      </c>
      <c r="I84" s="1295">
        <v>0.5659</v>
      </c>
      <c r="J84" s="1295">
        <v>0.5659</v>
      </c>
      <c r="K84" s="1295">
        <v>0.5659</v>
      </c>
      <c r="L84" s="1295">
        <v>0.5659</v>
      </c>
      <c r="M84" s="1295">
        <v>0.5659</v>
      </c>
    </row>
    <row r="85" spans="1:13">
      <c r="A85" s="1292">
        <v>8.3</v>
      </c>
      <c r="B85" s="1295">
        <v>0.8584</v>
      </c>
      <c r="C85" s="1295">
        <v>0.8584</v>
      </c>
      <c r="D85" s="1295">
        <v>0.7456</v>
      </c>
      <c r="E85" s="1295">
        <v>0.7456</v>
      </c>
      <c r="F85" s="1295">
        <v>0.7456</v>
      </c>
      <c r="G85" s="1295">
        <v>0.7456</v>
      </c>
      <c r="H85" s="1295">
        <v>0.7456</v>
      </c>
      <c r="I85" s="1295">
        <v>0.5639</v>
      </c>
      <c r="J85" s="1295">
        <v>0.5639</v>
      </c>
      <c r="K85" s="1295">
        <v>0.5639</v>
      </c>
      <c r="L85" s="1295">
        <v>0.5639</v>
      </c>
      <c r="M85" s="1295">
        <v>0.5639</v>
      </c>
    </row>
    <row r="86" spans="1:13">
      <c r="A86" s="1292">
        <v>8.4</v>
      </c>
      <c r="B86" s="1295">
        <v>0.8571</v>
      </c>
      <c r="C86" s="1295">
        <v>0.8571</v>
      </c>
      <c r="D86" s="1295">
        <v>0.7442</v>
      </c>
      <c r="E86" s="1295">
        <v>0.7442</v>
      </c>
      <c r="F86" s="1295">
        <v>0.7442</v>
      </c>
      <c r="G86" s="1295">
        <v>0.7442</v>
      </c>
      <c r="H86" s="1295">
        <v>0.7442</v>
      </c>
      <c r="I86" s="1295">
        <v>0.5619</v>
      </c>
      <c r="J86" s="1295">
        <v>0.5619</v>
      </c>
      <c r="K86" s="1295">
        <v>0.5619</v>
      </c>
      <c r="L86" s="1295">
        <v>0.5619</v>
      </c>
      <c r="M86" s="1295">
        <v>0.5619</v>
      </c>
    </row>
    <row r="87" spans="1:13">
      <c r="A87" s="1292">
        <v>8.5</v>
      </c>
      <c r="B87" s="1295">
        <v>0.8558</v>
      </c>
      <c r="C87" s="1295">
        <v>0.8558</v>
      </c>
      <c r="D87" s="1295">
        <v>0.7427</v>
      </c>
      <c r="E87" s="1295">
        <v>0.7427</v>
      </c>
      <c r="F87" s="1295">
        <v>0.7427</v>
      </c>
      <c r="G87" s="1295">
        <v>0.7427</v>
      </c>
      <c r="H87" s="1295">
        <v>0.7427</v>
      </c>
      <c r="I87" s="1295">
        <v>0.5599</v>
      </c>
      <c r="J87" s="1295">
        <v>0.5599</v>
      </c>
      <c r="K87" s="1295">
        <v>0.5599</v>
      </c>
      <c r="L87" s="1295">
        <v>0.5599</v>
      </c>
      <c r="M87" s="1295">
        <v>0.5599</v>
      </c>
    </row>
    <row r="88" spans="1:13">
      <c r="A88" s="1292">
        <v>8.6</v>
      </c>
      <c r="B88" s="1295">
        <v>0.8545</v>
      </c>
      <c r="C88" s="1295">
        <v>0.8545</v>
      </c>
      <c r="D88" s="1295">
        <v>0.7413</v>
      </c>
      <c r="E88" s="1295">
        <v>0.7413</v>
      </c>
      <c r="F88" s="1295">
        <v>0.7413</v>
      </c>
      <c r="G88" s="1295">
        <v>0.7413</v>
      </c>
      <c r="H88" s="1295">
        <v>0.7413</v>
      </c>
      <c r="I88" s="1295">
        <v>0.558</v>
      </c>
      <c r="J88" s="1295">
        <v>0.558</v>
      </c>
      <c r="K88" s="1295">
        <v>0.558</v>
      </c>
      <c r="L88" s="1295">
        <v>0.558</v>
      </c>
      <c r="M88" s="1295">
        <v>0.558</v>
      </c>
    </row>
    <row r="89" spans="1:13">
      <c r="A89" s="1292">
        <v>8.7</v>
      </c>
      <c r="B89" s="1295">
        <v>0.8533</v>
      </c>
      <c r="C89" s="1295">
        <v>0.8533</v>
      </c>
      <c r="D89" s="1295">
        <v>0.7399</v>
      </c>
      <c r="E89" s="1295">
        <v>0.7399</v>
      </c>
      <c r="F89" s="1295">
        <v>0.7399</v>
      </c>
      <c r="G89" s="1295">
        <v>0.7399</v>
      </c>
      <c r="H89" s="1295">
        <v>0.7399</v>
      </c>
      <c r="I89" s="1295">
        <v>0.556</v>
      </c>
      <c r="J89" s="1295">
        <v>0.556</v>
      </c>
      <c r="K89" s="1295">
        <v>0.556</v>
      </c>
      <c r="L89" s="1295">
        <v>0.556</v>
      </c>
      <c r="M89" s="1295">
        <v>0.556</v>
      </c>
    </row>
    <row r="90" spans="1:13">
      <c r="A90" s="1292">
        <v>8.8</v>
      </c>
      <c r="B90" s="1295">
        <v>0.8521</v>
      </c>
      <c r="C90" s="1295">
        <v>0.8521</v>
      </c>
      <c r="D90" s="1295">
        <v>0.7385</v>
      </c>
      <c r="E90" s="1295">
        <v>0.7385</v>
      </c>
      <c r="F90" s="1295">
        <v>0.7385</v>
      </c>
      <c r="G90" s="1295">
        <v>0.7385</v>
      </c>
      <c r="H90" s="1295">
        <v>0.7385</v>
      </c>
      <c r="I90" s="1295">
        <v>0.5542</v>
      </c>
      <c r="J90" s="1295">
        <v>0.5542</v>
      </c>
      <c r="K90" s="1295">
        <v>0.5542</v>
      </c>
      <c r="L90" s="1295">
        <v>0.5542</v>
      </c>
      <c r="M90" s="1295">
        <v>0.5542</v>
      </c>
    </row>
    <row r="91" spans="1:13">
      <c r="A91" s="1292">
        <v>8.9</v>
      </c>
      <c r="B91" s="1295">
        <v>0.851</v>
      </c>
      <c r="C91" s="1295">
        <v>0.851</v>
      </c>
      <c r="D91" s="1295">
        <v>0.7372</v>
      </c>
      <c r="E91" s="1295">
        <v>0.7372</v>
      </c>
      <c r="F91" s="1295">
        <v>0.7372</v>
      </c>
      <c r="G91" s="1295">
        <v>0.7372</v>
      </c>
      <c r="H91" s="1295">
        <v>0.7372</v>
      </c>
      <c r="I91" s="1295">
        <v>0.5523</v>
      </c>
      <c r="J91" s="1295">
        <v>0.5523</v>
      </c>
      <c r="K91" s="1295">
        <v>0.5523</v>
      </c>
      <c r="L91" s="1295">
        <v>0.5523</v>
      </c>
      <c r="M91" s="1295">
        <v>0.5523</v>
      </c>
    </row>
    <row r="92" spans="1:13">
      <c r="A92" s="1296">
        <v>9</v>
      </c>
      <c r="B92" s="1295">
        <v>0.8498</v>
      </c>
      <c r="C92" s="1295">
        <v>0.8498</v>
      </c>
      <c r="D92" s="1295">
        <v>0.7359</v>
      </c>
      <c r="E92" s="1295">
        <v>0.7359</v>
      </c>
      <c r="F92" s="1295">
        <v>0.7359</v>
      </c>
      <c r="G92" s="1295">
        <v>0.7359</v>
      </c>
      <c r="H92" s="1295">
        <v>0.7359</v>
      </c>
      <c r="I92" s="1295">
        <v>0.5505</v>
      </c>
      <c r="J92" s="1295">
        <v>0.5505</v>
      </c>
      <c r="K92" s="1295">
        <v>0.5505</v>
      </c>
      <c r="L92" s="1295">
        <v>0.5505</v>
      </c>
      <c r="M92" s="1295">
        <v>0.5505</v>
      </c>
    </row>
    <row r="93" spans="1:13">
      <c r="A93" s="1296">
        <v>9.1</v>
      </c>
      <c r="B93" s="1295">
        <v>0.8487</v>
      </c>
      <c r="C93" s="1295">
        <v>0.8487</v>
      </c>
      <c r="D93" s="1295">
        <v>0.7347</v>
      </c>
      <c r="E93" s="1295">
        <v>0.7347</v>
      </c>
      <c r="F93" s="1295">
        <v>0.7347</v>
      </c>
      <c r="G93" s="1295">
        <v>0.7347</v>
      </c>
      <c r="H93" s="1295">
        <v>0.7347</v>
      </c>
      <c r="I93" s="1295">
        <v>0.5488</v>
      </c>
      <c r="J93" s="1295">
        <v>0.5488</v>
      </c>
      <c r="K93" s="1295">
        <v>0.5488</v>
      </c>
      <c r="L93" s="1295">
        <v>0.5488</v>
      </c>
      <c r="M93" s="1295">
        <v>0.5488</v>
      </c>
    </row>
    <row r="94" spans="1:13">
      <c r="A94" s="1296">
        <v>9.2</v>
      </c>
      <c r="B94" s="1295">
        <v>0.8477</v>
      </c>
      <c r="C94" s="1295">
        <v>0.8477</v>
      </c>
      <c r="D94" s="1295">
        <v>0.7335</v>
      </c>
      <c r="E94" s="1295">
        <v>0.7335</v>
      </c>
      <c r="F94" s="1295">
        <v>0.7335</v>
      </c>
      <c r="G94" s="1295">
        <v>0.7335</v>
      </c>
      <c r="H94" s="1295">
        <v>0.7335</v>
      </c>
      <c r="I94" s="1295">
        <v>0.5471</v>
      </c>
      <c r="J94" s="1295">
        <v>0.5471</v>
      </c>
      <c r="K94" s="1295">
        <v>0.5471</v>
      </c>
      <c r="L94" s="1295">
        <v>0.5471</v>
      </c>
      <c r="M94" s="1295">
        <v>0.5471</v>
      </c>
    </row>
    <row r="95" spans="1:13">
      <c r="A95" s="1296">
        <v>9.3</v>
      </c>
      <c r="B95" s="1295">
        <v>0.8466</v>
      </c>
      <c r="C95" s="1295">
        <v>0.8466</v>
      </c>
      <c r="D95" s="1295">
        <v>0.7323</v>
      </c>
      <c r="E95" s="1295">
        <v>0.7323</v>
      </c>
      <c r="F95" s="1295">
        <v>0.7323</v>
      </c>
      <c r="G95" s="1295">
        <v>0.7323</v>
      </c>
      <c r="H95" s="1295">
        <v>0.7323</v>
      </c>
      <c r="I95" s="1295">
        <v>0.5454</v>
      </c>
      <c r="J95" s="1295">
        <v>0.5454</v>
      </c>
      <c r="K95" s="1295">
        <v>0.5454</v>
      </c>
      <c r="L95" s="1295">
        <v>0.5454</v>
      </c>
      <c r="M95" s="1295">
        <v>0.5454</v>
      </c>
    </row>
    <row r="96" spans="1:13">
      <c r="A96" s="1296">
        <v>9.4</v>
      </c>
      <c r="B96" s="1295">
        <v>0.8455</v>
      </c>
      <c r="C96" s="1295">
        <v>0.8455</v>
      </c>
      <c r="D96" s="1295">
        <v>0.7311</v>
      </c>
      <c r="E96" s="1295">
        <v>0.7311</v>
      </c>
      <c r="F96" s="1295">
        <v>0.7311</v>
      </c>
      <c r="G96" s="1295">
        <v>0.7311</v>
      </c>
      <c r="H96" s="1295">
        <v>0.7311</v>
      </c>
      <c r="I96" s="1295">
        <v>0.5437</v>
      </c>
      <c r="J96" s="1295">
        <v>0.5437</v>
      </c>
      <c r="K96" s="1295">
        <v>0.5437</v>
      </c>
      <c r="L96" s="1295">
        <v>0.5437</v>
      </c>
      <c r="M96" s="1295">
        <v>0.5437</v>
      </c>
    </row>
    <row r="97" spans="1:13">
      <c r="A97" s="1296">
        <v>9.5</v>
      </c>
      <c r="B97" s="1295">
        <v>0.8445</v>
      </c>
      <c r="C97" s="1295">
        <v>0.8445</v>
      </c>
      <c r="D97" s="1295">
        <v>0.7299</v>
      </c>
      <c r="E97" s="1295">
        <v>0.7299</v>
      </c>
      <c r="F97" s="1295">
        <v>0.7299</v>
      </c>
      <c r="G97" s="1295">
        <v>0.7299</v>
      </c>
      <c r="H97" s="1295">
        <v>0.7299</v>
      </c>
      <c r="I97" s="1295">
        <v>0.542</v>
      </c>
      <c r="J97" s="1295">
        <v>0.542</v>
      </c>
      <c r="K97" s="1295">
        <v>0.542</v>
      </c>
      <c r="L97" s="1295">
        <v>0.542</v>
      </c>
      <c r="M97" s="1295">
        <v>0.542</v>
      </c>
    </row>
    <row r="98" spans="1:13">
      <c r="A98" s="1296">
        <v>9.6</v>
      </c>
      <c r="B98" s="1295">
        <v>0.8434</v>
      </c>
      <c r="C98" s="1295">
        <v>0.8434</v>
      </c>
      <c r="D98" s="1295">
        <v>0.7287</v>
      </c>
      <c r="E98" s="1295">
        <v>0.7287</v>
      </c>
      <c r="F98" s="1295">
        <v>0.7287</v>
      </c>
      <c r="G98" s="1295">
        <v>0.7287</v>
      </c>
      <c r="H98" s="1295">
        <v>0.7287</v>
      </c>
      <c r="I98" s="1295">
        <v>0.5403</v>
      </c>
      <c r="J98" s="1295">
        <v>0.5403</v>
      </c>
      <c r="K98" s="1295">
        <v>0.5403</v>
      </c>
      <c r="L98" s="1295">
        <v>0.5403</v>
      </c>
      <c r="M98" s="1295">
        <v>0.5403</v>
      </c>
    </row>
    <row r="99" spans="1:13">
      <c r="A99" s="1296">
        <v>9.7</v>
      </c>
      <c r="B99" s="1295">
        <v>0.8423</v>
      </c>
      <c r="C99" s="1295">
        <v>0.8423</v>
      </c>
      <c r="D99" s="1295">
        <v>0.7275</v>
      </c>
      <c r="E99" s="1295">
        <v>0.7275</v>
      </c>
      <c r="F99" s="1295">
        <v>0.7275</v>
      </c>
      <c r="G99" s="1295">
        <v>0.7275</v>
      </c>
      <c r="H99" s="1295">
        <v>0.7275</v>
      </c>
      <c r="I99" s="1295">
        <v>0.5386</v>
      </c>
      <c r="J99" s="1295">
        <v>0.5386</v>
      </c>
      <c r="K99" s="1295">
        <v>0.5386</v>
      </c>
      <c r="L99" s="1295">
        <v>0.5386</v>
      </c>
      <c r="M99" s="1295">
        <v>0.5386</v>
      </c>
    </row>
    <row r="100" spans="1:13">
      <c r="A100" s="1296">
        <v>9.8</v>
      </c>
      <c r="B100" s="1295">
        <v>0.8414</v>
      </c>
      <c r="C100" s="1295">
        <v>0.8414</v>
      </c>
      <c r="D100" s="1295">
        <v>0.7263</v>
      </c>
      <c r="E100" s="1295">
        <v>0.7263</v>
      </c>
      <c r="F100" s="1295">
        <v>0.7263</v>
      </c>
      <c r="G100" s="1295">
        <v>0.7263</v>
      </c>
      <c r="H100" s="1295">
        <v>0.7263</v>
      </c>
      <c r="I100" s="1295">
        <v>0.5371</v>
      </c>
      <c r="J100" s="1295">
        <v>0.5371</v>
      </c>
      <c r="K100" s="1295">
        <v>0.5371</v>
      </c>
      <c r="L100" s="1295">
        <v>0.5371</v>
      </c>
      <c r="M100" s="1295">
        <v>0.5371</v>
      </c>
    </row>
    <row r="101" spans="1:13">
      <c r="A101" s="1296">
        <v>9.9</v>
      </c>
      <c r="B101" s="1295">
        <v>0.8405</v>
      </c>
      <c r="C101" s="1295">
        <v>0.8405</v>
      </c>
      <c r="D101" s="1295">
        <v>0.7252</v>
      </c>
      <c r="E101" s="1295">
        <v>0.7252</v>
      </c>
      <c r="F101" s="1295">
        <v>0.7252</v>
      </c>
      <c r="G101" s="1295">
        <v>0.7252</v>
      </c>
      <c r="H101" s="1295">
        <v>0.7252</v>
      </c>
      <c r="I101" s="1295">
        <v>0.5355</v>
      </c>
      <c r="J101" s="1295">
        <v>0.5355</v>
      </c>
      <c r="K101" s="1295">
        <v>0.5355</v>
      </c>
      <c r="L101" s="1295">
        <v>0.5355</v>
      </c>
      <c r="M101" s="1295">
        <v>0.5355</v>
      </c>
    </row>
    <row r="102" spans="1:13">
      <c r="A102" s="1296">
        <v>10</v>
      </c>
      <c r="B102" s="1295">
        <v>0.8395</v>
      </c>
      <c r="C102" s="1295">
        <v>0.8395</v>
      </c>
      <c r="D102" s="1295">
        <v>0.7241</v>
      </c>
      <c r="E102" s="1295">
        <v>0.7241</v>
      </c>
      <c r="F102" s="1295">
        <v>0.7241</v>
      </c>
      <c r="G102" s="1295">
        <v>0.7241</v>
      </c>
      <c r="H102" s="1295">
        <v>0.7241</v>
      </c>
      <c r="I102" s="1295">
        <v>0.534</v>
      </c>
      <c r="J102" s="1295">
        <v>0.534</v>
      </c>
      <c r="K102" s="1295">
        <v>0.534</v>
      </c>
      <c r="L102" s="1295">
        <v>0.534</v>
      </c>
      <c r="M102" s="1295">
        <v>0.534</v>
      </c>
    </row>
    <row r="103" ht="14.25" spans="1:14">
      <c r="A103" s="1290" t="s">
        <v>2126</v>
      </c>
      <c r="B103" s="1291"/>
      <c r="C103" s="1291"/>
      <c r="D103" s="1291"/>
      <c r="E103" s="1291"/>
      <c r="F103" s="1291"/>
      <c r="G103" s="1291"/>
      <c r="H103" s="1291"/>
      <c r="I103" s="1291"/>
      <c r="J103" s="1291"/>
      <c r="K103" s="1291"/>
      <c r="L103" s="1291"/>
      <c r="M103" s="1291"/>
      <c r="N103" s="1291"/>
    </row>
    <row r="104" ht="14.25" spans="1:14">
      <c r="A104" s="1292" t="s">
        <v>105</v>
      </c>
      <c r="B104" s="1293" t="s">
        <v>240</v>
      </c>
      <c r="C104" s="1293" t="s">
        <v>253</v>
      </c>
      <c r="D104" s="1293" t="s">
        <v>265</v>
      </c>
      <c r="E104" s="1293" t="s">
        <v>275</v>
      </c>
      <c r="F104" s="1293" t="s">
        <v>284</v>
      </c>
      <c r="G104" s="1293" t="s">
        <v>292</v>
      </c>
      <c r="H104" s="1294" t="s">
        <v>297</v>
      </c>
      <c r="I104" s="1294" t="s">
        <v>302</v>
      </c>
      <c r="J104" s="1297" t="s">
        <v>305</v>
      </c>
      <c r="K104" s="1297" t="s">
        <v>308</v>
      </c>
      <c r="L104" s="1297" t="s">
        <v>311</v>
      </c>
      <c r="M104" s="1297" t="s">
        <v>314</v>
      </c>
      <c r="N104" s="1291">
        <f>SUMPRODUCT((A105:A204=ROUNDDOWN(基准地价!G3,1))*(B104:M104=基准地价!G2)*(B105:M204))</f>
        <v>1.1742</v>
      </c>
    </row>
    <row r="105" spans="1:13">
      <c r="A105" s="1292">
        <v>0.1</v>
      </c>
      <c r="B105" s="1295">
        <v>13.733</v>
      </c>
      <c r="C105" s="1295">
        <v>13.733</v>
      </c>
      <c r="D105" s="1295">
        <v>12.787</v>
      </c>
      <c r="E105" s="1295">
        <v>12.787</v>
      </c>
      <c r="F105" s="1295">
        <v>12.787</v>
      </c>
      <c r="G105" s="1295">
        <v>12.787</v>
      </c>
      <c r="H105" s="1295">
        <v>12.787</v>
      </c>
      <c r="I105" s="1295">
        <v>12.384</v>
      </c>
      <c r="J105" s="1295">
        <v>12.384</v>
      </c>
      <c r="K105" s="1295">
        <v>12.384</v>
      </c>
      <c r="L105" s="1295">
        <v>12.384</v>
      </c>
      <c r="M105" s="1295">
        <v>12.384</v>
      </c>
    </row>
    <row r="106" spans="1:13">
      <c r="A106" s="1292">
        <v>0.2</v>
      </c>
      <c r="B106" s="1295">
        <v>6.8665</v>
      </c>
      <c r="C106" s="1295">
        <v>6.8665</v>
      </c>
      <c r="D106" s="1295">
        <v>6.3935</v>
      </c>
      <c r="E106" s="1295">
        <v>6.3935</v>
      </c>
      <c r="F106" s="1295">
        <v>6.3935</v>
      </c>
      <c r="G106" s="1295">
        <v>6.3935</v>
      </c>
      <c r="H106" s="1295">
        <v>6.3935</v>
      </c>
      <c r="I106" s="1295">
        <v>6.192</v>
      </c>
      <c r="J106" s="1295">
        <v>6.192</v>
      </c>
      <c r="K106" s="1295">
        <v>6.192</v>
      </c>
      <c r="L106" s="1295">
        <v>6.192</v>
      </c>
      <c r="M106" s="1295">
        <v>6.192</v>
      </c>
    </row>
    <row r="107" spans="1:13">
      <c r="A107" s="1292">
        <v>0.3</v>
      </c>
      <c r="B107" s="1295">
        <v>4.5777</v>
      </c>
      <c r="C107" s="1295">
        <v>4.5777</v>
      </c>
      <c r="D107" s="1295">
        <v>4.2623</v>
      </c>
      <c r="E107" s="1295">
        <v>4.2623</v>
      </c>
      <c r="F107" s="1295">
        <v>4.2623</v>
      </c>
      <c r="G107" s="1295">
        <v>4.2623</v>
      </c>
      <c r="H107" s="1295">
        <v>4.2623</v>
      </c>
      <c r="I107" s="1295">
        <v>4.128</v>
      </c>
      <c r="J107" s="1295">
        <v>4.128</v>
      </c>
      <c r="K107" s="1295">
        <v>4.128</v>
      </c>
      <c r="L107" s="1295">
        <v>4.128</v>
      </c>
      <c r="M107" s="1295">
        <v>4.128</v>
      </c>
    </row>
    <row r="108" spans="1:13">
      <c r="A108" s="1292">
        <v>0.4</v>
      </c>
      <c r="B108" s="1295">
        <v>3.4333</v>
      </c>
      <c r="C108" s="1295">
        <v>3.4333</v>
      </c>
      <c r="D108" s="1295">
        <v>3.1968</v>
      </c>
      <c r="E108" s="1295">
        <v>3.1968</v>
      </c>
      <c r="F108" s="1295">
        <v>3.1968</v>
      </c>
      <c r="G108" s="1295">
        <v>3.1968</v>
      </c>
      <c r="H108" s="1295">
        <v>3.1968</v>
      </c>
      <c r="I108" s="1295">
        <v>3.096</v>
      </c>
      <c r="J108" s="1295">
        <v>3.096</v>
      </c>
      <c r="K108" s="1295">
        <v>3.096</v>
      </c>
      <c r="L108" s="1295">
        <v>3.096</v>
      </c>
      <c r="M108" s="1295">
        <v>3.096</v>
      </c>
    </row>
    <row r="109" spans="1:13">
      <c r="A109" s="1292">
        <v>0.5</v>
      </c>
      <c r="B109" s="1295">
        <v>2.7466</v>
      </c>
      <c r="C109" s="1295">
        <v>2.7466</v>
      </c>
      <c r="D109" s="1295">
        <v>2.5574</v>
      </c>
      <c r="E109" s="1295">
        <v>2.5574</v>
      </c>
      <c r="F109" s="1295">
        <v>2.5574</v>
      </c>
      <c r="G109" s="1295">
        <v>2.5574</v>
      </c>
      <c r="H109" s="1295">
        <v>2.5574</v>
      </c>
      <c r="I109" s="1295">
        <v>2.4768</v>
      </c>
      <c r="J109" s="1295">
        <v>2.4768</v>
      </c>
      <c r="K109" s="1295">
        <v>2.4768</v>
      </c>
      <c r="L109" s="1295">
        <v>2.4768</v>
      </c>
      <c r="M109" s="1295">
        <v>2.4768</v>
      </c>
    </row>
    <row r="110" spans="1:13">
      <c r="A110" s="1292">
        <v>0.6</v>
      </c>
      <c r="B110" s="1295">
        <v>2.2888</v>
      </c>
      <c r="C110" s="1295">
        <v>2.2888</v>
      </c>
      <c r="D110" s="1295">
        <v>2.1312</v>
      </c>
      <c r="E110" s="1295">
        <v>2.1312</v>
      </c>
      <c r="F110" s="1295">
        <v>2.1312</v>
      </c>
      <c r="G110" s="1295">
        <v>2.1312</v>
      </c>
      <c r="H110" s="1295">
        <v>2.1312</v>
      </c>
      <c r="I110" s="1295">
        <v>2.064</v>
      </c>
      <c r="J110" s="1295">
        <v>2.064</v>
      </c>
      <c r="K110" s="1295">
        <v>2.064</v>
      </c>
      <c r="L110" s="1295">
        <v>2.064</v>
      </c>
      <c r="M110" s="1295">
        <v>2.064</v>
      </c>
    </row>
    <row r="111" spans="1:13">
      <c r="A111" s="1292">
        <v>0.7</v>
      </c>
      <c r="B111" s="1295">
        <v>1.9619</v>
      </c>
      <c r="C111" s="1295">
        <v>1.9619</v>
      </c>
      <c r="D111" s="1295">
        <v>1.8267</v>
      </c>
      <c r="E111" s="1295">
        <v>1.8267</v>
      </c>
      <c r="F111" s="1295">
        <v>1.8267</v>
      </c>
      <c r="G111" s="1295">
        <v>1.8267</v>
      </c>
      <c r="H111" s="1295">
        <v>1.8267</v>
      </c>
      <c r="I111" s="1295">
        <v>1.7691</v>
      </c>
      <c r="J111" s="1295">
        <v>1.7691</v>
      </c>
      <c r="K111" s="1295">
        <v>1.7691</v>
      </c>
      <c r="L111" s="1295">
        <v>1.7691</v>
      </c>
      <c r="M111" s="1295">
        <v>1.7691</v>
      </c>
    </row>
    <row r="112" spans="1:13">
      <c r="A112" s="1292">
        <v>0.8</v>
      </c>
      <c r="B112" s="1295">
        <v>1.7166</v>
      </c>
      <c r="C112" s="1295">
        <v>1.7166</v>
      </c>
      <c r="D112" s="1295">
        <v>1.5984</v>
      </c>
      <c r="E112" s="1295">
        <v>1.5984</v>
      </c>
      <c r="F112" s="1295">
        <v>1.5984</v>
      </c>
      <c r="G112" s="1295">
        <v>1.5984</v>
      </c>
      <c r="H112" s="1295">
        <v>1.5984</v>
      </c>
      <c r="I112" s="1295">
        <v>1.548</v>
      </c>
      <c r="J112" s="1295">
        <v>1.548</v>
      </c>
      <c r="K112" s="1295">
        <v>1.548</v>
      </c>
      <c r="L112" s="1295">
        <v>1.548</v>
      </c>
      <c r="M112" s="1295">
        <v>1.548</v>
      </c>
    </row>
    <row r="113" spans="1:13">
      <c r="A113" s="1292">
        <v>0.9</v>
      </c>
      <c r="B113" s="1295">
        <v>1.5259</v>
      </c>
      <c r="C113" s="1295">
        <v>1.5259</v>
      </c>
      <c r="D113" s="1295">
        <v>1.4208</v>
      </c>
      <c r="E113" s="1295">
        <v>1.4208</v>
      </c>
      <c r="F113" s="1295">
        <v>1.4208</v>
      </c>
      <c r="G113" s="1295">
        <v>1.4208</v>
      </c>
      <c r="H113" s="1295">
        <v>1.4208</v>
      </c>
      <c r="I113" s="1295">
        <v>1.376</v>
      </c>
      <c r="J113" s="1295">
        <v>1.376</v>
      </c>
      <c r="K113" s="1295">
        <v>1.376</v>
      </c>
      <c r="L113" s="1295">
        <v>1.376</v>
      </c>
      <c r="M113" s="1295">
        <v>1.376</v>
      </c>
    </row>
    <row r="114" spans="1:13">
      <c r="A114" s="1292">
        <v>1</v>
      </c>
      <c r="B114" s="1295">
        <v>1.3733</v>
      </c>
      <c r="C114" s="1295">
        <v>1.3733</v>
      </c>
      <c r="D114" s="1295">
        <v>1.2787</v>
      </c>
      <c r="E114" s="1295">
        <v>1.2787</v>
      </c>
      <c r="F114" s="1295">
        <v>1.2787</v>
      </c>
      <c r="G114" s="1295">
        <v>1.2787</v>
      </c>
      <c r="H114" s="1295">
        <v>1.2787</v>
      </c>
      <c r="I114" s="1295">
        <v>1.2384</v>
      </c>
      <c r="J114" s="1295">
        <v>1.2384</v>
      </c>
      <c r="K114" s="1295">
        <v>1.2384</v>
      </c>
      <c r="L114" s="1295">
        <v>1.2384</v>
      </c>
      <c r="M114" s="1295">
        <v>1.2384</v>
      </c>
    </row>
    <row r="115" spans="1:13">
      <c r="A115" s="1292">
        <v>1.1</v>
      </c>
      <c r="B115" s="1295">
        <v>1.3489</v>
      </c>
      <c r="C115" s="1295">
        <v>1.3489</v>
      </c>
      <c r="D115" s="1295">
        <v>1.2542</v>
      </c>
      <c r="E115" s="1295">
        <v>1.2542</v>
      </c>
      <c r="F115" s="1295">
        <v>1.2542</v>
      </c>
      <c r="G115" s="1295">
        <v>1.2542</v>
      </c>
      <c r="H115" s="1295">
        <v>1.2542</v>
      </c>
      <c r="I115" s="1295">
        <v>1.205</v>
      </c>
      <c r="J115" s="1295">
        <v>1.205</v>
      </c>
      <c r="K115" s="1295">
        <v>1.205</v>
      </c>
      <c r="L115" s="1295">
        <v>1.205</v>
      </c>
      <c r="M115" s="1295">
        <v>1.205</v>
      </c>
    </row>
    <row r="116" spans="1:13">
      <c r="A116" s="1292">
        <v>1.2</v>
      </c>
      <c r="B116" s="1295">
        <v>1.3256</v>
      </c>
      <c r="C116" s="1295">
        <v>1.3256</v>
      </c>
      <c r="D116" s="1295">
        <v>1.2306</v>
      </c>
      <c r="E116" s="1295">
        <v>1.2306</v>
      </c>
      <c r="F116" s="1295">
        <v>1.2306</v>
      </c>
      <c r="G116" s="1295">
        <v>1.2306</v>
      </c>
      <c r="H116" s="1295">
        <v>1.2306</v>
      </c>
      <c r="I116" s="1295">
        <v>1.1742</v>
      </c>
      <c r="J116" s="1295">
        <v>1.1742</v>
      </c>
      <c r="K116" s="1295">
        <v>1.1742</v>
      </c>
      <c r="L116" s="1295">
        <v>1.1742</v>
      </c>
      <c r="M116" s="1295">
        <v>1.1742</v>
      </c>
    </row>
    <row r="117" spans="1:13">
      <c r="A117" s="1292">
        <v>1.3</v>
      </c>
      <c r="B117" s="1295">
        <v>1.3033</v>
      </c>
      <c r="C117" s="1295">
        <v>1.3033</v>
      </c>
      <c r="D117" s="1295">
        <v>1.2079</v>
      </c>
      <c r="E117" s="1295">
        <v>1.2079</v>
      </c>
      <c r="F117" s="1295">
        <v>1.2079</v>
      </c>
      <c r="G117" s="1295">
        <v>1.2079</v>
      </c>
      <c r="H117" s="1295">
        <v>1.2079</v>
      </c>
      <c r="I117" s="1295">
        <v>1.146</v>
      </c>
      <c r="J117" s="1295">
        <v>1.146</v>
      </c>
      <c r="K117" s="1295">
        <v>1.146</v>
      </c>
      <c r="L117" s="1295">
        <v>1.146</v>
      </c>
      <c r="M117" s="1295">
        <v>1.146</v>
      </c>
    </row>
    <row r="118" spans="1:13">
      <c r="A118" s="1292">
        <v>1.4</v>
      </c>
      <c r="B118" s="1295">
        <v>1.282</v>
      </c>
      <c r="C118" s="1295">
        <v>1.282</v>
      </c>
      <c r="D118" s="1295">
        <v>1.1862</v>
      </c>
      <c r="E118" s="1295">
        <v>1.1862</v>
      </c>
      <c r="F118" s="1295">
        <v>1.1862</v>
      </c>
      <c r="G118" s="1295">
        <v>1.1862</v>
      </c>
      <c r="H118" s="1295">
        <v>1.1862</v>
      </c>
      <c r="I118" s="1295">
        <v>1.12</v>
      </c>
      <c r="J118" s="1295">
        <v>1.12</v>
      </c>
      <c r="K118" s="1295">
        <v>1.12</v>
      </c>
      <c r="L118" s="1295">
        <v>1.12</v>
      </c>
      <c r="M118" s="1295">
        <v>1.12</v>
      </c>
    </row>
    <row r="119" spans="1:13">
      <c r="A119" s="1292">
        <v>1.5</v>
      </c>
      <c r="B119" s="1295">
        <v>1.2617</v>
      </c>
      <c r="C119" s="1295">
        <v>1.2617</v>
      </c>
      <c r="D119" s="1295">
        <v>1.1653</v>
      </c>
      <c r="E119" s="1295">
        <v>1.1653</v>
      </c>
      <c r="F119" s="1295">
        <v>1.1653</v>
      </c>
      <c r="G119" s="1295">
        <v>1.1653</v>
      </c>
      <c r="H119" s="1295">
        <v>1.1653</v>
      </c>
      <c r="I119" s="1295">
        <v>1.0961</v>
      </c>
      <c r="J119" s="1295">
        <v>1.0961</v>
      </c>
      <c r="K119" s="1295">
        <v>1.0961</v>
      </c>
      <c r="L119" s="1295">
        <v>1.0961</v>
      </c>
      <c r="M119" s="1295">
        <v>1.0961</v>
      </c>
    </row>
    <row r="120" spans="1:13">
      <c r="A120" s="1292">
        <v>1.6</v>
      </c>
      <c r="B120" s="1295">
        <v>1.2423</v>
      </c>
      <c r="C120" s="1295">
        <v>1.2423</v>
      </c>
      <c r="D120" s="1295">
        <v>1.1453</v>
      </c>
      <c r="E120" s="1295">
        <v>1.1453</v>
      </c>
      <c r="F120" s="1295">
        <v>1.1453</v>
      </c>
      <c r="G120" s="1295">
        <v>1.1453</v>
      </c>
      <c r="H120" s="1295">
        <v>1.1453</v>
      </c>
      <c r="I120" s="1295">
        <v>1.074</v>
      </c>
      <c r="J120" s="1295">
        <v>1.074</v>
      </c>
      <c r="K120" s="1295">
        <v>1.074</v>
      </c>
      <c r="L120" s="1295">
        <v>1.074</v>
      </c>
      <c r="M120" s="1295">
        <v>1.074</v>
      </c>
    </row>
    <row r="121" spans="1:13">
      <c r="A121" s="1292">
        <v>1.7</v>
      </c>
      <c r="B121" s="1295">
        <v>1.2237</v>
      </c>
      <c r="C121" s="1295">
        <v>1.2237</v>
      </c>
      <c r="D121" s="1295">
        <v>1.1261</v>
      </c>
      <c r="E121" s="1295">
        <v>1.1261</v>
      </c>
      <c r="F121" s="1295">
        <v>1.1261</v>
      </c>
      <c r="G121" s="1295">
        <v>1.1261</v>
      </c>
      <c r="H121" s="1295">
        <v>1.1261</v>
      </c>
      <c r="I121" s="1295">
        <v>1.0535</v>
      </c>
      <c r="J121" s="1295">
        <v>1.0535</v>
      </c>
      <c r="K121" s="1295">
        <v>1.0535</v>
      </c>
      <c r="L121" s="1295">
        <v>1.0535</v>
      </c>
      <c r="M121" s="1295">
        <v>1.0535</v>
      </c>
    </row>
    <row r="122" spans="1:13">
      <c r="A122" s="1292">
        <v>1.8</v>
      </c>
      <c r="B122" s="1295">
        <v>1.206</v>
      </c>
      <c r="C122" s="1295">
        <v>1.206</v>
      </c>
      <c r="D122" s="1295">
        <v>1.1077</v>
      </c>
      <c r="E122" s="1295">
        <v>1.1077</v>
      </c>
      <c r="F122" s="1295">
        <v>1.1077</v>
      </c>
      <c r="G122" s="1295">
        <v>1.1077</v>
      </c>
      <c r="H122" s="1295">
        <v>1.1077</v>
      </c>
      <c r="I122" s="1295">
        <v>1.0345</v>
      </c>
      <c r="J122" s="1295">
        <v>1.0345</v>
      </c>
      <c r="K122" s="1295">
        <v>1.0345</v>
      </c>
      <c r="L122" s="1295">
        <v>1.0345</v>
      </c>
      <c r="M122" s="1295">
        <v>1.0345</v>
      </c>
    </row>
    <row r="123" spans="1:13">
      <c r="A123" s="1292">
        <v>1.9</v>
      </c>
      <c r="B123" s="1295">
        <v>1.1891</v>
      </c>
      <c r="C123" s="1295">
        <v>1.1891</v>
      </c>
      <c r="D123" s="1295">
        <v>1.0901</v>
      </c>
      <c r="E123" s="1295">
        <v>1.0901</v>
      </c>
      <c r="F123" s="1295">
        <v>1.0901</v>
      </c>
      <c r="G123" s="1295">
        <v>1.0901</v>
      </c>
      <c r="H123" s="1295">
        <v>1.0901</v>
      </c>
      <c r="I123" s="1295">
        <v>1.0167</v>
      </c>
      <c r="J123" s="1295">
        <v>1.0167</v>
      </c>
      <c r="K123" s="1295">
        <v>1.0167</v>
      </c>
      <c r="L123" s="1295">
        <v>1.0167</v>
      </c>
      <c r="M123" s="1295">
        <v>1.0167</v>
      </c>
    </row>
    <row r="124" spans="1:13">
      <c r="A124" s="1292">
        <v>2</v>
      </c>
      <c r="B124" s="1295">
        <v>1.1729</v>
      </c>
      <c r="C124" s="1295">
        <v>1.1729</v>
      </c>
      <c r="D124" s="1295">
        <v>1.0733</v>
      </c>
      <c r="E124" s="1295">
        <v>1.0733</v>
      </c>
      <c r="F124" s="1295">
        <v>1.0733</v>
      </c>
      <c r="G124" s="1295">
        <v>1.0733</v>
      </c>
      <c r="H124" s="1295">
        <v>1.0733</v>
      </c>
      <c r="I124" s="1295">
        <v>1</v>
      </c>
      <c r="J124" s="1295">
        <v>1</v>
      </c>
      <c r="K124" s="1295">
        <v>1</v>
      </c>
      <c r="L124" s="1295">
        <v>1</v>
      </c>
      <c r="M124" s="1295">
        <v>1</v>
      </c>
    </row>
    <row r="125" spans="1:13">
      <c r="A125" s="1296">
        <v>2.1</v>
      </c>
      <c r="B125" s="1295">
        <v>1.1574</v>
      </c>
      <c r="C125" s="1295">
        <v>1.1574</v>
      </c>
      <c r="D125" s="1295">
        <v>1.0572</v>
      </c>
      <c r="E125" s="1295">
        <v>1.0572</v>
      </c>
      <c r="F125" s="1295">
        <v>1.0572</v>
      </c>
      <c r="G125" s="1295">
        <v>1.0572</v>
      </c>
      <c r="H125" s="1295">
        <v>1.0572</v>
      </c>
      <c r="I125" s="1295">
        <v>0.9841</v>
      </c>
      <c r="J125" s="1295">
        <v>0.9841</v>
      </c>
      <c r="K125" s="1295">
        <v>0.9841</v>
      </c>
      <c r="L125" s="1295">
        <v>0.9841</v>
      </c>
      <c r="M125" s="1295">
        <v>0.9841</v>
      </c>
    </row>
    <row r="126" spans="1:13">
      <c r="A126" s="1296">
        <v>2.2</v>
      </c>
      <c r="B126" s="1295">
        <v>1.1426</v>
      </c>
      <c r="C126" s="1295">
        <v>1.1426</v>
      </c>
      <c r="D126" s="1295">
        <v>1.0419</v>
      </c>
      <c r="E126" s="1295">
        <v>1.0419</v>
      </c>
      <c r="F126" s="1295">
        <v>1.0419</v>
      </c>
      <c r="G126" s="1295">
        <v>1.0419</v>
      </c>
      <c r="H126" s="1295">
        <v>1.0419</v>
      </c>
      <c r="I126" s="1295">
        <v>0.9689</v>
      </c>
      <c r="J126" s="1295">
        <v>0.9689</v>
      </c>
      <c r="K126" s="1295">
        <v>0.9689</v>
      </c>
      <c r="L126" s="1295">
        <v>0.9689</v>
      </c>
      <c r="M126" s="1295">
        <v>0.9689</v>
      </c>
    </row>
    <row r="127" spans="1:13">
      <c r="A127" s="1296">
        <v>2.3</v>
      </c>
      <c r="B127" s="1295">
        <v>1.1285</v>
      </c>
      <c r="C127" s="1295">
        <v>1.1285</v>
      </c>
      <c r="D127" s="1295">
        <v>1.0272</v>
      </c>
      <c r="E127" s="1295">
        <v>1.0272</v>
      </c>
      <c r="F127" s="1295">
        <v>1.0272</v>
      </c>
      <c r="G127" s="1295">
        <v>1.0272</v>
      </c>
      <c r="H127" s="1295">
        <v>1.0272</v>
      </c>
      <c r="I127" s="1295">
        <v>0.9544</v>
      </c>
      <c r="J127" s="1295">
        <v>0.9544</v>
      </c>
      <c r="K127" s="1295">
        <v>0.9544</v>
      </c>
      <c r="L127" s="1295">
        <v>0.9544</v>
      </c>
      <c r="M127" s="1295">
        <v>0.9544</v>
      </c>
    </row>
    <row r="128" spans="1:13">
      <c r="A128" s="1296">
        <v>2.4</v>
      </c>
      <c r="B128" s="1295">
        <v>1.1149</v>
      </c>
      <c r="C128" s="1295">
        <v>1.1149</v>
      </c>
      <c r="D128" s="1295">
        <v>1.0133</v>
      </c>
      <c r="E128" s="1295">
        <v>1.0133</v>
      </c>
      <c r="F128" s="1295">
        <v>1.0133</v>
      </c>
      <c r="G128" s="1295">
        <v>1.0133</v>
      </c>
      <c r="H128" s="1295">
        <v>1.0133</v>
      </c>
      <c r="I128" s="1295">
        <v>0.9405</v>
      </c>
      <c r="J128" s="1295">
        <v>0.9405</v>
      </c>
      <c r="K128" s="1295">
        <v>0.9405</v>
      </c>
      <c r="L128" s="1295">
        <v>0.9405</v>
      </c>
      <c r="M128" s="1295">
        <v>0.9405</v>
      </c>
    </row>
    <row r="129" spans="1:13">
      <c r="A129" s="1296">
        <v>2.5</v>
      </c>
      <c r="B129" s="1295">
        <v>1.102</v>
      </c>
      <c r="C129" s="1295">
        <v>1.102</v>
      </c>
      <c r="D129" s="1295">
        <v>1</v>
      </c>
      <c r="E129" s="1295">
        <v>1</v>
      </c>
      <c r="F129" s="1295">
        <v>1</v>
      </c>
      <c r="G129" s="1295">
        <v>1</v>
      </c>
      <c r="H129" s="1295">
        <v>1</v>
      </c>
      <c r="I129" s="1295">
        <v>0.9273</v>
      </c>
      <c r="J129" s="1295">
        <v>0.9273</v>
      </c>
      <c r="K129" s="1295">
        <v>0.9273</v>
      </c>
      <c r="L129" s="1295">
        <v>0.9273</v>
      </c>
      <c r="M129" s="1295">
        <v>0.9273</v>
      </c>
    </row>
    <row r="130" spans="1:13">
      <c r="A130" s="1296">
        <v>2.6</v>
      </c>
      <c r="B130" s="1295">
        <v>1.0896</v>
      </c>
      <c r="C130" s="1295">
        <v>1.0896</v>
      </c>
      <c r="D130" s="1295">
        <v>0.9874</v>
      </c>
      <c r="E130" s="1295">
        <v>0.9874</v>
      </c>
      <c r="F130" s="1295">
        <v>0.9874</v>
      </c>
      <c r="G130" s="1295">
        <v>0.9874</v>
      </c>
      <c r="H130" s="1295">
        <v>0.9874</v>
      </c>
      <c r="I130" s="1295">
        <v>0.9147</v>
      </c>
      <c r="J130" s="1295">
        <v>0.9147</v>
      </c>
      <c r="K130" s="1295">
        <v>0.9147</v>
      </c>
      <c r="L130" s="1295">
        <v>0.9147</v>
      </c>
      <c r="M130" s="1295">
        <v>0.9147</v>
      </c>
    </row>
    <row r="131" spans="1:13">
      <c r="A131" s="1296">
        <v>2.7</v>
      </c>
      <c r="B131" s="1295">
        <v>1.0778</v>
      </c>
      <c r="C131" s="1295">
        <v>1.0778</v>
      </c>
      <c r="D131" s="1295">
        <v>0.9754</v>
      </c>
      <c r="E131" s="1295">
        <v>0.9754</v>
      </c>
      <c r="F131" s="1295">
        <v>0.9754</v>
      </c>
      <c r="G131" s="1295">
        <v>0.9754</v>
      </c>
      <c r="H131" s="1295">
        <v>0.9754</v>
      </c>
      <c r="I131" s="1295">
        <v>0.9027</v>
      </c>
      <c r="J131" s="1295">
        <v>0.9027</v>
      </c>
      <c r="K131" s="1295">
        <v>0.9027</v>
      </c>
      <c r="L131" s="1295">
        <v>0.9027</v>
      </c>
      <c r="M131" s="1295">
        <v>0.9027</v>
      </c>
    </row>
    <row r="132" spans="1:13">
      <c r="A132" s="1296">
        <v>2.8</v>
      </c>
      <c r="B132" s="1295">
        <v>1.0665</v>
      </c>
      <c r="C132" s="1295">
        <v>1.0665</v>
      </c>
      <c r="D132" s="1295">
        <v>0.964</v>
      </c>
      <c r="E132" s="1295">
        <v>0.964</v>
      </c>
      <c r="F132" s="1295">
        <v>0.964</v>
      </c>
      <c r="G132" s="1295">
        <v>0.964</v>
      </c>
      <c r="H132" s="1295">
        <v>0.964</v>
      </c>
      <c r="I132" s="1295">
        <v>0.8912</v>
      </c>
      <c r="J132" s="1295">
        <v>0.8912</v>
      </c>
      <c r="K132" s="1295">
        <v>0.8912</v>
      </c>
      <c r="L132" s="1295">
        <v>0.8912</v>
      </c>
      <c r="M132" s="1295">
        <v>0.8912</v>
      </c>
    </row>
    <row r="133" spans="1:13">
      <c r="A133" s="1296">
        <v>2.9</v>
      </c>
      <c r="B133" s="1295">
        <v>1.0556</v>
      </c>
      <c r="C133" s="1295">
        <v>1.0556</v>
      </c>
      <c r="D133" s="1295">
        <v>0.9533</v>
      </c>
      <c r="E133" s="1295">
        <v>0.9533</v>
      </c>
      <c r="F133" s="1295">
        <v>0.9533</v>
      </c>
      <c r="G133" s="1295">
        <v>0.9533</v>
      </c>
      <c r="H133" s="1295">
        <v>0.9533</v>
      </c>
      <c r="I133" s="1295">
        <v>0.8802</v>
      </c>
      <c r="J133" s="1295">
        <v>0.8802</v>
      </c>
      <c r="K133" s="1295">
        <v>0.8802</v>
      </c>
      <c r="L133" s="1295">
        <v>0.8802</v>
      </c>
      <c r="M133" s="1295">
        <v>0.8802</v>
      </c>
    </row>
    <row r="134" spans="1:13">
      <c r="A134" s="1296">
        <v>3</v>
      </c>
      <c r="B134" s="1295">
        <v>1.0453</v>
      </c>
      <c r="C134" s="1295">
        <v>1.0453</v>
      </c>
      <c r="D134" s="1295">
        <v>0.943</v>
      </c>
      <c r="E134" s="1295">
        <v>0.943</v>
      </c>
      <c r="F134" s="1295">
        <v>0.943</v>
      </c>
      <c r="G134" s="1295">
        <v>0.943</v>
      </c>
      <c r="H134" s="1295">
        <v>0.943</v>
      </c>
      <c r="I134" s="1295">
        <v>0.8697</v>
      </c>
      <c r="J134" s="1295">
        <v>0.8697</v>
      </c>
      <c r="K134" s="1295">
        <v>0.8697</v>
      </c>
      <c r="L134" s="1295">
        <v>0.8697</v>
      </c>
      <c r="M134" s="1295">
        <v>0.8697</v>
      </c>
    </row>
    <row r="135" spans="1:13">
      <c r="A135" s="1296">
        <v>3.1</v>
      </c>
      <c r="B135" s="1295">
        <v>1.0354</v>
      </c>
      <c r="C135" s="1295">
        <v>1.0354</v>
      </c>
      <c r="D135" s="1295">
        <v>0.9333</v>
      </c>
      <c r="E135" s="1295">
        <v>0.9333</v>
      </c>
      <c r="F135" s="1295">
        <v>0.9333</v>
      </c>
      <c r="G135" s="1295">
        <v>0.9333</v>
      </c>
      <c r="H135" s="1295">
        <v>0.9333</v>
      </c>
      <c r="I135" s="1295">
        <v>0.8597</v>
      </c>
      <c r="J135" s="1295">
        <v>0.8597</v>
      </c>
      <c r="K135" s="1295">
        <v>0.8597</v>
      </c>
      <c r="L135" s="1295">
        <v>0.8597</v>
      </c>
      <c r="M135" s="1295">
        <v>0.8597</v>
      </c>
    </row>
    <row r="136" spans="1:13">
      <c r="A136" s="1296">
        <v>3.2</v>
      </c>
      <c r="B136" s="1295">
        <v>1.0259</v>
      </c>
      <c r="C136" s="1295">
        <v>1.0259</v>
      </c>
      <c r="D136" s="1295">
        <v>0.9241</v>
      </c>
      <c r="E136" s="1295">
        <v>0.9241</v>
      </c>
      <c r="F136" s="1295">
        <v>0.9241</v>
      </c>
      <c r="G136" s="1295">
        <v>0.9241</v>
      </c>
      <c r="H136" s="1295">
        <v>0.9241</v>
      </c>
      <c r="I136" s="1295">
        <v>0.8502</v>
      </c>
      <c r="J136" s="1295">
        <v>0.8502</v>
      </c>
      <c r="K136" s="1295">
        <v>0.8502</v>
      </c>
      <c r="L136" s="1295">
        <v>0.8502</v>
      </c>
      <c r="M136" s="1295">
        <v>0.8502</v>
      </c>
    </row>
    <row r="137" spans="1:13">
      <c r="A137" s="1296">
        <v>3.3</v>
      </c>
      <c r="B137" s="1295">
        <v>1.0169</v>
      </c>
      <c r="C137" s="1295">
        <v>1.0169</v>
      </c>
      <c r="D137" s="1295">
        <v>0.9154</v>
      </c>
      <c r="E137" s="1295">
        <v>0.9154</v>
      </c>
      <c r="F137" s="1295">
        <v>0.9154</v>
      </c>
      <c r="G137" s="1295">
        <v>0.9154</v>
      </c>
      <c r="H137" s="1295">
        <v>0.9154</v>
      </c>
      <c r="I137" s="1295">
        <v>0.8411</v>
      </c>
      <c r="J137" s="1295">
        <v>0.8411</v>
      </c>
      <c r="K137" s="1295">
        <v>0.8411</v>
      </c>
      <c r="L137" s="1295">
        <v>0.8411</v>
      </c>
      <c r="M137" s="1295">
        <v>0.8411</v>
      </c>
    </row>
    <row r="138" spans="1:13">
      <c r="A138" s="1296">
        <v>3.4</v>
      </c>
      <c r="B138" s="1295">
        <v>1.0082</v>
      </c>
      <c r="C138" s="1295">
        <v>1.0082</v>
      </c>
      <c r="D138" s="1295">
        <v>0.9071</v>
      </c>
      <c r="E138" s="1295">
        <v>0.9071</v>
      </c>
      <c r="F138" s="1295">
        <v>0.9071</v>
      </c>
      <c r="G138" s="1295">
        <v>0.9071</v>
      </c>
      <c r="H138" s="1295">
        <v>0.9071</v>
      </c>
      <c r="I138" s="1295">
        <v>0.8324</v>
      </c>
      <c r="J138" s="1295">
        <v>0.8324</v>
      </c>
      <c r="K138" s="1295">
        <v>0.8324</v>
      </c>
      <c r="L138" s="1295">
        <v>0.8324</v>
      </c>
      <c r="M138" s="1295">
        <v>0.8324</v>
      </c>
    </row>
    <row r="139" spans="1:13">
      <c r="A139" s="1296">
        <v>3.5</v>
      </c>
      <c r="B139" s="1295">
        <v>1</v>
      </c>
      <c r="C139" s="1295">
        <v>1</v>
      </c>
      <c r="D139" s="1295">
        <v>0.8993</v>
      </c>
      <c r="E139" s="1295">
        <v>0.8993</v>
      </c>
      <c r="F139" s="1295">
        <v>0.8993</v>
      </c>
      <c r="G139" s="1295">
        <v>0.8993</v>
      </c>
      <c r="H139" s="1295">
        <v>0.8993</v>
      </c>
      <c r="I139" s="1295">
        <v>0.8241</v>
      </c>
      <c r="J139" s="1295">
        <v>0.8241</v>
      </c>
      <c r="K139" s="1295">
        <v>0.8241</v>
      </c>
      <c r="L139" s="1295">
        <v>0.8241</v>
      </c>
      <c r="M139" s="1295">
        <v>0.8241</v>
      </c>
    </row>
    <row r="140" spans="1:13">
      <c r="A140" s="1296">
        <v>3.6</v>
      </c>
      <c r="B140" s="1295">
        <v>0.9922</v>
      </c>
      <c r="C140" s="1295">
        <v>0.9922</v>
      </c>
      <c r="D140" s="1295">
        <v>0.8919</v>
      </c>
      <c r="E140" s="1295">
        <v>0.8919</v>
      </c>
      <c r="F140" s="1295">
        <v>0.8919</v>
      </c>
      <c r="G140" s="1295">
        <v>0.8919</v>
      </c>
      <c r="H140" s="1295">
        <v>0.8919</v>
      </c>
      <c r="I140" s="1295">
        <v>0.8162</v>
      </c>
      <c r="J140" s="1295">
        <v>0.8162</v>
      </c>
      <c r="K140" s="1295">
        <v>0.8162</v>
      </c>
      <c r="L140" s="1295">
        <v>0.8162</v>
      </c>
      <c r="M140" s="1295">
        <v>0.8162</v>
      </c>
    </row>
    <row r="141" spans="1:13">
      <c r="A141" s="1296">
        <v>3.7</v>
      </c>
      <c r="B141" s="1295">
        <v>0.9848</v>
      </c>
      <c r="C141" s="1295">
        <v>0.9848</v>
      </c>
      <c r="D141" s="1295">
        <v>0.8848</v>
      </c>
      <c r="E141" s="1295">
        <v>0.8848</v>
      </c>
      <c r="F141" s="1295">
        <v>0.8848</v>
      </c>
      <c r="G141" s="1295">
        <v>0.8848</v>
      </c>
      <c r="H141" s="1295">
        <v>0.8848</v>
      </c>
      <c r="I141" s="1295">
        <v>0.8087</v>
      </c>
      <c r="J141" s="1295">
        <v>0.8087</v>
      </c>
      <c r="K141" s="1295">
        <v>0.8087</v>
      </c>
      <c r="L141" s="1295">
        <v>0.8087</v>
      </c>
      <c r="M141" s="1295">
        <v>0.8087</v>
      </c>
    </row>
    <row r="142" spans="1:13">
      <c r="A142" s="1296">
        <v>3.8</v>
      </c>
      <c r="B142" s="1295">
        <v>0.9778</v>
      </c>
      <c r="C142" s="1295">
        <v>0.9778</v>
      </c>
      <c r="D142" s="1295">
        <v>0.8781</v>
      </c>
      <c r="E142" s="1295">
        <v>0.8781</v>
      </c>
      <c r="F142" s="1295">
        <v>0.8781</v>
      </c>
      <c r="G142" s="1295">
        <v>0.8781</v>
      </c>
      <c r="H142" s="1295">
        <v>0.8781</v>
      </c>
      <c r="I142" s="1295">
        <v>0.8016</v>
      </c>
      <c r="J142" s="1295">
        <v>0.8016</v>
      </c>
      <c r="K142" s="1295">
        <v>0.8016</v>
      </c>
      <c r="L142" s="1295">
        <v>0.8016</v>
      </c>
      <c r="M142" s="1295">
        <v>0.8016</v>
      </c>
    </row>
    <row r="143" spans="1:13">
      <c r="A143" s="1296">
        <v>3.9</v>
      </c>
      <c r="B143" s="1295">
        <v>0.9712</v>
      </c>
      <c r="C143" s="1295">
        <v>0.9712</v>
      </c>
      <c r="D143" s="1295">
        <v>0.8718</v>
      </c>
      <c r="E143" s="1295">
        <v>0.8718</v>
      </c>
      <c r="F143" s="1295">
        <v>0.8718</v>
      </c>
      <c r="G143" s="1295">
        <v>0.8718</v>
      </c>
      <c r="H143" s="1295">
        <v>0.8718</v>
      </c>
      <c r="I143" s="1295">
        <v>0.7948</v>
      </c>
      <c r="J143" s="1295">
        <v>0.7948</v>
      </c>
      <c r="K143" s="1295">
        <v>0.7948</v>
      </c>
      <c r="L143" s="1295">
        <v>0.7948</v>
      </c>
      <c r="M143" s="1295">
        <v>0.7948</v>
      </c>
    </row>
    <row r="144" spans="1:13">
      <c r="A144" s="1296">
        <v>4</v>
      </c>
      <c r="B144" s="1295">
        <v>0.965</v>
      </c>
      <c r="C144" s="1295">
        <v>0.965</v>
      </c>
      <c r="D144" s="1295">
        <v>0.8658</v>
      </c>
      <c r="E144" s="1295">
        <v>0.8658</v>
      </c>
      <c r="F144" s="1295">
        <v>0.8658</v>
      </c>
      <c r="G144" s="1295">
        <v>0.8658</v>
      </c>
      <c r="H144" s="1295">
        <v>0.8658</v>
      </c>
      <c r="I144" s="1295">
        <v>0.7883</v>
      </c>
      <c r="J144" s="1295">
        <v>0.7883</v>
      </c>
      <c r="K144" s="1295">
        <v>0.7883</v>
      </c>
      <c r="L144" s="1295">
        <v>0.7883</v>
      </c>
      <c r="M144" s="1295">
        <v>0.7883</v>
      </c>
    </row>
    <row r="145" spans="1:13">
      <c r="A145" s="1296">
        <v>4.1</v>
      </c>
      <c r="B145" s="1295">
        <v>0.9591</v>
      </c>
      <c r="C145" s="1295">
        <v>0.9591</v>
      </c>
      <c r="D145" s="1295">
        <v>0.8601</v>
      </c>
      <c r="E145" s="1295">
        <v>0.8601</v>
      </c>
      <c r="F145" s="1295">
        <v>0.8601</v>
      </c>
      <c r="G145" s="1295">
        <v>0.8601</v>
      </c>
      <c r="H145" s="1295">
        <v>0.8601</v>
      </c>
      <c r="I145" s="1295">
        <v>0.782</v>
      </c>
      <c r="J145" s="1295">
        <v>0.782</v>
      </c>
      <c r="K145" s="1295">
        <v>0.782</v>
      </c>
      <c r="L145" s="1295">
        <v>0.782</v>
      </c>
      <c r="M145" s="1295">
        <v>0.782</v>
      </c>
    </row>
    <row r="146" spans="1:13">
      <c r="A146" s="1296">
        <v>4.2</v>
      </c>
      <c r="B146" s="1295">
        <v>0.9535</v>
      </c>
      <c r="C146" s="1295">
        <v>0.9535</v>
      </c>
      <c r="D146" s="1295">
        <v>0.8547</v>
      </c>
      <c r="E146" s="1295">
        <v>0.8547</v>
      </c>
      <c r="F146" s="1295">
        <v>0.8547</v>
      </c>
      <c r="G146" s="1295">
        <v>0.8547</v>
      </c>
      <c r="H146" s="1295">
        <v>0.8547</v>
      </c>
      <c r="I146" s="1295">
        <v>0.776</v>
      </c>
      <c r="J146" s="1295">
        <v>0.776</v>
      </c>
      <c r="K146" s="1295">
        <v>0.776</v>
      </c>
      <c r="L146" s="1295">
        <v>0.776</v>
      </c>
      <c r="M146" s="1295">
        <v>0.776</v>
      </c>
    </row>
    <row r="147" spans="1:13">
      <c r="A147" s="1296">
        <v>4.3</v>
      </c>
      <c r="B147" s="1295">
        <v>0.9482</v>
      </c>
      <c r="C147" s="1295">
        <v>0.9482</v>
      </c>
      <c r="D147" s="1295">
        <v>0.8496</v>
      </c>
      <c r="E147" s="1295">
        <v>0.8496</v>
      </c>
      <c r="F147" s="1295">
        <v>0.8496</v>
      </c>
      <c r="G147" s="1295">
        <v>0.8496</v>
      </c>
      <c r="H147" s="1295">
        <v>0.8496</v>
      </c>
      <c r="I147" s="1295">
        <v>0.7703</v>
      </c>
      <c r="J147" s="1295">
        <v>0.7703</v>
      </c>
      <c r="K147" s="1295">
        <v>0.7703</v>
      </c>
      <c r="L147" s="1295">
        <v>0.7703</v>
      </c>
      <c r="M147" s="1295">
        <v>0.7703</v>
      </c>
    </row>
    <row r="148" spans="1:13">
      <c r="A148" s="1296">
        <v>4.4</v>
      </c>
      <c r="B148" s="1295">
        <v>0.9432</v>
      </c>
      <c r="C148" s="1295">
        <v>0.9432</v>
      </c>
      <c r="D148" s="1295">
        <v>0.8448</v>
      </c>
      <c r="E148" s="1295">
        <v>0.8448</v>
      </c>
      <c r="F148" s="1295">
        <v>0.8448</v>
      </c>
      <c r="G148" s="1295">
        <v>0.8448</v>
      </c>
      <c r="H148" s="1295">
        <v>0.8448</v>
      </c>
      <c r="I148" s="1295">
        <v>0.7649</v>
      </c>
      <c r="J148" s="1295">
        <v>0.7649</v>
      </c>
      <c r="K148" s="1295">
        <v>0.7649</v>
      </c>
      <c r="L148" s="1295">
        <v>0.7649</v>
      </c>
      <c r="M148" s="1295">
        <v>0.7649</v>
      </c>
    </row>
    <row r="149" spans="1:13">
      <c r="A149" s="1296">
        <v>4.5</v>
      </c>
      <c r="B149" s="1295">
        <v>0.9385</v>
      </c>
      <c r="C149" s="1295">
        <v>0.9385</v>
      </c>
      <c r="D149" s="1295">
        <v>0.8402</v>
      </c>
      <c r="E149" s="1295">
        <v>0.8402</v>
      </c>
      <c r="F149" s="1295">
        <v>0.8402</v>
      </c>
      <c r="G149" s="1295">
        <v>0.8402</v>
      </c>
      <c r="H149" s="1295">
        <v>0.8402</v>
      </c>
      <c r="I149" s="1295">
        <v>0.7597</v>
      </c>
      <c r="J149" s="1295">
        <v>0.7597</v>
      </c>
      <c r="K149" s="1295">
        <v>0.7597</v>
      </c>
      <c r="L149" s="1295">
        <v>0.7597</v>
      </c>
      <c r="M149" s="1295">
        <v>0.7597</v>
      </c>
    </row>
    <row r="150" spans="1:13">
      <c r="A150" s="1296">
        <v>4.6</v>
      </c>
      <c r="B150" s="1295">
        <v>0.9341</v>
      </c>
      <c r="C150" s="1295">
        <v>0.9341</v>
      </c>
      <c r="D150" s="1295">
        <v>0.8358</v>
      </c>
      <c r="E150" s="1295">
        <v>0.8358</v>
      </c>
      <c r="F150" s="1295">
        <v>0.8358</v>
      </c>
      <c r="G150" s="1295">
        <v>0.8358</v>
      </c>
      <c r="H150" s="1295">
        <v>0.8358</v>
      </c>
      <c r="I150" s="1295">
        <v>0.7547</v>
      </c>
      <c r="J150" s="1295">
        <v>0.7547</v>
      </c>
      <c r="K150" s="1295">
        <v>0.7547</v>
      </c>
      <c r="L150" s="1295">
        <v>0.7547</v>
      </c>
      <c r="M150" s="1295">
        <v>0.7547</v>
      </c>
    </row>
    <row r="151" spans="1:13">
      <c r="A151" s="1296">
        <v>4.7</v>
      </c>
      <c r="B151" s="1295">
        <v>0.9299</v>
      </c>
      <c r="C151" s="1295">
        <v>0.9299</v>
      </c>
      <c r="D151" s="1295">
        <v>0.8316</v>
      </c>
      <c r="E151" s="1295">
        <v>0.8316</v>
      </c>
      <c r="F151" s="1295">
        <v>0.8316</v>
      </c>
      <c r="G151" s="1295">
        <v>0.8316</v>
      </c>
      <c r="H151" s="1295">
        <v>0.8316</v>
      </c>
      <c r="I151" s="1295">
        <v>0.7499</v>
      </c>
      <c r="J151" s="1295">
        <v>0.7499</v>
      </c>
      <c r="K151" s="1295">
        <v>0.7499</v>
      </c>
      <c r="L151" s="1295">
        <v>0.7499</v>
      </c>
      <c r="M151" s="1295">
        <v>0.7499</v>
      </c>
    </row>
    <row r="152" spans="1:13">
      <c r="A152" s="1296">
        <v>4.8</v>
      </c>
      <c r="B152" s="1295">
        <v>0.9259</v>
      </c>
      <c r="C152" s="1295">
        <v>0.9259</v>
      </c>
      <c r="D152" s="1295">
        <v>0.8277</v>
      </c>
      <c r="E152" s="1295">
        <v>0.8277</v>
      </c>
      <c r="F152" s="1295">
        <v>0.8277</v>
      </c>
      <c r="G152" s="1295">
        <v>0.8277</v>
      </c>
      <c r="H152" s="1295">
        <v>0.8277</v>
      </c>
      <c r="I152" s="1295">
        <v>0.7453</v>
      </c>
      <c r="J152" s="1295">
        <v>0.7453</v>
      </c>
      <c r="K152" s="1295">
        <v>0.7453</v>
      </c>
      <c r="L152" s="1295">
        <v>0.7453</v>
      </c>
      <c r="M152" s="1295">
        <v>0.7453</v>
      </c>
    </row>
    <row r="153" spans="1:13">
      <c r="A153" s="1296">
        <v>4.9</v>
      </c>
      <c r="B153" s="1295">
        <v>0.9221</v>
      </c>
      <c r="C153" s="1295">
        <v>0.9221</v>
      </c>
      <c r="D153" s="1295">
        <v>0.8239</v>
      </c>
      <c r="E153" s="1295">
        <v>0.8239</v>
      </c>
      <c r="F153" s="1295">
        <v>0.8239</v>
      </c>
      <c r="G153" s="1295">
        <v>0.8239</v>
      </c>
      <c r="H153" s="1295">
        <v>0.8239</v>
      </c>
      <c r="I153" s="1295">
        <v>0.7409</v>
      </c>
      <c r="J153" s="1295">
        <v>0.7409</v>
      </c>
      <c r="K153" s="1295">
        <v>0.7409</v>
      </c>
      <c r="L153" s="1295">
        <v>0.7409</v>
      </c>
      <c r="M153" s="1295">
        <v>0.7409</v>
      </c>
    </row>
    <row r="154" spans="1:13">
      <c r="A154" s="1296">
        <v>5</v>
      </c>
      <c r="B154" s="1295">
        <v>0.9185</v>
      </c>
      <c r="C154" s="1295">
        <v>0.9185</v>
      </c>
      <c r="D154" s="1295">
        <v>0.8203</v>
      </c>
      <c r="E154" s="1295">
        <v>0.8203</v>
      </c>
      <c r="F154" s="1295">
        <v>0.8203</v>
      </c>
      <c r="G154" s="1295">
        <v>0.8203</v>
      </c>
      <c r="H154" s="1295">
        <v>0.8203</v>
      </c>
      <c r="I154" s="1295">
        <v>0.7367</v>
      </c>
      <c r="J154" s="1295">
        <v>0.7367</v>
      </c>
      <c r="K154" s="1295">
        <v>0.7367</v>
      </c>
      <c r="L154" s="1295">
        <v>0.7367</v>
      </c>
      <c r="M154" s="1295">
        <v>0.7367</v>
      </c>
    </row>
    <row r="155" spans="1:13">
      <c r="A155" s="1292">
        <v>5.1</v>
      </c>
      <c r="B155" s="1295">
        <v>0.9151</v>
      </c>
      <c r="C155" s="1295">
        <v>0.9151</v>
      </c>
      <c r="D155" s="1295">
        <v>0.8169</v>
      </c>
      <c r="E155" s="1295">
        <v>0.8169</v>
      </c>
      <c r="F155" s="1295">
        <v>0.8169</v>
      </c>
      <c r="G155" s="1295">
        <v>0.8169</v>
      </c>
      <c r="H155" s="1295">
        <v>0.8169</v>
      </c>
      <c r="I155" s="1295">
        <v>0.7327</v>
      </c>
      <c r="J155" s="1295">
        <v>0.7327</v>
      </c>
      <c r="K155" s="1295">
        <v>0.7327</v>
      </c>
      <c r="L155" s="1295">
        <v>0.7327</v>
      </c>
      <c r="M155" s="1295">
        <v>0.7327</v>
      </c>
    </row>
    <row r="156" spans="1:13">
      <c r="A156" s="1292">
        <v>5.2</v>
      </c>
      <c r="B156" s="1295">
        <v>0.9119</v>
      </c>
      <c r="C156" s="1295">
        <v>0.9119</v>
      </c>
      <c r="D156" s="1295">
        <v>0.8136</v>
      </c>
      <c r="E156" s="1295">
        <v>0.8136</v>
      </c>
      <c r="F156" s="1295">
        <v>0.8136</v>
      </c>
      <c r="G156" s="1295">
        <v>0.8136</v>
      </c>
      <c r="H156" s="1295">
        <v>0.8136</v>
      </c>
      <c r="I156" s="1295">
        <v>0.7289</v>
      </c>
      <c r="J156" s="1295">
        <v>0.7289</v>
      </c>
      <c r="K156" s="1295">
        <v>0.7289</v>
      </c>
      <c r="L156" s="1295">
        <v>0.7289</v>
      </c>
      <c r="M156" s="1295">
        <v>0.7289</v>
      </c>
    </row>
    <row r="157" spans="1:13">
      <c r="A157" s="1292">
        <v>5.3</v>
      </c>
      <c r="B157" s="1295">
        <v>0.9088</v>
      </c>
      <c r="C157" s="1295">
        <v>0.9088</v>
      </c>
      <c r="D157" s="1295">
        <v>0.8105</v>
      </c>
      <c r="E157" s="1295">
        <v>0.8105</v>
      </c>
      <c r="F157" s="1295">
        <v>0.8105</v>
      </c>
      <c r="G157" s="1295">
        <v>0.8105</v>
      </c>
      <c r="H157" s="1295">
        <v>0.8105</v>
      </c>
      <c r="I157" s="1295">
        <v>0.7253</v>
      </c>
      <c r="J157" s="1295">
        <v>0.7253</v>
      </c>
      <c r="K157" s="1295">
        <v>0.7253</v>
      </c>
      <c r="L157" s="1295">
        <v>0.7253</v>
      </c>
      <c r="M157" s="1295">
        <v>0.7253</v>
      </c>
    </row>
    <row r="158" spans="1:13">
      <c r="A158" s="1292">
        <v>5.4</v>
      </c>
      <c r="B158" s="1295">
        <v>0.9058</v>
      </c>
      <c r="C158" s="1295">
        <v>0.9058</v>
      </c>
      <c r="D158" s="1295">
        <v>0.8075</v>
      </c>
      <c r="E158" s="1295">
        <v>0.8075</v>
      </c>
      <c r="F158" s="1295">
        <v>0.8075</v>
      </c>
      <c r="G158" s="1295">
        <v>0.8075</v>
      </c>
      <c r="H158" s="1295">
        <v>0.8075</v>
      </c>
      <c r="I158" s="1295">
        <v>0.7218</v>
      </c>
      <c r="J158" s="1295">
        <v>0.7218</v>
      </c>
      <c r="K158" s="1295">
        <v>0.7218</v>
      </c>
      <c r="L158" s="1295">
        <v>0.7218</v>
      </c>
      <c r="M158" s="1295">
        <v>0.7218</v>
      </c>
    </row>
    <row r="159" spans="1:13">
      <c r="A159" s="1292">
        <v>5.5</v>
      </c>
      <c r="B159" s="1295">
        <v>0.9029</v>
      </c>
      <c r="C159" s="1295">
        <v>0.9029</v>
      </c>
      <c r="D159" s="1295">
        <v>0.8047</v>
      </c>
      <c r="E159" s="1295">
        <v>0.8047</v>
      </c>
      <c r="F159" s="1295">
        <v>0.8047</v>
      </c>
      <c r="G159" s="1295">
        <v>0.8047</v>
      </c>
      <c r="H159" s="1295">
        <v>0.8047</v>
      </c>
      <c r="I159" s="1295">
        <v>0.7184</v>
      </c>
      <c r="J159" s="1295">
        <v>0.7184</v>
      </c>
      <c r="K159" s="1295">
        <v>0.7184</v>
      </c>
      <c r="L159" s="1295">
        <v>0.7184</v>
      </c>
      <c r="M159" s="1295">
        <v>0.7184</v>
      </c>
    </row>
    <row r="160" spans="1:13">
      <c r="A160" s="1292">
        <v>5.6</v>
      </c>
      <c r="B160" s="1295">
        <v>0.9001</v>
      </c>
      <c r="C160" s="1295">
        <v>0.9001</v>
      </c>
      <c r="D160" s="1295">
        <v>0.802</v>
      </c>
      <c r="E160" s="1295">
        <v>0.802</v>
      </c>
      <c r="F160" s="1295">
        <v>0.802</v>
      </c>
      <c r="G160" s="1295">
        <v>0.802</v>
      </c>
      <c r="H160" s="1295">
        <v>0.802</v>
      </c>
      <c r="I160" s="1295">
        <v>0.7151</v>
      </c>
      <c r="J160" s="1295">
        <v>0.7151</v>
      </c>
      <c r="K160" s="1295">
        <v>0.7151</v>
      </c>
      <c r="L160" s="1295">
        <v>0.7151</v>
      </c>
      <c r="M160" s="1295">
        <v>0.7151</v>
      </c>
    </row>
    <row r="161" spans="1:13">
      <c r="A161" s="1296">
        <v>5.7</v>
      </c>
      <c r="B161" s="1295">
        <v>0.8975</v>
      </c>
      <c r="C161" s="1295">
        <v>0.8975</v>
      </c>
      <c r="D161" s="1295">
        <v>0.7993</v>
      </c>
      <c r="E161" s="1295">
        <v>0.7993</v>
      </c>
      <c r="F161" s="1295">
        <v>0.7993</v>
      </c>
      <c r="G161" s="1295">
        <v>0.7993</v>
      </c>
      <c r="H161" s="1295">
        <v>0.7993</v>
      </c>
      <c r="I161" s="1295">
        <v>0.7119</v>
      </c>
      <c r="J161" s="1295">
        <v>0.7119</v>
      </c>
      <c r="K161" s="1295">
        <v>0.7119</v>
      </c>
      <c r="L161" s="1295">
        <v>0.7119</v>
      </c>
      <c r="M161" s="1295">
        <v>0.7119</v>
      </c>
    </row>
    <row r="162" spans="1:13">
      <c r="A162" s="1292">
        <v>5.8</v>
      </c>
      <c r="B162" s="1295">
        <v>0.895</v>
      </c>
      <c r="C162" s="1295">
        <v>0.895</v>
      </c>
      <c r="D162" s="1295">
        <v>0.7968</v>
      </c>
      <c r="E162" s="1295">
        <v>0.7968</v>
      </c>
      <c r="F162" s="1295">
        <v>0.7968</v>
      </c>
      <c r="G162" s="1295">
        <v>0.7968</v>
      </c>
      <c r="H162" s="1295">
        <v>0.7968</v>
      </c>
      <c r="I162" s="1295">
        <v>0.7088</v>
      </c>
      <c r="J162" s="1295">
        <v>0.7088</v>
      </c>
      <c r="K162" s="1295">
        <v>0.7088</v>
      </c>
      <c r="L162" s="1295">
        <v>0.7088</v>
      </c>
      <c r="M162" s="1295">
        <v>0.7088</v>
      </c>
    </row>
    <row r="163" spans="1:13">
      <c r="A163" s="1292">
        <v>5.9</v>
      </c>
      <c r="B163" s="1295">
        <v>0.8926</v>
      </c>
      <c r="C163" s="1295">
        <v>0.8926</v>
      </c>
      <c r="D163" s="1295">
        <v>0.7944</v>
      </c>
      <c r="E163" s="1295">
        <v>0.7944</v>
      </c>
      <c r="F163" s="1295">
        <v>0.7944</v>
      </c>
      <c r="G163" s="1295">
        <v>0.7944</v>
      </c>
      <c r="H163" s="1295">
        <v>0.7944</v>
      </c>
      <c r="I163" s="1295">
        <v>0.7058</v>
      </c>
      <c r="J163" s="1295">
        <v>0.7058</v>
      </c>
      <c r="K163" s="1295">
        <v>0.7058</v>
      </c>
      <c r="L163" s="1295">
        <v>0.7058</v>
      </c>
      <c r="M163" s="1295">
        <v>0.7058</v>
      </c>
    </row>
    <row r="164" spans="1:13">
      <c r="A164" s="1292">
        <v>6</v>
      </c>
      <c r="B164" s="1295">
        <v>0.8903</v>
      </c>
      <c r="C164" s="1295">
        <v>0.8903</v>
      </c>
      <c r="D164" s="1295">
        <v>0.792</v>
      </c>
      <c r="E164" s="1295">
        <v>0.792</v>
      </c>
      <c r="F164" s="1295">
        <v>0.792</v>
      </c>
      <c r="G164" s="1295">
        <v>0.792</v>
      </c>
      <c r="H164" s="1295">
        <v>0.792</v>
      </c>
      <c r="I164" s="1295">
        <v>0.7029</v>
      </c>
      <c r="J164" s="1295">
        <v>0.7029</v>
      </c>
      <c r="K164" s="1295">
        <v>0.7029</v>
      </c>
      <c r="L164" s="1295">
        <v>0.7029</v>
      </c>
      <c r="M164" s="1295">
        <v>0.7029</v>
      </c>
    </row>
    <row r="165" spans="1:13">
      <c r="A165" s="1292">
        <v>6.1</v>
      </c>
      <c r="B165" s="1295">
        <v>0.8881</v>
      </c>
      <c r="C165" s="1295">
        <v>0.8881</v>
      </c>
      <c r="D165" s="1295">
        <v>0.7898</v>
      </c>
      <c r="E165" s="1295">
        <v>0.7898</v>
      </c>
      <c r="F165" s="1295">
        <v>0.7898</v>
      </c>
      <c r="G165" s="1295">
        <v>0.7898</v>
      </c>
      <c r="H165" s="1295">
        <v>0.7898</v>
      </c>
      <c r="I165" s="1295">
        <v>0.7001</v>
      </c>
      <c r="J165" s="1295">
        <v>0.7001</v>
      </c>
      <c r="K165" s="1295">
        <v>0.7001</v>
      </c>
      <c r="L165" s="1295">
        <v>0.7001</v>
      </c>
      <c r="M165" s="1295">
        <v>0.7001</v>
      </c>
    </row>
    <row r="166" spans="1:13">
      <c r="A166" s="1292">
        <v>6.2</v>
      </c>
      <c r="B166" s="1295">
        <v>0.886</v>
      </c>
      <c r="C166" s="1295">
        <v>0.886</v>
      </c>
      <c r="D166" s="1295">
        <v>0.7876</v>
      </c>
      <c r="E166" s="1295">
        <v>0.7876</v>
      </c>
      <c r="F166" s="1295">
        <v>0.7876</v>
      </c>
      <c r="G166" s="1295">
        <v>0.7876</v>
      </c>
      <c r="H166" s="1295">
        <v>0.7876</v>
      </c>
      <c r="I166" s="1295">
        <v>0.6974</v>
      </c>
      <c r="J166" s="1295">
        <v>0.6974</v>
      </c>
      <c r="K166" s="1295">
        <v>0.6974</v>
      </c>
      <c r="L166" s="1295">
        <v>0.6974</v>
      </c>
      <c r="M166" s="1295">
        <v>0.6974</v>
      </c>
    </row>
    <row r="167" spans="1:13">
      <c r="A167" s="1292">
        <v>6.3</v>
      </c>
      <c r="B167" s="1295">
        <v>0.8839</v>
      </c>
      <c r="C167" s="1295">
        <v>0.8839</v>
      </c>
      <c r="D167" s="1295">
        <v>0.7855</v>
      </c>
      <c r="E167" s="1295">
        <v>0.7855</v>
      </c>
      <c r="F167" s="1295">
        <v>0.7855</v>
      </c>
      <c r="G167" s="1295">
        <v>0.7855</v>
      </c>
      <c r="H167" s="1295">
        <v>0.7855</v>
      </c>
      <c r="I167" s="1295">
        <v>0.6948</v>
      </c>
      <c r="J167" s="1295">
        <v>0.6948</v>
      </c>
      <c r="K167" s="1295">
        <v>0.6948</v>
      </c>
      <c r="L167" s="1295">
        <v>0.6948</v>
      </c>
      <c r="M167" s="1295">
        <v>0.6948</v>
      </c>
    </row>
    <row r="168" spans="1:13">
      <c r="A168" s="1292">
        <v>6.4</v>
      </c>
      <c r="B168" s="1295">
        <v>0.8819</v>
      </c>
      <c r="C168" s="1295">
        <v>0.8819</v>
      </c>
      <c r="D168" s="1295">
        <v>0.7834</v>
      </c>
      <c r="E168" s="1295">
        <v>0.7834</v>
      </c>
      <c r="F168" s="1295">
        <v>0.7834</v>
      </c>
      <c r="G168" s="1295">
        <v>0.7834</v>
      </c>
      <c r="H168" s="1295">
        <v>0.7834</v>
      </c>
      <c r="I168" s="1295">
        <v>0.6923</v>
      </c>
      <c r="J168" s="1295">
        <v>0.6923</v>
      </c>
      <c r="K168" s="1295">
        <v>0.6923</v>
      </c>
      <c r="L168" s="1295">
        <v>0.6923</v>
      </c>
      <c r="M168" s="1295">
        <v>0.6923</v>
      </c>
    </row>
    <row r="169" spans="1:13">
      <c r="A169" s="1292">
        <v>6.5</v>
      </c>
      <c r="B169" s="1295">
        <v>0.88</v>
      </c>
      <c r="C169" s="1295">
        <v>0.88</v>
      </c>
      <c r="D169" s="1295">
        <v>0.7814</v>
      </c>
      <c r="E169" s="1295">
        <v>0.7814</v>
      </c>
      <c r="F169" s="1295">
        <v>0.7814</v>
      </c>
      <c r="G169" s="1295">
        <v>0.7814</v>
      </c>
      <c r="H169" s="1295">
        <v>0.7814</v>
      </c>
      <c r="I169" s="1295">
        <v>0.6899</v>
      </c>
      <c r="J169" s="1295">
        <v>0.6899</v>
      </c>
      <c r="K169" s="1295">
        <v>0.6899</v>
      </c>
      <c r="L169" s="1295">
        <v>0.6899</v>
      </c>
      <c r="M169" s="1295">
        <v>0.6899</v>
      </c>
    </row>
    <row r="170" spans="1:13">
      <c r="A170" s="1292">
        <v>6.6</v>
      </c>
      <c r="B170" s="1295">
        <v>0.8781</v>
      </c>
      <c r="C170" s="1295">
        <v>0.8781</v>
      </c>
      <c r="D170" s="1295">
        <v>0.7795</v>
      </c>
      <c r="E170" s="1295">
        <v>0.7795</v>
      </c>
      <c r="F170" s="1295">
        <v>0.7795</v>
      </c>
      <c r="G170" s="1295">
        <v>0.7795</v>
      </c>
      <c r="H170" s="1295">
        <v>0.7795</v>
      </c>
      <c r="I170" s="1295">
        <v>0.6876</v>
      </c>
      <c r="J170" s="1295">
        <v>0.6876</v>
      </c>
      <c r="K170" s="1295">
        <v>0.6876</v>
      </c>
      <c r="L170" s="1295">
        <v>0.6876</v>
      </c>
      <c r="M170" s="1295">
        <v>0.6876</v>
      </c>
    </row>
    <row r="171" spans="1:13">
      <c r="A171" s="1292">
        <v>6.7</v>
      </c>
      <c r="B171" s="1295">
        <v>0.8763</v>
      </c>
      <c r="C171" s="1295">
        <v>0.8763</v>
      </c>
      <c r="D171" s="1295">
        <v>0.7776</v>
      </c>
      <c r="E171" s="1295">
        <v>0.7776</v>
      </c>
      <c r="F171" s="1295">
        <v>0.7776</v>
      </c>
      <c r="G171" s="1295">
        <v>0.7776</v>
      </c>
      <c r="H171" s="1295">
        <v>0.7776</v>
      </c>
      <c r="I171" s="1295">
        <v>0.6853</v>
      </c>
      <c r="J171" s="1295">
        <v>0.6853</v>
      </c>
      <c r="K171" s="1295">
        <v>0.6853</v>
      </c>
      <c r="L171" s="1295">
        <v>0.6853</v>
      </c>
      <c r="M171" s="1295">
        <v>0.6853</v>
      </c>
    </row>
    <row r="172" spans="1:13">
      <c r="A172" s="1292">
        <v>6.8</v>
      </c>
      <c r="B172" s="1295">
        <v>0.8745</v>
      </c>
      <c r="C172" s="1295">
        <v>0.8745</v>
      </c>
      <c r="D172" s="1295">
        <v>0.7757</v>
      </c>
      <c r="E172" s="1295">
        <v>0.7757</v>
      </c>
      <c r="F172" s="1295">
        <v>0.7757</v>
      </c>
      <c r="G172" s="1295">
        <v>0.7757</v>
      </c>
      <c r="H172" s="1295">
        <v>0.7757</v>
      </c>
      <c r="I172" s="1295">
        <v>0.6831</v>
      </c>
      <c r="J172" s="1295">
        <v>0.6831</v>
      </c>
      <c r="K172" s="1295">
        <v>0.6831</v>
      </c>
      <c r="L172" s="1295">
        <v>0.6831</v>
      </c>
      <c r="M172" s="1295">
        <v>0.6831</v>
      </c>
    </row>
    <row r="173" spans="1:13">
      <c r="A173" s="1292">
        <v>6.9</v>
      </c>
      <c r="B173" s="1295">
        <v>0.8728</v>
      </c>
      <c r="C173" s="1295">
        <v>0.8728</v>
      </c>
      <c r="D173" s="1295">
        <v>0.7739</v>
      </c>
      <c r="E173" s="1295">
        <v>0.7739</v>
      </c>
      <c r="F173" s="1295">
        <v>0.7739</v>
      </c>
      <c r="G173" s="1295">
        <v>0.7739</v>
      </c>
      <c r="H173" s="1295">
        <v>0.7739</v>
      </c>
      <c r="I173" s="1295">
        <v>0.6809</v>
      </c>
      <c r="J173" s="1295">
        <v>0.6809</v>
      </c>
      <c r="K173" s="1295">
        <v>0.6809</v>
      </c>
      <c r="L173" s="1295">
        <v>0.6809</v>
      </c>
      <c r="M173" s="1295">
        <v>0.6809</v>
      </c>
    </row>
    <row r="174" spans="1:13">
      <c r="A174" s="1292">
        <v>7</v>
      </c>
      <c r="B174" s="1295">
        <v>0.8711</v>
      </c>
      <c r="C174" s="1295">
        <v>0.8711</v>
      </c>
      <c r="D174" s="1295">
        <v>0.7721</v>
      </c>
      <c r="E174" s="1295">
        <v>0.7721</v>
      </c>
      <c r="F174" s="1295">
        <v>0.7721</v>
      </c>
      <c r="G174" s="1295">
        <v>0.7721</v>
      </c>
      <c r="H174" s="1295">
        <v>0.7721</v>
      </c>
      <c r="I174" s="1295">
        <v>0.6788</v>
      </c>
      <c r="J174" s="1295">
        <v>0.6788</v>
      </c>
      <c r="K174" s="1295">
        <v>0.6788</v>
      </c>
      <c r="L174" s="1295">
        <v>0.6788</v>
      </c>
      <c r="M174" s="1295">
        <v>0.6788</v>
      </c>
    </row>
    <row r="175" spans="1:13">
      <c r="A175" s="1292">
        <v>7.1</v>
      </c>
      <c r="B175" s="1295">
        <v>0.8694</v>
      </c>
      <c r="C175" s="1295">
        <v>0.8694</v>
      </c>
      <c r="D175" s="1295">
        <v>0.7704</v>
      </c>
      <c r="E175" s="1295">
        <v>0.7704</v>
      </c>
      <c r="F175" s="1295">
        <v>0.7704</v>
      </c>
      <c r="G175" s="1295">
        <v>0.7704</v>
      </c>
      <c r="H175" s="1295">
        <v>0.7704</v>
      </c>
      <c r="I175" s="1295">
        <v>0.6767</v>
      </c>
      <c r="J175" s="1295">
        <v>0.6767</v>
      </c>
      <c r="K175" s="1295">
        <v>0.6767</v>
      </c>
      <c r="L175" s="1295">
        <v>0.6767</v>
      </c>
      <c r="M175" s="1295">
        <v>0.6767</v>
      </c>
    </row>
    <row r="176" spans="1:13">
      <c r="A176" s="1292">
        <v>7.2</v>
      </c>
      <c r="B176" s="1295">
        <v>0.8677</v>
      </c>
      <c r="C176" s="1295">
        <v>0.8677</v>
      </c>
      <c r="D176" s="1295">
        <v>0.7687</v>
      </c>
      <c r="E176" s="1295">
        <v>0.7687</v>
      </c>
      <c r="F176" s="1295">
        <v>0.7687</v>
      </c>
      <c r="G176" s="1295">
        <v>0.7687</v>
      </c>
      <c r="H176" s="1295">
        <v>0.7687</v>
      </c>
      <c r="I176" s="1295">
        <v>0.6747</v>
      </c>
      <c r="J176" s="1295">
        <v>0.6747</v>
      </c>
      <c r="K176" s="1295">
        <v>0.6747</v>
      </c>
      <c r="L176" s="1295">
        <v>0.6747</v>
      </c>
      <c r="M176" s="1295">
        <v>0.6747</v>
      </c>
    </row>
    <row r="177" spans="1:13">
      <c r="A177" s="1292">
        <v>7.3</v>
      </c>
      <c r="B177" s="1295">
        <v>0.8661</v>
      </c>
      <c r="C177" s="1295">
        <v>0.8661</v>
      </c>
      <c r="D177" s="1295">
        <v>0.767</v>
      </c>
      <c r="E177" s="1295">
        <v>0.767</v>
      </c>
      <c r="F177" s="1295">
        <v>0.767</v>
      </c>
      <c r="G177" s="1295">
        <v>0.767</v>
      </c>
      <c r="H177" s="1295">
        <v>0.767</v>
      </c>
      <c r="I177" s="1295">
        <v>0.6727</v>
      </c>
      <c r="J177" s="1295">
        <v>0.6727</v>
      </c>
      <c r="K177" s="1295">
        <v>0.6727</v>
      </c>
      <c r="L177" s="1295">
        <v>0.6727</v>
      </c>
      <c r="M177" s="1295">
        <v>0.6727</v>
      </c>
    </row>
    <row r="178" spans="1:13">
      <c r="A178" s="1292">
        <v>7.4</v>
      </c>
      <c r="B178" s="1295">
        <v>0.8645</v>
      </c>
      <c r="C178" s="1295">
        <v>0.8645</v>
      </c>
      <c r="D178" s="1295">
        <v>0.7653</v>
      </c>
      <c r="E178" s="1295">
        <v>0.7653</v>
      </c>
      <c r="F178" s="1295">
        <v>0.7653</v>
      </c>
      <c r="G178" s="1295">
        <v>0.7653</v>
      </c>
      <c r="H178" s="1295">
        <v>0.7653</v>
      </c>
      <c r="I178" s="1295">
        <v>0.6708</v>
      </c>
      <c r="J178" s="1295">
        <v>0.6708</v>
      </c>
      <c r="K178" s="1295">
        <v>0.6708</v>
      </c>
      <c r="L178" s="1295">
        <v>0.6708</v>
      </c>
      <c r="M178" s="1295">
        <v>0.6708</v>
      </c>
    </row>
    <row r="179" spans="1:13">
      <c r="A179" s="1292">
        <v>7.5</v>
      </c>
      <c r="B179" s="1295">
        <v>0.863</v>
      </c>
      <c r="C179" s="1295">
        <v>0.863</v>
      </c>
      <c r="D179" s="1295">
        <v>0.7636</v>
      </c>
      <c r="E179" s="1295">
        <v>0.7636</v>
      </c>
      <c r="F179" s="1295">
        <v>0.7636</v>
      </c>
      <c r="G179" s="1295">
        <v>0.7636</v>
      </c>
      <c r="H179" s="1295">
        <v>0.7636</v>
      </c>
      <c r="I179" s="1295">
        <v>0.6689</v>
      </c>
      <c r="J179" s="1295">
        <v>0.6689</v>
      </c>
      <c r="K179" s="1295">
        <v>0.6689</v>
      </c>
      <c r="L179" s="1295">
        <v>0.6689</v>
      </c>
      <c r="M179" s="1295">
        <v>0.6689</v>
      </c>
    </row>
    <row r="180" spans="1:13">
      <c r="A180" s="1292">
        <v>7.6</v>
      </c>
      <c r="B180" s="1295">
        <v>0.8615</v>
      </c>
      <c r="C180" s="1295">
        <v>0.8615</v>
      </c>
      <c r="D180" s="1295">
        <v>0.762</v>
      </c>
      <c r="E180" s="1295">
        <v>0.762</v>
      </c>
      <c r="F180" s="1295">
        <v>0.762</v>
      </c>
      <c r="G180" s="1295">
        <v>0.762</v>
      </c>
      <c r="H180" s="1295">
        <v>0.762</v>
      </c>
      <c r="I180" s="1295">
        <v>0.667</v>
      </c>
      <c r="J180" s="1295">
        <v>0.667</v>
      </c>
      <c r="K180" s="1295">
        <v>0.667</v>
      </c>
      <c r="L180" s="1295">
        <v>0.667</v>
      </c>
      <c r="M180" s="1295">
        <v>0.667</v>
      </c>
    </row>
    <row r="181" spans="1:13">
      <c r="A181" s="1292">
        <v>7.7</v>
      </c>
      <c r="B181" s="1295">
        <v>0.86</v>
      </c>
      <c r="C181" s="1295">
        <v>0.86</v>
      </c>
      <c r="D181" s="1295">
        <v>0.7604</v>
      </c>
      <c r="E181" s="1295">
        <v>0.7604</v>
      </c>
      <c r="F181" s="1295">
        <v>0.7604</v>
      </c>
      <c r="G181" s="1295">
        <v>0.7604</v>
      </c>
      <c r="H181" s="1295">
        <v>0.7604</v>
      </c>
      <c r="I181" s="1295">
        <v>0.6651</v>
      </c>
      <c r="J181" s="1295">
        <v>0.6651</v>
      </c>
      <c r="K181" s="1295">
        <v>0.6651</v>
      </c>
      <c r="L181" s="1295">
        <v>0.6651</v>
      </c>
      <c r="M181" s="1295">
        <v>0.6651</v>
      </c>
    </row>
    <row r="182" spans="1:13">
      <c r="A182" s="1292">
        <v>7.8</v>
      </c>
      <c r="B182" s="1295">
        <v>0.8585</v>
      </c>
      <c r="C182" s="1295">
        <v>0.8585</v>
      </c>
      <c r="D182" s="1295">
        <v>0.7588</v>
      </c>
      <c r="E182" s="1295">
        <v>0.7588</v>
      </c>
      <c r="F182" s="1295">
        <v>0.7588</v>
      </c>
      <c r="G182" s="1295">
        <v>0.7588</v>
      </c>
      <c r="H182" s="1295">
        <v>0.7588</v>
      </c>
      <c r="I182" s="1295">
        <v>0.6633</v>
      </c>
      <c r="J182" s="1295">
        <v>0.6633</v>
      </c>
      <c r="K182" s="1295">
        <v>0.6633</v>
      </c>
      <c r="L182" s="1295">
        <v>0.6633</v>
      </c>
      <c r="M182" s="1295">
        <v>0.6633</v>
      </c>
    </row>
    <row r="183" spans="1:13">
      <c r="A183" s="1292">
        <v>7.9</v>
      </c>
      <c r="B183" s="1295">
        <v>0.857</v>
      </c>
      <c r="C183" s="1295">
        <v>0.857</v>
      </c>
      <c r="D183" s="1295">
        <v>0.7572</v>
      </c>
      <c r="E183" s="1295">
        <v>0.7572</v>
      </c>
      <c r="F183" s="1295">
        <v>0.7572</v>
      </c>
      <c r="G183" s="1295">
        <v>0.7572</v>
      </c>
      <c r="H183" s="1295">
        <v>0.7572</v>
      </c>
      <c r="I183" s="1295">
        <v>0.6615</v>
      </c>
      <c r="J183" s="1295">
        <v>0.6615</v>
      </c>
      <c r="K183" s="1295">
        <v>0.6615</v>
      </c>
      <c r="L183" s="1295">
        <v>0.6615</v>
      </c>
      <c r="M183" s="1295">
        <v>0.6615</v>
      </c>
    </row>
    <row r="184" spans="1:13">
      <c r="A184" s="1292">
        <v>8</v>
      </c>
      <c r="B184" s="1295">
        <v>0.8555</v>
      </c>
      <c r="C184" s="1295">
        <v>0.8555</v>
      </c>
      <c r="D184" s="1295">
        <v>0.7557</v>
      </c>
      <c r="E184" s="1295">
        <v>0.7557</v>
      </c>
      <c r="F184" s="1295">
        <v>0.7557</v>
      </c>
      <c r="G184" s="1295">
        <v>0.7557</v>
      </c>
      <c r="H184" s="1295">
        <v>0.7557</v>
      </c>
      <c r="I184" s="1295">
        <v>0.6597</v>
      </c>
      <c r="J184" s="1295">
        <v>0.6597</v>
      </c>
      <c r="K184" s="1295">
        <v>0.6597</v>
      </c>
      <c r="L184" s="1295">
        <v>0.6597</v>
      </c>
      <c r="M184" s="1295">
        <v>0.6597</v>
      </c>
    </row>
    <row r="185" spans="1:13">
      <c r="A185" s="1292">
        <v>8.1</v>
      </c>
      <c r="B185" s="1295">
        <v>0.854</v>
      </c>
      <c r="C185" s="1295">
        <v>0.854</v>
      </c>
      <c r="D185" s="1295">
        <v>0.7542</v>
      </c>
      <c r="E185" s="1295">
        <v>0.7542</v>
      </c>
      <c r="F185" s="1295">
        <v>0.7542</v>
      </c>
      <c r="G185" s="1295">
        <v>0.7542</v>
      </c>
      <c r="H185" s="1295">
        <v>0.7542</v>
      </c>
      <c r="I185" s="1295">
        <v>0.658</v>
      </c>
      <c r="J185" s="1295">
        <v>0.658</v>
      </c>
      <c r="K185" s="1295">
        <v>0.658</v>
      </c>
      <c r="L185" s="1295">
        <v>0.658</v>
      </c>
      <c r="M185" s="1295">
        <v>0.658</v>
      </c>
    </row>
    <row r="186" spans="1:13">
      <c r="A186" s="1292">
        <v>8.2</v>
      </c>
      <c r="B186" s="1295">
        <v>0.8525</v>
      </c>
      <c r="C186" s="1295">
        <v>0.8525</v>
      </c>
      <c r="D186" s="1295">
        <v>0.7527</v>
      </c>
      <c r="E186" s="1295">
        <v>0.7527</v>
      </c>
      <c r="F186" s="1295">
        <v>0.7527</v>
      </c>
      <c r="G186" s="1295">
        <v>0.7527</v>
      </c>
      <c r="H186" s="1295">
        <v>0.7527</v>
      </c>
      <c r="I186" s="1295">
        <v>0.6563</v>
      </c>
      <c r="J186" s="1295">
        <v>0.6563</v>
      </c>
      <c r="K186" s="1295">
        <v>0.6563</v>
      </c>
      <c r="L186" s="1295">
        <v>0.6563</v>
      </c>
      <c r="M186" s="1295">
        <v>0.6563</v>
      </c>
    </row>
    <row r="187" spans="1:13">
      <c r="A187" s="1292">
        <v>8.3</v>
      </c>
      <c r="B187" s="1295">
        <v>0.8511</v>
      </c>
      <c r="C187" s="1295">
        <v>0.8511</v>
      </c>
      <c r="D187" s="1295">
        <v>0.7512</v>
      </c>
      <c r="E187" s="1295">
        <v>0.7512</v>
      </c>
      <c r="F187" s="1295">
        <v>0.7512</v>
      </c>
      <c r="G187" s="1295">
        <v>0.7512</v>
      </c>
      <c r="H187" s="1295">
        <v>0.7512</v>
      </c>
      <c r="I187" s="1295">
        <v>0.6546</v>
      </c>
      <c r="J187" s="1295">
        <v>0.6546</v>
      </c>
      <c r="K187" s="1295">
        <v>0.6546</v>
      </c>
      <c r="L187" s="1295">
        <v>0.6546</v>
      </c>
      <c r="M187" s="1295">
        <v>0.6546</v>
      </c>
    </row>
    <row r="188" spans="1:13">
      <c r="A188" s="1292">
        <v>8.4</v>
      </c>
      <c r="B188" s="1295">
        <v>0.8497</v>
      </c>
      <c r="C188" s="1295">
        <v>0.8497</v>
      </c>
      <c r="D188" s="1295">
        <v>0.7497</v>
      </c>
      <c r="E188" s="1295">
        <v>0.7497</v>
      </c>
      <c r="F188" s="1295">
        <v>0.7497</v>
      </c>
      <c r="G188" s="1295">
        <v>0.7497</v>
      </c>
      <c r="H188" s="1295">
        <v>0.7497</v>
      </c>
      <c r="I188" s="1295">
        <v>0.653</v>
      </c>
      <c r="J188" s="1295">
        <v>0.653</v>
      </c>
      <c r="K188" s="1295">
        <v>0.653</v>
      </c>
      <c r="L188" s="1295">
        <v>0.653</v>
      </c>
      <c r="M188" s="1295">
        <v>0.653</v>
      </c>
    </row>
    <row r="189" spans="1:13">
      <c r="A189" s="1292">
        <v>8.5</v>
      </c>
      <c r="B189" s="1295">
        <v>0.8483</v>
      </c>
      <c r="C189" s="1295">
        <v>0.8483</v>
      </c>
      <c r="D189" s="1295">
        <v>0.7482</v>
      </c>
      <c r="E189" s="1295">
        <v>0.7482</v>
      </c>
      <c r="F189" s="1295">
        <v>0.7482</v>
      </c>
      <c r="G189" s="1295">
        <v>0.7482</v>
      </c>
      <c r="H189" s="1295">
        <v>0.7482</v>
      </c>
      <c r="I189" s="1295">
        <v>0.6514</v>
      </c>
      <c r="J189" s="1295">
        <v>0.6514</v>
      </c>
      <c r="K189" s="1295">
        <v>0.6514</v>
      </c>
      <c r="L189" s="1295">
        <v>0.6514</v>
      </c>
      <c r="M189" s="1295">
        <v>0.6514</v>
      </c>
    </row>
    <row r="190" spans="1:13">
      <c r="A190" s="1292">
        <v>8.6</v>
      </c>
      <c r="B190" s="1295">
        <v>0.8469</v>
      </c>
      <c r="C190" s="1295">
        <v>0.8469</v>
      </c>
      <c r="D190" s="1295">
        <v>0.7467</v>
      </c>
      <c r="E190" s="1295">
        <v>0.7467</v>
      </c>
      <c r="F190" s="1295">
        <v>0.7467</v>
      </c>
      <c r="G190" s="1295">
        <v>0.7467</v>
      </c>
      <c r="H190" s="1295">
        <v>0.7467</v>
      </c>
      <c r="I190" s="1295">
        <v>0.6498</v>
      </c>
      <c r="J190" s="1295">
        <v>0.6498</v>
      </c>
      <c r="K190" s="1295">
        <v>0.6498</v>
      </c>
      <c r="L190" s="1295">
        <v>0.6498</v>
      </c>
      <c r="M190" s="1295">
        <v>0.6498</v>
      </c>
    </row>
    <row r="191" spans="1:13">
      <c r="A191" s="1292">
        <v>8.7</v>
      </c>
      <c r="B191" s="1295">
        <v>0.8455</v>
      </c>
      <c r="C191" s="1295">
        <v>0.8455</v>
      </c>
      <c r="D191" s="1295">
        <v>0.7452</v>
      </c>
      <c r="E191" s="1295">
        <v>0.7452</v>
      </c>
      <c r="F191" s="1295">
        <v>0.7452</v>
      </c>
      <c r="G191" s="1295">
        <v>0.7452</v>
      </c>
      <c r="H191" s="1295">
        <v>0.7452</v>
      </c>
      <c r="I191" s="1295">
        <v>0.6482</v>
      </c>
      <c r="J191" s="1295">
        <v>0.6482</v>
      </c>
      <c r="K191" s="1295">
        <v>0.6482</v>
      </c>
      <c r="L191" s="1295">
        <v>0.6482</v>
      </c>
      <c r="M191" s="1295">
        <v>0.6482</v>
      </c>
    </row>
    <row r="192" spans="1:13">
      <c r="A192" s="1292">
        <v>8.8</v>
      </c>
      <c r="B192" s="1295">
        <v>0.8441</v>
      </c>
      <c r="C192" s="1295">
        <v>0.8441</v>
      </c>
      <c r="D192" s="1295">
        <v>0.7437</v>
      </c>
      <c r="E192" s="1295">
        <v>0.7437</v>
      </c>
      <c r="F192" s="1295">
        <v>0.7437</v>
      </c>
      <c r="G192" s="1295">
        <v>0.7437</v>
      </c>
      <c r="H192" s="1295">
        <v>0.7437</v>
      </c>
      <c r="I192" s="1295">
        <v>0.6466</v>
      </c>
      <c r="J192" s="1295">
        <v>0.6466</v>
      </c>
      <c r="K192" s="1295">
        <v>0.6466</v>
      </c>
      <c r="L192" s="1295">
        <v>0.6466</v>
      </c>
      <c r="M192" s="1295">
        <v>0.6466</v>
      </c>
    </row>
    <row r="193" spans="1:13">
      <c r="A193" s="1292">
        <v>8.9</v>
      </c>
      <c r="B193" s="1295">
        <v>0.8428</v>
      </c>
      <c r="C193" s="1295">
        <v>0.8428</v>
      </c>
      <c r="D193" s="1295">
        <v>0.7422</v>
      </c>
      <c r="E193" s="1295">
        <v>0.7422</v>
      </c>
      <c r="F193" s="1295">
        <v>0.7422</v>
      </c>
      <c r="G193" s="1295">
        <v>0.7422</v>
      </c>
      <c r="H193" s="1295">
        <v>0.7422</v>
      </c>
      <c r="I193" s="1295">
        <v>0.645</v>
      </c>
      <c r="J193" s="1295">
        <v>0.645</v>
      </c>
      <c r="K193" s="1295">
        <v>0.645</v>
      </c>
      <c r="L193" s="1295">
        <v>0.645</v>
      </c>
      <c r="M193" s="1295">
        <v>0.645</v>
      </c>
    </row>
    <row r="194" spans="1:13">
      <c r="A194" s="1296">
        <v>9</v>
      </c>
      <c r="B194" s="1295">
        <v>0.8415</v>
      </c>
      <c r="C194" s="1295">
        <v>0.8415</v>
      </c>
      <c r="D194" s="1295">
        <v>0.7407</v>
      </c>
      <c r="E194" s="1295">
        <v>0.7407</v>
      </c>
      <c r="F194" s="1295">
        <v>0.7407</v>
      </c>
      <c r="G194" s="1295">
        <v>0.7407</v>
      </c>
      <c r="H194" s="1295">
        <v>0.7407</v>
      </c>
      <c r="I194" s="1295">
        <v>0.6435</v>
      </c>
      <c r="J194" s="1295">
        <v>0.6435</v>
      </c>
      <c r="K194" s="1295">
        <v>0.6435</v>
      </c>
      <c r="L194" s="1295">
        <v>0.6435</v>
      </c>
      <c r="M194" s="1295">
        <v>0.6435</v>
      </c>
    </row>
    <row r="195" spans="1:13">
      <c r="A195" s="1296">
        <v>9.1</v>
      </c>
      <c r="B195" s="1295">
        <v>0.8402</v>
      </c>
      <c r="C195" s="1295">
        <v>0.8402</v>
      </c>
      <c r="D195" s="1295">
        <v>0.7392</v>
      </c>
      <c r="E195" s="1295">
        <v>0.7392</v>
      </c>
      <c r="F195" s="1295">
        <v>0.7392</v>
      </c>
      <c r="G195" s="1295">
        <v>0.7392</v>
      </c>
      <c r="H195" s="1295">
        <v>0.7392</v>
      </c>
      <c r="I195" s="1295">
        <v>0.642</v>
      </c>
      <c r="J195" s="1295">
        <v>0.642</v>
      </c>
      <c r="K195" s="1295">
        <v>0.642</v>
      </c>
      <c r="L195" s="1295">
        <v>0.642</v>
      </c>
      <c r="M195" s="1295">
        <v>0.642</v>
      </c>
    </row>
    <row r="196" spans="1:13">
      <c r="A196" s="1296">
        <v>9.2</v>
      </c>
      <c r="B196" s="1295">
        <v>0.8389</v>
      </c>
      <c r="C196" s="1295">
        <v>0.8389</v>
      </c>
      <c r="D196" s="1295">
        <v>0.7377</v>
      </c>
      <c r="E196" s="1295">
        <v>0.7377</v>
      </c>
      <c r="F196" s="1295">
        <v>0.7377</v>
      </c>
      <c r="G196" s="1295">
        <v>0.7377</v>
      </c>
      <c r="H196" s="1295">
        <v>0.7377</v>
      </c>
      <c r="I196" s="1295">
        <v>0.6406</v>
      </c>
      <c r="J196" s="1295">
        <v>0.6406</v>
      </c>
      <c r="K196" s="1295">
        <v>0.6406</v>
      </c>
      <c r="L196" s="1295">
        <v>0.6406</v>
      </c>
      <c r="M196" s="1295">
        <v>0.6406</v>
      </c>
    </row>
    <row r="197" spans="1:13">
      <c r="A197" s="1296">
        <v>9.3</v>
      </c>
      <c r="B197" s="1295">
        <v>0.8376</v>
      </c>
      <c r="C197" s="1295">
        <v>0.8376</v>
      </c>
      <c r="D197" s="1295">
        <v>0.7363</v>
      </c>
      <c r="E197" s="1295">
        <v>0.7363</v>
      </c>
      <c r="F197" s="1295">
        <v>0.7363</v>
      </c>
      <c r="G197" s="1295">
        <v>0.7363</v>
      </c>
      <c r="H197" s="1295">
        <v>0.7363</v>
      </c>
      <c r="I197" s="1295">
        <v>0.6392</v>
      </c>
      <c r="J197" s="1295">
        <v>0.6392</v>
      </c>
      <c r="K197" s="1295">
        <v>0.6392</v>
      </c>
      <c r="L197" s="1295">
        <v>0.6392</v>
      </c>
      <c r="M197" s="1295">
        <v>0.6392</v>
      </c>
    </row>
    <row r="198" spans="1:13">
      <c r="A198" s="1296">
        <v>9.4</v>
      </c>
      <c r="B198" s="1295">
        <v>0.8363</v>
      </c>
      <c r="C198" s="1295">
        <v>0.8363</v>
      </c>
      <c r="D198" s="1295">
        <v>0.7349</v>
      </c>
      <c r="E198" s="1295">
        <v>0.7349</v>
      </c>
      <c r="F198" s="1295">
        <v>0.7349</v>
      </c>
      <c r="G198" s="1295">
        <v>0.7349</v>
      </c>
      <c r="H198" s="1295">
        <v>0.7349</v>
      </c>
      <c r="I198" s="1295">
        <v>0.6378</v>
      </c>
      <c r="J198" s="1295">
        <v>0.6378</v>
      </c>
      <c r="K198" s="1295">
        <v>0.6378</v>
      </c>
      <c r="L198" s="1295">
        <v>0.6378</v>
      </c>
      <c r="M198" s="1295">
        <v>0.6378</v>
      </c>
    </row>
    <row r="199" spans="1:13">
      <c r="A199" s="1296">
        <v>9.5</v>
      </c>
      <c r="B199" s="1295">
        <v>0.835</v>
      </c>
      <c r="C199" s="1295">
        <v>0.835</v>
      </c>
      <c r="D199" s="1295">
        <v>0.7335</v>
      </c>
      <c r="E199" s="1295">
        <v>0.7335</v>
      </c>
      <c r="F199" s="1295">
        <v>0.7335</v>
      </c>
      <c r="G199" s="1295">
        <v>0.7335</v>
      </c>
      <c r="H199" s="1295">
        <v>0.7335</v>
      </c>
      <c r="I199" s="1295">
        <v>0.6364</v>
      </c>
      <c r="J199" s="1295">
        <v>0.6364</v>
      </c>
      <c r="K199" s="1295">
        <v>0.6364</v>
      </c>
      <c r="L199" s="1295">
        <v>0.6364</v>
      </c>
      <c r="M199" s="1295">
        <v>0.6364</v>
      </c>
    </row>
    <row r="200" spans="1:13">
      <c r="A200" s="1296">
        <v>9.6</v>
      </c>
      <c r="B200" s="1295">
        <v>0.8338</v>
      </c>
      <c r="C200" s="1295">
        <v>0.8338</v>
      </c>
      <c r="D200" s="1295">
        <v>0.7321</v>
      </c>
      <c r="E200" s="1295">
        <v>0.7321</v>
      </c>
      <c r="F200" s="1295">
        <v>0.7321</v>
      </c>
      <c r="G200" s="1295">
        <v>0.7321</v>
      </c>
      <c r="H200" s="1295">
        <v>0.7321</v>
      </c>
      <c r="I200" s="1295">
        <v>0.635</v>
      </c>
      <c r="J200" s="1295">
        <v>0.635</v>
      </c>
      <c r="K200" s="1295">
        <v>0.635</v>
      </c>
      <c r="L200" s="1295">
        <v>0.635</v>
      </c>
      <c r="M200" s="1295">
        <v>0.635</v>
      </c>
    </row>
    <row r="201" spans="1:13">
      <c r="A201" s="1296">
        <v>9.7</v>
      </c>
      <c r="B201" s="1295">
        <v>0.8326</v>
      </c>
      <c r="C201" s="1295">
        <v>0.8326</v>
      </c>
      <c r="D201" s="1295">
        <v>0.7307</v>
      </c>
      <c r="E201" s="1295">
        <v>0.7307</v>
      </c>
      <c r="F201" s="1295">
        <v>0.7307</v>
      </c>
      <c r="G201" s="1295">
        <v>0.7307</v>
      </c>
      <c r="H201" s="1295">
        <v>0.7307</v>
      </c>
      <c r="I201" s="1295">
        <v>0.6336</v>
      </c>
      <c r="J201" s="1295">
        <v>0.6336</v>
      </c>
      <c r="K201" s="1295">
        <v>0.6336</v>
      </c>
      <c r="L201" s="1295">
        <v>0.6336</v>
      </c>
      <c r="M201" s="1295">
        <v>0.6336</v>
      </c>
    </row>
    <row r="202" spans="1:13">
      <c r="A202" s="1296">
        <v>9.8</v>
      </c>
      <c r="B202" s="1295">
        <v>0.8314</v>
      </c>
      <c r="C202" s="1295">
        <v>0.8314</v>
      </c>
      <c r="D202" s="1295">
        <v>0.7293</v>
      </c>
      <c r="E202" s="1295">
        <v>0.7293</v>
      </c>
      <c r="F202" s="1295">
        <v>0.7293</v>
      </c>
      <c r="G202" s="1295">
        <v>0.7293</v>
      </c>
      <c r="H202" s="1295">
        <v>0.7293</v>
      </c>
      <c r="I202" s="1295">
        <v>0.6322</v>
      </c>
      <c r="J202" s="1295">
        <v>0.6322</v>
      </c>
      <c r="K202" s="1295">
        <v>0.6322</v>
      </c>
      <c r="L202" s="1295">
        <v>0.6322</v>
      </c>
      <c r="M202" s="1295">
        <v>0.6322</v>
      </c>
    </row>
    <row r="203" spans="1:13">
      <c r="A203" s="1296">
        <v>9.9</v>
      </c>
      <c r="B203" s="1295">
        <v>0.8302</v>
      </c>
      <c r="C203" s="1295">
        <v>0.8302</v>
      </c>
      <c r="D203" s="1295">
        <v>0.728</v>
      </c>
      <c r="E203" s="1295">
        <v>0.728</v>
      </c>
      <c r="F203" s="1295">
        <v>0.728</v>
      </c>
      <c r="G203" s="1295">
        <v>0.728</v>
      </c>
      <c r="H203" s="1295">
        <v>0.728</v>
      </c>
      <c r="I203" s="1295">
        <v>0.6308</v>
      </c>
      <c r="J203" s="1295">
        <v>0.6308</v>
      </c>
      <c r="K203" s="1295">
        <v>0.6308</v>
      </c>
      <c r="L203" s="1295">
        <v>0.6308</v>
      </c>
      <c r="M203" s="1295">
        <v>0.6308</v>
      </c>
    </row>
    <row r="204" spans="1:13">
      <c r="A204" s="1296">
        <v>10</v>
      </c>
      <c r="B204" s="1295">
        <v>0.829</v>
      </c>
      <c r="C204" s="1295">
        <v>0.829</v>
      </c>
      <c r="D204" s="1295">
        <v>0.7267</v>
      </c>
      <c r="E204" s="1295">
        <v>0.7267</v>
      </c>
      <c r="F204" s="1295">
        <v>0.7267</v>
      </c>
      <c r="G204" s="1295">
        <v>0.7267</v>
      </c>
      <c r="H204" s="1295">
        <v>0.7267</v>
      </c>
      <c r="I204" s="1295">
        <v>0.6294</v>
      </c>
      <c r="J204" s="1295">
        <v>0.6294</v>
      </c>
      <c r="K204" s="1295">
        <v>0.6294</v>
      </c>
      <c r="L204" s="1295">
        <v>0.6294</v>
      </c>
      <c r="M204" s="1295">
        <v>0.6294</v>
      </c>
    </row>
    <row r="205" ht="14.25" spans="1:13">
      <c r="A205" s="1290" t="s">
        <v>2127</v>
      </c>
      <c r="B205" s="1291"/>
      <c r="C205" s="1291"/>
      <c r="D205" s="1291"/>
      <c r="E205" s="1291"/>
      <c r="F205" s="1291"/>
      <c r="G205" s="1291"/>
      <c r="H205" s="1291"/>
      <c r="I205" s="1291"/>
      <c r="J205" s="1291"/>
      <c r="K205" s="1291"/>
      <c r="L205" s="1291"/>
      <c r="M205" s="1291"/>
    </row>
    <row r="206" spans="1:13">
      <c r="A206" s="1292" t="s">
        <v>105</v>
      </c>
      <c r="B206" s="1293" t="s">
        <v>240</v>
      </c>
      <c r="C206" s="1293" t="s">
        <v>253</v>
      </c>
      <c r="D206" s="1293" t="s">
        <v>265</v>
      </c>
      <c r="E206" s="1293" t="s">
        <v>275</v>
      </c>
      <c r="F206" s="1293" t="s">
        <v>284</v>
      </c>
      <c r="G206" s="1293" t="s">
        <v>292</v>
      </c>
      <c r="H206" s="1294" t="s">
        <v>297</v>
      </c>
      <c r="I206" s="1294" t="s">
        <v>302</v>
      </c>
      <c r="J206" s="1297" t="s">
        <v>305</v>
      </c>
      <c r="K206" s="1297" t="s">
        <v>308</v>
      </c>
      <c r="L206" s="1297" t="s">
        <v>311</v>
      </c>
      <c r="M206" s="1297" t="s">
        <v>314</v>
      </c>
    </row>
    <row r="207" spans="1:13">
      <c r="A207" s="1292">
        <v>0.1</v>
      </c>
      <c r="B207" s="1295">
        <v>12.172</v>
      </c>
      <c r="C207" s="1295">
        <v>12.172</v>
      </c>
      <c r="D207" s="1295">
        <v>12.376</v>
      </c>
      <c r="E207" s="1295">
        <v>12.376</v>
      </c>
      <c r="F207" s="1295">
        <v>12.376</v>
      </c>
      <c r="G207" s="1295">
        <v>12.376</v>
      </c>
      <c r="H207" s="1295">
        <v>12.376</v>
      </c>
      <c r="I207" s="1295">
        <v>11.072</v>
      </c>
      <c r="J207" s="1295">
        <v>11.072</v>
      </c>
      <c r="K207" s="1295">
        <v>11.072</v>
      </c>
      <c r="L207" s="1295">
        <v>11.072</v>
      </c>
      <c r="M207" s="1295">
        <v>11.072</v>
      </c>
    </row>
    <row r="208" spans="1:13">
      <c r="A208" s="1292">
        <v>0.2</v>
      </c>
      <c r="B208" s="1295">
        <v>6.086</v>
      </c>
      <c r="C208" s="1295">
        <v>6.086</v>
      </c>
      <c r="D208" s="1295">
        <v>6.188</v>
      </c>
      <c r="E208" s="1295">
        <v>6.188</v>
      </c>
      <c r="F208" s="1295">
        <v>6.188</v>
      </c>
      <c r="G208" s="1295">
        <v>6.188</v>
      </c>
      <c r="H208" s="1295">
        <v>6.188</v>
      </c>
      <c r="I208" s="1295">
        <v>5.536</v>
      </c>
      <c r="J208" s="1295">
        <v>5.536</v>
      </c>
      <c r="K208" s="1295">
        <v>5.536</v>
      </c>
      <c r="L208" s="1295">
        <v>5.536</v>
      </c>
      <c r="M208" s="1295">
        <v>5.536</v>
      </c>
    </row>
    <row r="209" spans="1:13">
      <c r="A209" s="1292">
        <v>0.3</v>
      </c>
      <c r="B209" s="1295">
        <v>4.0573</v>
      </c>
      <c r="C209" s="1295">
        <v>4.0573</v>
      </c>
      <c r="D209" s="1295">
        <v>4.1253</v>
      </c>
      <c r="E209" s="1295">
        <v>4.1253</v>
      </c>
      <c r="F209" s="1295">
        <v>4.1253</v>
      </c>
      <c r="G209" s="1295">
        <v>4.1253</v>
      </c>
      <c r="H209" s="1295">
        <v>4.1253</v>
      </c>
      <c r="I209" s="1295">
        <v>3.6907</v>
      </c>
      <c r="J209" s="1295">
        <v>3.6907</v>
      </c>
      <c r="K209" s="1295">
        <v>3.6907</v>
      </c>
      <c r="L209" s="1295">
        <v>3.6907</v>
      </c>
      <c r="M209" s="1295">
        <v>3.6907</v>
      </c>
    </row>
    <row r="210" spans="1:13">
      <c r="A210" s="1292">
        <v>0.4</v>
      </c>
      <c r="B210" s="1295">
        <v>3.043</v>
      </c>
      <c r="C210" s="1295">
        <v>3.043</v>
      </c>
      <c r="D210" s="1295">
        <v>3.094</v>
      </c>
      <c r="E210" s="1295">
        <v>3.094</v>
      </c>
      <c r="F210" s="1295">
        <v>3.094</v>
      </c>
      <c r="G210" s="1295">
        <v>3.094</v>
      </c>
      <c r="H210" s="1295">
        <v>3.094</v>
      </c>
      <c r="I210" s="1295">
        <v>2.768</v>
      </c>
      <c r="J210" s="1295">
        <v>2.768</v>
      </c>
      <c r="K210" s="1295">
        <v>2.768</v>
      </c>
      <c r="L210" s="1295">
        <v>2.768</v>
      </c>
      <c r="M210" s="1295">
        <v>2.768</v>
      </c>
    </row>
    <row r="211" spans="1:13">
      <c r="A211" s="1292">
        <v>0.5</v>
      </c>
      <c r="B211" s="1295">
        <v>2.4344</v>
      </c>
      <c r="C211" s="1295">
        <v>2.4344</v>
      </c>
      <c r="D211" s="1295">
        <v>2.4752</v>
      </c>
      <c r="E211" s="1295">
        <v>2.4752</v>
      </c>
      <c r="F211" s="1295">
        <v>2.4752</v>
      </c>
      <c r="G211" s="1295">
        <v>2.4752</v>
      </c>
      <c r="H211" s="1295">
        <v>2.4752</v>
      </c>
      <c r="I211" s="1295">
        <v>2.2144</v>
      </c>
      <c r="J211" s="1295">
        <v>2.2144</v>
      </c>
      <c r="K211" s="1295">
        <v>2.2144</v>
      </c>
      <c r="L211" s="1295">
        <v>2.2144</v>
      </c>
      <c r="M211" s="1295">
        <v>2.2144</v>
      </c>
    </row>
    <row r="212" spans="1:13">
      <c r="A212" s="1292">
        <v>0.6</v>
      </c>
      <c r="B212" s="1295">
        <v>2.0287</v>
      </c>
      <c r="C212" s="1295">
        <v>2.0287</v>
      </c>
      <c r="D212" s="1295">
        <v>2.0627</v>
      </c>
      <c r="E212" s="1295">
        <v>2.0627</v>
      </c>
      <c r="F212" s="1295">
        <v>2.0627</v>
      </c>
      <c r="G212" s="1295">
        <v>2.0627</v>
      </c>
      <c r="H212" s="1295">
        <v>2.0627</v>
      </c>
      <c r="I212" s="1295">
        <v>1.8453</v>
      </c>
      <c r="J212" s="1295">
        <v>1.8453</v>
      </c>
      <c r="K212" s="1295">
        <v>1.8453</v>
      </c>
      <c r="L212" s="1295">
        <v>1.8453</v>
      </c>
      <c r="M212" s="1295">
        <v>1.8453</v>
      </c>
    </row>
    <row r="213" spans="1:13">
      <c r="A213" s="1292">
        <v>0.7</v>
      </c>
      <c r="B213" s="1295">
        <v>1.7389</v>
      </c>
      <c r="C213" s="1295">
        <v>1.7389</v>
      </c>
      <c r="D213" s="1295">
        <v>1.768</v>
      </c>
      <c r="E213" s="1295">
        <v>1.768</v>
      </c>
      <c r="F213" s="1295">
        <v>1.768</v>
      </c>
      <c r="G213" s="1295">
        <v>1.768</v>
      </c>
      <c r="H213" s="1295">
        <v>1.768</v>
      </c>
      <c r="I213" s="1295">
        <v>1.5817</v>
      </c>
      <c r="J213" s="1295">
        <v>1.5817</v>
      </c>
      <c r="K213" s="1295">
        <v>1.5817</v>
      </c>
      <c r="L213" s="1295">
        <v>1.5817</v>
      </c>
      <c r="M213" s="1295">
        <v>1.5817</v>
      </c>
    </row>
    <row r="214" spans="1:13">
      <c r="A214" s="1292">
        <v>0.8</v>
      </c>
      <c r="B214" s="1295">
        <v>1.5215</v>
      </c>
      <c r="C214" s="1295">
        <v>1.5215</v>
      </c>
      <c r="D214" s="1295">
        <v>1.547</v>
      </c>
      <c r="E214" s="1295">
        <v>1.547</v>
      </c>
      <c r="F214" s="1295">
        <v>1.547</v>
      </c>
      <c r="G214" s="1295">
        <v>1.547</v>
      </c>
      <c r="H214" s="1295">
        <v>1.547</v>
      </c>
      <c r="I214" s="1295">
        <v>1.384</v>
      </c>
      <c r="J214" s="1295">
        <v>1.384</v>
      </c>
      <c r="K214" s="1295">
        <v>1.384</v>
      </c>
      <c r="L214" s="1295">
        <v>1.384</v>
      </c>
      <c r="M214" s="1295">
        <v>1.384</v>
      </c>
    </row>
    <row r="215" spans="1:13">
      <c r="A215" s="1292">
        <v>0.9</v>
      </c>
      <c r="B215" s="1295">
        <v>1.3524</v>
      </c>
      <c r="C215" s="1295">
        <v>1.3524</v>
      </c>
      <c r="D215" s="1295">
        <v>1.3751</v>
      </c>
      <c r="E215" s="1295">
        <v>1.3751</v>
      </c>
      <c r="F215" s="1295">
        <v>1.3751</v>
      </c>
      <c r="G215" s="1295">
        <v>1.3751</v>
      </c>
      <c r="H215" s="1295">
        <v>1.3751</v>
      </c>
      <c r="I215" s="1295">
        <v>1.2302</v>
      </c>
      <c r="J215" s="1295">
        <v>1.2302</v>
      </c>
      <c r="K215" s="1295">
        <v>1.2302</v>
      </c>
      <c r="L215" s="1295">
        <v>1.2302</v>
      </c>
      <c r="M215" s="1295">
        <v>1.2302</v>
      </c>
    </row>
    <row r="216" spans="1:13">
      <c r="A216" s="1292">
        <v>1</v>
      </c>
      <c r="B216" s="1295">
        <v>1.2172</v>
      </c>
      <c r="C216" s="1295">
        <v>1.2172</v>
      </c>
      <c r="D216" s="1295">
        <v>1.2376</v>
      </c>
      <c r="E216" s="1295">
        <v>1.2376</v>
      </c>
      <c r="F216" s="1295">
        <v>1.2376</v>
      </c>
      <c r="G216" s="1295">
        <v>1.2376</v>
      </c>
      <c r="H216" s="1295">
        <v>1.2376</v>
      </c>
      <c r="I216" s="1295">
        <v>1.1072</v>
      </c>
      <c r="J216" s="1295">
        <v>1.1072</v>
      </c>
      <c r="K216" s="1295">
        <v>1.1072</v>
      </c>
      <c r="L216" s="1295">
        <v>1.1072</v>
      </c>
      <c r="M216" s="1295">
        <v>1.1072</v>
      </c>
    </row>
    <row r="217" spans="1:13">
      <c r="A217" s="1292">
        <v>1.1</v>
      </c>
      <c r="B217" s="1295">
        <v>1.198</v>
      </c>
      <c r="C217" s="1295">
        <v>1.198</v>
      </c>
      <c r="D217" s="1295">
        <v>1.2156</v>
      </c>
      <c r="E217" s="1295">
        <v>1.2156</v>
      </c>
      <c r="F217" s="1295">
        <v>1.2156</v>
      </c>
      <c r="G217" s="1295">
        <v>1.2156</v>
      </c>
      <c r="H217" s="1295">
        <v>1.2156</v>
      </c>
      <c r="I217" s="1295">
        <v>1.0829</v>
      </c>
      <c r="J217" s="1295">
        <v>1.0829</v>
      </c>
      <c r="K217" s="1295">
        <v>1.0829</v>
      </c>
      <c r="L217" s="1295">
        <v>1.0829</v>
      </c>
      <c r="M217" s="1295">
        <v>1.0829</v>
      </c>
    </row>
    <row r="218" spans="1:13">
      <c r="A218" s="1292">
        <v>1.2</v>
      </c>
      <c r="B218" s="1295">
        <v>1.1795</v>
      </c>
      <c r="C218" s="1295">
        <v>1.1795</v>
      </c>
      <c r="D218" s="1295">
        <v>1.1947</v>
      </c>
      <c r="E218" s="1295">
        <v>1.1947</v>
      </c>
      <c r="F218" s="1295">
        <v>1.1947</v>
      </c>
      <c r="G218" s="1295">
        <v>1.1947</v>
      </c>
      <c r="H218" s="1295">
        <v>1.1947</v>
      </c>
      <c r="I218" s="1295">
        <v>1.0601</v>
      </c>
      <c r="J218" s="1295">
        <v>1.0601</v>
      </c>
      <c r="K218" s="1295">
        <v>1.0601</v>
      </c>
      <c r="L218" s="1295">
        <v>1.0601</v>
      </c>
      <c r="M218" s="1295">
        <v>1.0601</v>
      </c>
    </row>
    <row r="219" spans="1:13">
      <c r="A219" s="1292">
        <v>1.3</v>
      </c>
      <c r="B219" s="1295">
        <v>1.1618</v>
      </c>
      <c r="C219" s="1295">
        <v>1.1618</v>
      </c>
      <c r="D219" s="1295">
        <v>1.1748</v>
      </c>
      <c r="E219" s="1295">
        <v>1.1748</v>
      </c>
      <c r="F219" s="1295">
        <v>1.1748</v>
      </c>
      <c r="G219" s="1295">
        <v>1.1748</v>
      </c>
      <c r="H219" s="1295">
        <v>1.1748</v>
      </c>
      <c r="I219" s="1295">
        <v>1.0388</v>
      </c>
      <c r="J219" s="1295">
        <v>1.0388</v>
      </c>
      <c r="K219" s="1295">
        <v>1.0388</v>
      </c>
      <c r="L219" s="1295">
        <v>1.0388</v>
      </c>
      <c r="M219" s="1295">
        <v>1.0388</v>
      </c>
    </row>
    <row r="220" spans="1:13">
      <c r="A220" s="1292">
        <v>1.4</v>
      </c>
      <c r="B220" s="1295">
        <v>1.1448</v>
      </c>
      <c r="C220" s="1295">
        <v>1.1448</v>
      </c>
      <c r="D220" s="1295">
        <v>1.1558</v>
      </c>
      <c r="E220" s="1295">
        <v>1.1558</v>
      </c>
      <c r="F220" s="1295">
        <v>1.1558</v>
      </c>
      <c r="G220" s="1295">
        <v>1.1558</v>
      </c>
      <c r="H220" s="1295">
        <v>1.1558</v>
      </c>
      <c r="I220" s="1295">
        <v>1.0188</v>
      </c>
      <c r="J220" s="1295">
        <v>1.0188</v>
      </c>
      <c r="K220" s="1295">
        <v>1.0188</v>
      </c>
      <c r="L220" s="1295">
        <v>1.0188</v>
      </c>
      <c r="M220" s="1295">
        <v>1.0188</v>
      </c>
    </row>
    <row r="221" spans="1:13">
      <c r="A221" s="1292">
        <v>1.5</v>
      </c>
      <c r="B221" s="1295">
        <v>1.1285</v>
      </c>
      <c r="C221" s="1295">
        <v>1.1285</v>
      </c>
      <c r="D221" s="1295">
        <v>1.1378</v>
      </c>
      <c r="E221" s="1295">
        <v>1.1378</v>
      </c>
      <c r="F221" s="1295">
        <v>1.1378</v>
      </c>
      <c r="G221" s="1295">
        <v>1.1378</v>
      </c>
      <c r="H221" s="1295">
        <v>1.1378</v>
      </c>
      <c r="I221" s="1295">
        <v>1</v>
      </c>
      <c r="J221" s="1295">
        <v>1</v>
      </c>
      <c r="K221" s="1295">
        <v>1</v>
      </c>
      <c r="L221" s="1295">
        <v>1</v>
      </c>
      <c r="M221" s="1295">
        <v>1</v>
      </c>
    </row>
    <row r="222" spans="1:13">
      <c r="A222" s="1292">
        <v>1.6</v>
      </c>
      <c r="B222" s="1295">
        <v>1.1129</v>
      </c>
      <c r="C222" s="1295">
        <v>1.1129</v>
      </c>
      <c r="D222" s="1295">
        <v>1.1206</v>
      </c>
      <c r="E222" s="1295">
        <v>1.1206</v>
      </c>
      <c r="F222" s="1295">
        <v>1.1206</v>
      </c>
      <c r="G222" s="1295">
        <v>1.1206</v>
      </c>
      <c r="H222" s="1295">
        <v>1.1206</v>
      </c>
      <c r="I222" s="1295">
        <v>0.9824</v>
      </c>
      <c r="J222" s="1295">
        <v>0.9824</v>
      </c>
      <c r="K222" s="1295">
        <v>0.9824</v>
      </c>
      <c r="L222" s="1295">
        <v>0.9824</v>
      </c>
      <c r="M222" s="1295">
        <v>0.9824</v>
      </c>
    </row>
    <row r="223" spans="1:13">
      <c r="A223" s="1292">
        <v>1.7</v>
      </c>
      <c r="B223" s="1295">
        <v>1.098</v>
      </c>
      <c r="C223" s="1295">
        <v>1.098</v>
      </c>
      <c r="D223" s="1295">
        <v>1.1043</v>
      </c>
      <c r="E223" s="1295">
        <v>1.1043</v>
      </c>
      <c r="F223" s="1295">
        <v>1.1043</v>
      </c>
      <c r="G223" s="1295">
        <v>1.1043</v>
      </c>
      <c r="H223" s="1295">
        <v>1.1043</v>
      </c>
      <c r="I223" s="1295">
        <v>0.9658</v>
      </c>
      <c r="J223" s="1295">
        <v>0.9658</v>
      </c>
      <c r="K223" s="1295">
        <v>0.9658</v>
      </c>
      <c r="L223" s="1295">
        <v>0.9658</v>
      </c>
      <c r="M223" s="1295">
        <v>0.9658</v>
      </c>
    </row>
    <row r="224" spans="1:13">
      <c r="A224" s="1292">
        <v>1.8</v>
      </c>
      <c r="B224" s="1295">
        <v>1.0836</v>
      </c>
      <c r="C224" s="1295">
        <v>1.0836</v>
      </c>
      <c r="D224" s="1295">
        <v>1.0888</v>
      </c>
      <c r="E224" s="1295">
        <v>1.0888</v>
      </c>
      <c r="F224" s="1295">
        <v>1.0888</v>
      </c>
      <c r="G224" s="1295">
        <v>1.0888</v>
      </c>
      <c r="H224" s="1295">
        <v>1.0888</v>
      </c>
      <c r="I224" s="1295">
        <v>0.9503</v>
      </c>
      <c r="J224" s="1295">
        <v>0.9503</v>
      </c>
      <c r="K224" s="1295">
        <v>0.9503</v>
      </c>
      <c r="L224" s="1295">
        <v>0.9503</v>
      </c>
      <c r="M224" s="1295">
        <v>0.9503</v>
      </c>
    </row>
    <row r="225" spans="1:13">
      <c r="A225" s="1292">
        <v>1.9</v>
      </c>
      <c r="B225" s="1295">
        <v>1.0698</v>
      </c>
      <c r="C225" s="1295">
        <v>1.0698</v>
      </c>
      <c r="D225" s="1295">
        <v>1.0741</v>
      </c>
      <c r="E225" s="1295">
        <v>1.0741</v>
      </c>
      <c r="F225" s="1295">
        <v>1.0741</v>
      </c>
      <c r="G225" s="1295">
        <v>1.0741</v>
      </c>
      <c r="H225" s="1295">
        <v>1.0741</v>
      </c>
      <c r="I225" s="1295">
        <v>0.9361</v>
      </c>
      <c r="J225" s="1295">
        <v>0.9361</v>
      </c>
      <c r="K225" s="1295">
        <v>0.9361</v>
      </c>
      <c r="L225" s="1295">
        <v>0.9361</v>
      </c>
      <c r="M225" s="1295">
        <v>0.9361</v>
      </c>
    </row>
    <row r="226" spans="1:13">
      <c r="A226" s="1292">
        <v>2</v>
      </c>
      <c r="B226" s="1295">
        <v>1.0568</v>
      </c>
      <c r="C226" s="1295">
        <v>1.0568</v>
      </c>
      <c r="D226" s="1295">
        <v>1.0601</v>
      </c>
      <c r="E226" s="1295">
        <v>1.0601</v>
      </c>
      <c r="F226" s="1295">
        <v>1.0601</v>
      </c>
      <c r="G226" s="1295">
        <v>1.0601</v>
      </c>
      <c r="H226" s="1295">
        <v>1.0601</v>
      </c>
      <c r="I226" s="1295">
        <v>0.9224</v>
      </c>
      <c r="J226" s="1295">
        <v>0.9224</v>
      </c>
      <c r="K226" s="1295">
        <v>0.9224</v>
      </c>
      <c r="L226" s="1295">
        <v>0.9224</v>
      </c>
      <c r="M226" s="1295">
        <v>0.9224</v>
      </c>
    </row>
    <row r="227" spans="1:13">
      <c r="A227" s="1296">
        <v>2.1</v>
      </c>
      <c r="B227" s="1295">
        <v>1.0443</v>
      </c>
      <c r="C227" s="1295">
        <v>1.0443</v>
      </c>
      <c r="D227" s="1295">
        <v>1.0468</v>
      </c>
      <c r="E227" s="1295">
        <v>1.0468</v>
      </c>
      <c r="F227" s="1295">
        <v>1.0468</v>
      </c>
      <c r="G227" s="1295">
        <v>1.0468</v>
      </c>
      <c r="H227" s="1295">
        <v>1.0468</v>
      </c>
      <c r="I227" s="1295">
        <v>0.9096</v>
      </c>
      <c r="J227" s="1295">
        <v>0.9096</v>
      </c>
      <c r="K227" s="1295">
        <v>0.9096</v>
      </c>
      <c r="L227" s="1295">
        <v>0.9096</v>
      </c>
      <c r="M227" s="1295">
        <v>0.9096</v>
      </c>
    </row>
    <row r="228" spans="1:13">
      <c r="A228" s="1296">
        <v>2.2</v>
      </c>
      <c r="B228" s="1295">
        <v>1.0325</v>
      </c>
      <c r="C228" s="1295">
        <v>1.0325</v>
      </c>
      <c r="D228" s="1295">
        <v>1.0342</v>
      </c>
      <c r="E228" s="1295">
        <v>1.0342</v>
      </c>
      <c r="F228" s="1295">
        <v>1.0342</v>
      </c>
      <c r="G228" s="1295">
        <v>1.0342</v>
      </c>
      <c r="H228" s="1295">
        <v>1.0342</v>
      </c>
      <c r="I228" s="1295">
        <v>0.8975</v>
      </c>
      <c r="J228" s="1295">
        <v>0.8975</v>
      </c>
      <c r="K228" s="1295">
        <v>0.8975</v>
      </c>
      <c r="L228" s="1295">
        <v>0.8975</v>
      </c>
      <c r="M228" s="1295">
        <v>0.8975</v>
      </c>
    </row>
    <row r="229" spans="1:13">
      <c r="A229" s="1296">
        <v>2.3</v>
      </c>
      <c r="B229" s="1295">
        <v>1.021</v>
      </c>
      <c r="C229" s="1295">
        <v>1.021</v>
      </c>
      <c r="D229" s="1295">
        <v>1.0222</v>
      </c>
      <c r="E229" s="1295">
        <v>1.0222</v>
      </c>
      <c r="F229" s="1295">
        <v>1.0222</v>
      </c>
      <c r="G229" s="1295">
        <v>1.0222</v>
      </c>
      <c r="H229" s="1295">
        <v>1.0222</v>
      </c>
      <c r="I229" s="1295">
        <v>0.8862</v>
      </c>
      <c r="J229" s="1295">
        <v>0.8862</v>
      </c>
      <c r="K229" s="1295">
        <v>0.8862</v>
      </c>
      <c r="L229" s="1295">
        <v>0.8862</v>
      </c>
      <c r="M229" s="1295">
        <v>0.8862</v>
      </c>
    </row>
    <row r="230" spans="1:13">
      <c r="A230" s="1296">
        <v>2.4</v>
      </c>
      <c r="B230" s="1295">
        <v>1.0102</v>
      </c>
      <c r="C230" s="1295">
        <v>1.0102</v>
      </c>
      <c r="D230" s="1295">
        <v>1.0108</v>
      </c>
      <c r="E230" s="1295">
        <v>1.0108</v>
      </c>
      <c r="F230" s="1295">
        <v>1.0108</v>
      </c>
      <c r="G230" s="1295">
        <v>1.0108</v>
      </c>
      <c r="H230" s="1295">
        <v>1.0108</v>
      </c>
      <c r="I230" s="1295">
        <v>0.8753</v>
      </c>
      <c r="J230" s="1295">
        <v>0.8753</v>
      </c>
      <c r="K230" s="1295">
        <v>0.8753</v>
      </c>
      <c r="L230" s="1295">
        <v>0.8753</v>
      </c>
      <c r="M230" s="1295">
        <v>0.8753</v>
      </c>
    </row>
    <row r="231" spans="1:13">
      <c r="A231" s="1296">
        <v>2.5</v>
      </c>
      <c r="B231" s="1295">
        <v>1</v>
      </c>
      <c r="C231" s="1295">
        <v>1</v>
      </c>
      <c r="D231" s="1295">
        <v>1</v>
      </c>
      <c r="E231" s="1295">
        <v>1</v>
      </c>
      <c r="F231" s="1295">
        <v>1</v>
      </c>
      <c r="G231" s="1295">
        <v>1</v>
      </c>
      <c r="H231" s="1295">
        <v>1</v>
      </c>
      <c r="I231" s="1295">
        <v>0.8651</v>
      </c>
      <c r="J231" s="1295">
        <v>0.8651</v>
      </c>
      <c r="K231" s="1295">
        <v>0.8651</v>
      </c>
      <c r="L231" s="1295">
        <v>0.8651</v>
      </c>
      <c r="M231" s="1295">
        <v>0.8651</v>
      </c>
    </row>
    <row r="232" spans="1:13">
      <c r="A232" s="1296">
        <v>2.6</v>
      </c>
      <c r="B232" s="1295">
        <v>0.9903</v>
      </c>
      <c r="C232" s="1295">
        <v>0.9903</v>
      </c>
      <c r="D232" s="1295">
        <v>0.9897</v>
      </c>
      <c r="E232" s="1295">
        <v>0.9897</v>
      </c>
      <c r="F232" s="1295">
        <v>0.9897</v>
      </c>
      <c r="G232" s="1295">
        <v>0.9897</v>
      </c>
      <c r="H232" s="1295">
        <v>0.9897</v>
      </c>
      <c r="I232" s="1295">
        <v>0.8553</v>
      </c>
      <c r="J232" s="1295">
        <v>0.8553</v>
      </c>
      <c r="K232" s="1295">
        <v>0.8553</v>
      </c>
      <c r="L232" s="1295">
        <v>0.8553</v>
      </c>
      <c r="M232" s="1295">
        <v>0.8553</v>
      </c>
    </row>
    <row r="233" spans="1:13">
      <c r="A233" s="1296">
        <v>2.7</v>
      </c>
      <c r="B233" s="1295">
        <v>0.9811</v>
      </c>
      <c r="C233" s="1295">
        <v>0.9811</v>
      </c>
      <c r="D233" s="1295">
        <v>0.9799</v>
      </c>
      <c r="E233" s="1295">
        <v>0.9799</v>
      </c>
      <c r="F233" s="1295">
        <v>0.9799</v>
      </c>
      <c r="G233" s="1295">
        <v>0.9799</v>
      </c>
      <c r="H233" s="1295">
        <v>0.9799</v>
      </c>
      <c r="I233" s="1295">
        <v>0.846</v>
      </c>
      <c r="J233" s="1295">
        <v>0.846</v>
      </c>
      <c r="K233" s="1295">
        <v>0.846</v>
      </c>
      <c r="L233" s="1295">
        <v>0.846</v>
      </c>
      <c r="M233" s="1295">
        <v>0.846</v>
      </c>
    </row>
    <row r="234" spans="1:13">
      <c r="A234" s="1296">
        <v>2.8</v>
      </c>
      <c r="B234" s="1295">
        <v>0.9724</v>
      </c>
      <c r="C234" s="1295">
        <v>0.9724</v>
      </c>
      <c r="D234" s="1295">
        <v>0.9706</v>
      </c>
      <c r="E234" s="1295">
        <v>0.9706</v>
      </c>
      <c r="F234" s="1295">
        <v>0.9706</v>
      </c>
      <c r="G234" s="1295">
        <v>0.9706</v>
      </c>
      <c r="H234" s="1295">
        <v>0.9706</v>
      </c>
      <c r="I234" s="1295">
        <v>0.8371</v>
      </c>
      <c r="J234" s="1295">
        <v>0.8371</v>
      </c>
      <c r="K234" s="1295">
        <v>0.8371</v>
      </c>
      <c r="L234" s="1295">
        <v>0.8371</v>
      </c>
      <c r="M234" s="1295">
        <v>0.8371</v>
      </c>
    </row>
    <row r="235" spans="1:13">
      <c r="A235" s="1296">
        <v>2.9</v>
      </c>
      <c r="B235" s="1295">
        <v>0.9642</v>
      </c>
      <c r="C235" s="1295">
        <v>0.9642</v>
      </c>
      <c r="D235" s="1295">
        <v>0.9618</v>
      </c>
      <c r="E235" s="1295">
        <v>0.9618</v>
      </c>
      <c r="F235" s="1295">
        <v>0.9618</v>
      </c>
      <c r="G235" s="1295">
        <v>0.9618</v>
      </c>
      <c r="H235" s="1295">
        <v>0.9618</v>
      </c>
      <c r="I235" s="1295">
        <v>0.8285</v>
      </c>
      <c r="J235" s="1295">
        <v>0.8285</v>
      </c>
      <c r="K235" s="1295">
        <v>0.8285</v>
      </c>
      <c r="L235" s="1295">
        <v>0.8285</v>
      </c>
      <c r="M235" s="1295">
        <v>0.8285</v>
      </c>
    </row>
    <row r="236" spans="1:13">
      <c r="A236" s="1296">
        <v>3</v>
      </c>
      <c r="B236" s="1295">
        <v>0.9564</v>
      </c>
      <c r="C236" s="1295">
        <v>0.9564</v>
      </c>
      <c r="D236" s="1295">
        <v>0.9534</v>
      </c>
      <c r="E236" s="1295">
        <v>0.9534</v>
      </c>
      <c r="F236" s="1295">
        <v>0.9534</v>
      </c>
      <c r="G236" s="1295">
        <v>0.9534</v>
      </c>
      <c r="H236" s="1295">
        <v>0.9534</v>
      </c>
      <c r="I236" s="1295">
        <v>0.8204</v>
      </c>
      <c r="J236" s="1295">
        <v>0.8204</v>
      </c>
      <c r="K236" s="1295">
        <v>0.8204</v>
      </c>
      <c r="L236" s="1295">
        <v>0.8204</v>
      </c>
      <c r="M236" s="1295">
        <v>0.8204</v>
      </c>
    </row>
    <row r="237" spans="1:13">
      <c r="A237" s="1296">
        <v>3.1</v>
      </c>
      <c r="B237" s="1295">
        <v>0.949</v>
      </c>
      <c r="C237" s="1295">
        <v>0.949</v>
      </c>
      <c r="D237" s="1295">
        <v>0.9455</v>
      </c>
      <c r="E237" s="1295">
        <v>0.9455</v>
      </c>
      <c r="F237" s="1295">
        <v>0.9455</v>
      </c>
      <c r="G237" s="1295">
        <v>0.9455</v>
      </c>
      <c r="H237" s="1295">
        <v>0.9455</v>
      </c>
      <c r="I237" s="1295">
        <v>0.8126</v>
      </c>
      <c r="J237" s="1295">
        <v>0.8126</v>
      </c>
      <c r="K237" s="1295">
        <v>0.8126</v>
      </c>
      <c r="L237" s="1295">
        <v>0.8126</v>
      </c>
      <c r="M237" s="1295">
        <v>0.8126</v>
      </c>
    </row>
    <row r="238" spans="1:13">
      <c r="A238" s="1296">
        <v>3.2</v>
      </c>
      <c r="B238" s="1295">
        <v>0.942</v>
      </c>
      <c r="C238" s="1295">
        <v>0.942</v>
      </c>
      <c r="D238" s="1295">
        <v>0.9379</v>
      </c>
      <c r="E238" s="1295">
        <v>0.9379</v>
      </c>
      <c r="F238" s="1295">
        <v>0.9379</v>
      </c>
      <c r="G238" s="1295">
        <v>0.9379</v>
      </c>
      <c r="H238" s="1295">
        <v>0.9379</v>
      </c>
      <c r="I238" s="1295">
        <v>0.8053</v>
      </c>
      <c r="J238" s="1295">
        <v>0.8053</v>
      </c>
      <c r="K238" s="1295">
        <v>0.8053</v>
      </c>
      <c r="L238" s="1295">
        <v>0.8053</v>
      </c>
      <c r="M238" s="1295">
        <v>0.8053</v>
      </c>
    </row>
    <row r="239" spans="1:13">
      <c r="A239" s="1296">
        <v>3.3</v>
      </c>
      <c r="B239" s="1295">
        <v>0.9354</v>
      </c>
      <c r="C239" s="1295">
        <v>0.9354</v>
      </c>
      <c r="D239" s="1295">
        <v>0.9307</v>
      </c>
      <c r="E239" s="1295">
        <v>0.9307</v>
      </c>
      <c r="F239" s="1295">
        <v>0.9307</v>
      </c>
      <c r="G239" s="1295">
        <v>0.9307</v>
      </c>
      <c r="H239" s="1295">
        <v>0.9307</v>
      </c>
      <c r="I239" s="1295">
        <v>0.7982</v>
      </c>
      <c r="J239" s="1295">
        <v>0.7982</v>
      </c>
      <c r="K239" s="1295">
        <v>0.7982</v>
      </c>
      <c r="L239" s="1295">
        <v>0.7982</v>
      </c>
      <c r="M239" s="1295">
        <v>0.7982</v>
      </c>
    </row>
    <row r="240" spans="1:13">
      <c r="A240" s="1296">
        <v>3.4</v>
      </c>
      <c r="B240" s="1295">
        <v>0.9292</v>
      </c>
      <c r="C240" s="1295">
        <v>0.9292</v>
      </c>
      <c r="D240" s="1295">
        <v>0.9239</v>
      </c>
      <c r="E240" s="1295">
        <v>0.9239</v>
      </c>
      <c r="F240" s="1295">
        <v>0.9239</v>
      </c>
      <c r="G240" s="1295">
        <v>0.9239</v>
      </c>
      <c r="H240" s="1295">
        <v>0.9239</v>
      </c>
      <c r="I240" s="1295">
        <v>0.7914</v>
      </c>
      <c r="J240" s="1295">
        <v>0.7914</v>
      </c>
      <c r="K240" s="1295">
        <v>0.7914</v>
      </c>
      <c r="L240" s="1295">
        <v>0.7914</v>
      </c>
      <c r="M240" s="1295">
        <v>0.7914</v>
      </c>
    </row>
    <row r="241" spans="1:13">
      <c r="A241" s="1296">
        <v>3.5</v>
      </c>
      <c r="B241" s="1295">
        <v>0.9234</v>
      </c>
      <c r="C241" s="1295">
        <v>0.9234</v>
      </c>
      <c r="D241" s="1295">
        <v>0.9175</v>
      </c>
      <c r="E241" s="1295">
        <v>0.9175</v>
      </c>
      <c r="F241" s="1295">
        <v>0.9175</v>
      </c>
      <c r="G241" s="1295">
        <v>0.9175</v>
      </c>
      <c r="H241" s="1295">
        <v>0.9175</v>
      </c>
      <c r="I241" s="1295">
        <v>0.7849</v>
      </c>
      <c r="J241" s="1295">
        <v>0.7849</v>
      </c>
      <c r="K241" s="1295">
        <v>0.7849</v>
      </c>
      <c r="L241" s="1295">
        <v>0.7849</v>
      </c>
      <c r="M241" s="1295">
        <v>0.7849</v>
      </c>
    </row>
    <row r="242" spans="1:13">
      <c r="A242" s="1296">
        <v>3.6</v>
      </c>
      <c r="B242" s="1295">
        <v>0.9179</v>
      </c>
      <c r="C242" s="1295">
        <v>0.9179</v>
      </c>
      <c r="D242" s="1295">
        <v>0.9114</v>
      </c>
      <c r="E242" s="1295">
        <v>0.9114</v>
      </c>
      <c r="F242" s="1295">
        <v>0.9114</v>
      </c>
      <c r="G242" s="1295">
        <v>0.9114</v>
      </c>
      <c r="H242" s="1295">
        <v>0.9114</v>
      </c>
      <c r="I242" s="1295">
        <v>0.7788</v>
      </c>
      <c r="J242" s="1295">
        <v>0.7788</v>
      </c>
      <c r="K242" s="1295">
        <v>0.7788</v>
      </c>
      <c r="L242" s="1295">
        <v>0.7788</v>
      </c>
      <c r="M242" s="1295">
        <v>0.7788</v>
      </c>
    </row>
    <row r="243" spans="1:13">
      <c r="A243" s="1296">
        <v>3.7</v>
      </c>
      <c r="B243" s="1295">
        <v>0.9127</v>
      </c>
      <c r="C243" s="1295">
        <v>0.9127</v>
      </c>
      <c r="D243" s="1295">
        <v>0.9056</v>
      </c>
      <c r="E243" s="1295">
        <v>0.9056</v>
      </c>
      <c r="F243" s="1295">
        <v>0.9056</v>
      </c>
      <c r="G243" s="1295">
        <v>0.9056</v>
      </c>
      <c r="H243" s="1295">
        <v>0.9056</v>
      </c>
      <c r="I243" s="1295">
        <v>0.773</v>
      </c>
      <c r="J243" s="1295">
        <v>0.773</v>
      </c>
      <c r="K243" s="1295">
        <v>0.773</v>
      </c>
      <c r="L243" s="1295">
        <v>0.773</v>
      </c>
      <c r="M243" s="1295">
        <v>0.773</v>
      </c>
    </row>
    <row r="244" spans="1:13">
      <c r="A244" s="1296">
        <v>3.8</v>
      </c>
      <c r="B244" s="1295">
        <v>0.9078</v>
      </c>
      <c r="C244" s="1295">
        <v>0.9078</v>
      </c>
      <c r="D244" s="1295">
        <v>0.9001</v>
      </c>
      <c r="E244" s="1295">
        <v>0.9001</v>
      </c>
      <c r="F244" s="1295">
        <v>0.9001</v>
      </c>
      <c r="G244" s="1295">
        <v>0.9001</v>
      </c>
      <c r="H244" s="1295">
        <v>0.9001</v>
      </c>
      <c r="I244" s="1295">
        <v>0.7674</v>
      </c>
      <c r="J244" s="1295">
        <v>0.7674</v>
      </c>
      <c r="K244" s="1295">
        <v>0.7674</v>
      </c>
      <c r="L244" s="1295">
        <v>0.7674</v>
      </c>
      <c r="M244" s="1295">
        <v>0.7674</v>
      </c>
    </row>
    <row r="245" spans="1:13">
      <c r="A245" s="1296">
        <v>3.9</v>
      </c>
      <c r="B245" s="1295">
        <v>0.9032</v>
      </c>
      <c r="C245" s="1295">
        <v>0.9032</v>
      </c>
      <c r="D245" s="1295">
        <v>0.8949</v>
      </c>
      <c r="E245" s="1295">
        <v>0.8949</v>
      </c>
      <c r="F245" s="1295">
        <v>0.8949</v>
      </c>
      <c r="G245" s="1295">
        <v>0.8949</v>
      </c>
      <c r="H245" s="1295">
        <v>0.8949</v>
      </c>
      <c r="I245" s="1295">
        <v>0.7621</v>
      </c>
      <c r="J245" s="1295">
        <v>0.7621</v>
      </c>
      <c r="K245" s="1295">
        <v>0.7621</v>
      </c>
      <c r="L245" s="1295">
        <v>0.7621</v>
      </c>
      <c r="M245" s="1295">
        <v>0.7621</v>
      </c>
    </row>
    <row r="246" spans="1:13">
      <c r="A246" s="1296">
        <v>4</v>
      </c>
      <c r="B246" s="1295">
        <v>0.8989</v>
      </c>
      <c r="C246" s="1295">
        <v>0.8989</v>
      </c>
      <c r="D246" s="1295">
        <v>0.89</v>
      </c>
      <c r="E246" s="1295">
        <v>0.89</v>
      </c>
      <c r="F246" s="1295">
        <v>0.89</v>
      </c>
      <c r="G246" s="1295">
        <v>0.89</v>
      </c>
      <c r="H246" s="1295">
        <v>0.89</v>
      </c>
      <c r="I246" s="1295">
        <v>0.7571</v>
      </c>
      <c r="J246" s="1295">
        <v>0.7571</v>
      </c>
      <c r="K246" s="1295">
        <v>0.7571</v>
      </c>
      <c r="L246" s="1295">
        <v>0.7571</v>
      </c>
      <c r="M246" s="1295">
        <v>0.7571</v>
      </c>
    </row>
    <row r="247" spans="1:13">
      <c r="A247" s="1296">
        <v>4.1</v>
      </c>
      <c r="B247" s="1295">
        <v>0.8948</v>
      </c>
      <c r="C247" s="1295">
        <v>0.8948</v>
      </c>
      <c r="D247" s="1295">
        <v>0.8854</v>
      </c>
      <c r="E247" s="1295">
        <v>0.8854</v>
      </c>
      <c r="F247" s="1295">
        <v>0.8854</v>
      </c>
      <c r="G247" s="1295">
        <v>0.8854</v>
      </c>
      <c r="H247" s="1295">
        <v>0.8854</v>
      </c>
      <c r="I247" s="1295">
        <v>0.7523</v>
      </c>
      <c r="J247" s="1295">
        <v>0.7523</v>
      </c>
      <c r="K247" s="1295">
        <v>0.7523</v>
      </c>
      <c r="L247" s="1295">
        <v>0.7523</v>
      </c>
      <c r="M247" s="1295">
        <v>0.7523</v>
      </c>
    </row>
    <row r="248" spans="1:13">
      <c r="A248" s="1296">
        <v>4.2</v>
      </c>
      <c r="B248" s="1295">
        <v>0.891</v>
      </c>
      <c r="C248" s="1295">
        <v>0.891</v>
      </c>
      <c r="D248" s="1295">
        <v>0.8811</v>
      </c>
      <c r="E248" s="1295">
        <v>0.8811</v>
      </c>
      <c r="F248" s="1295">
        <v>0.8811</v>
      </c>
      <c r="G248" s="1295">
        <v>0.8811</v>
      </c>
      <c r="H248" s="1295">
        <v>0.8811</v>
      </c>
      <c r="I248" s="1295">
        <v>0.7478</v>
      </c>
      <c r="J248" s="1295">
        <v>0.7478</v>
      </c>
      <c r="K248" s="1295">
        <v>0.7478</v>
      </c>
      <c r="L248" s="1295">
        <v>0.7478</v>
      </c>
      <c r="M248" s="1295">
        <v>0.7478</v>
      </c>
    </row>
    <row r="249" spans="1:13">
      <c r="A249" s="1296">
        <v>4.3</v>
      </c>
      <c r="B249" s="1295">
        <v>0.8874</v>
      </c>
      <c r="C249" s="1295">
        <v>0.8874</v>
      </c>
      <c r="D249" s="1295">
        <v>0.877</v>
      </c>
      <c r="E249" s="1295">
        <v>0.877</v>
      </c>
      <c r="F249" s="1295">
        <v>0.877</v>
      </c>
      <c r="G249" s="1295">
        <v>0.877</v>
      </c>
      <c r="H249" s="1295">
        <v>0.877</v>
      </c>
      <c r="I249" s="1295">
        <v>0.7433</v>
      </c>
      <c r="J249" s="1295">
        <v>0.7433</v>
      </c>
      <c r="K249" s="1295">
        <v>0.7433</v>
      </c>
      <c r="L249" s="1295">
        <v>0.7433</v>
      </c>
      <c r="M249" s="1295">
        <v>0.7433</v>
      </c>
    </row>
    <row r="250" spans="1:13">
      <c r="A250" s="1296">
        <v>4.4</v>
      </c>
      <c r="B250" s="1295">
        <v>0.884</v>
      </c>
      <c r="C250" s="1295">
        <v>0.884</v>
      </c>
      <c r="D250" s="1295">
        <v>0.8731</v>
      </c>
      <c r="E250" s="1295">
        <v>0.8731</v>
      </c>
      <c r="F250" s="1295">
        <v>0.8731</v>
      </c>
      <c r="G250" s="1295">
        <v>0.8731</v>
      </c>
      <c r="H250" s="1295">
        <v>0.8731</v>
      </c>
      <c r="I250" s="1295">
        <v>0.7391</v>
      </c>
      <c r="J250" s="1295">
        <v>0.7391</v>
      </c>
      <c r="K250" s="1295">
        <v>0.7391</v>
      </c>
      <c r="L250" s="1295">
        <v>0.7391</v>
      </c>
      <c r="M250" s="1295">
        <v>0.7391</v>
      </c>
    </row>
    <row r="251" spans="1:13">
      <c r="A251" s="1296">
        <v>4.5</v>
      </c>
      <c r="B251" s="1295">
        <v>0.8808</v>
      </c>
      <c r="C251" s="1295">
        <v>0.8808</v>
      </c>
      <c r="D251" s="1295">
        <v>0.8694</v>
      </c>
      <c r="E251" s="1295">
        <v>0.8694</v>
      </c>
      <c r="F251" s="1295">
        <v>0.8694</v>
      </c>
      <c r="G251" s="1295">
        <v>0.8694</v>
      </c>
      <c r="H251" s="1295">
        <v>0.8694</v>
      </c>
      <c r="I251" s="1295">
        <v>0.735</v>
      </c>
      <c r="J251" s="1295">
        <v>0.735</v>
      </c>
      <c r="K251" s="1295">
        <v>0.735</v>
      </c>
      <c r="L251" s="1295">
        <v>0.735</v>
      </c>
      <c r="M251" s="1295">
        <v>0.735</v>
      </c>
    </row>
    <row r="252" spans="1:13">
      <c r="A252" s="1296">
        <v>4.6</v>
      </c>
      <c r="B252" s="1295">
        <v>0.8778</v>
      </c>
      <c r="C252" s="1295">
        <v>0.8778</v>
      </c>
      <c r="D252" s="1295">
        <v>0.8659</v>
      </c>
      <c r="E252" s="1295">
        <v>0.8659</v>
      </c>
      <c r="F252" s="1295">
        <v>0.8659</v>
      </c>
      <c r="G252" s="1295">
        <v>0.8659</v>
      </c>
      <c r="H252" s="1295">
        <v>0.8659</v>
      </c>
      <c r="I252" s="1295">
        <v>0.7311</v>
      </c>
      <c r="J252" s="1295">
        <v>0.7311</v>
      </c>
      <c r="K252" s="1295">
        <v>0.7311</v>
      </c>
      <c r="L252" s="1295">
        <v>0.7311</v>
      </c>
      <c r="M252" s="1295">
        <v>0.7311</v>
      </c>
    </row>
    <row r="253" spans="1:13">
      <c r="A253" s="1296">
        <v>4.7</v>
      </c>
      <c r="B253" s="1295">
        <v>0.875</v>
      </c>
      <c r="C253" s="1295">
        <v>0.875</v>
      </c>
      <c r="D253" s="1295">
        <v>0.8626</v>
      </c>
      <c r="E253" s="1295">
        <v>0.8626</v>
      </c>
      <c r="F253" s="1295">
        <v>0.8626</v>
      </c>
      <c r="G253" s="1295">
        <v>0.8626</v>
      </c>
      <c r="H253" s="1295">
        <v>0.8626</v>
      </c>
      <c r="I253" s="1295">
        <v>0.7275</v>
      </c>
      <c r="J253" s="1295">
        <v>0.7275</v>
      </c>
      <c r="K253" s="1295">
        <v>0.7275</v>
      </c>
      <c r="L253" s="1295">
        <v>0.7275</v>
      </c>
      <c r="M253" s="1295">
        <v>0.7275</v>
      </c>
    </row>
    <row r="254" spans="1:13">
      <c r="A254" s="1296">
        <v>4.8</v>
      </c>
      <c r="B254" s="1295">
        <v>0.8723</v>
      </c>
      <c r="C254" s="1295">
        <v>0.8723</v>
      </c>
      <c r="D254" s="1295">
        <v>0.8595</v>
      </c>
      <c r="E254" s="1295">
        <v>0.8595</v>
      </c>
      <c r="F254" s="1295">
        <v>0.8595</v>
      </c>
      <c r="G254" s="1295">
        <v>0.8595</v>
      </c>
      <c r="H254" s="1295">
        <v>0.8595</v>
      </c>
      <c r="I254" s="1295">
        <v>0.724</v>
      </c>
      <c r="J254" s="1295">
        <v>0.724</v>
      </c>
      <c r="K254" s="1295">
        <v>0.724</v>
      </c>
      <c r="L254" s="1295">
        <v>0.724</v>
      </c>
      <c r="M254" s="1295">
        <v>0.724</v>
      </c>
    </row>
    <row r="255" spans="1:13">
      <c r="A255" s="1296">
        <v>4.9</v>
      </c>
      <c r="B255" s="1295">
        <v>0.8698</v>
      </c>
      <c r="C255" s="1295">
        <v>0.8698</v>
      </c>
      <c r="D255" s="1295">
        <v>0.8566</v>
      </c>
      <c r="E255" s="1295">
        <v>0.8566</v>
      </c>
      <c r="F255" s="1295">
        <v>0.8566</v>
      </c>
      <c r="G255" s="1295">
        <v>0.8566</v>
      </c>
      <c r="H255" s="1295">
        <v>0.8566</v>
      </c>
      <c r="I255" s="1295">
        <v>0.7208</v>
      </c>
      <c r="J255" s="1295">
        <v>0.7208</v>
      </c>
      <c r="K255" s="1295">
        <v>0.7208</v>
      </c>
      <c r="L255" s="1295">
        <v>0.7208</v>
      </c>
      <c r="M255" s="1295">
        <v>0.7208</v>
      </c>
    </row>
    <row r="256" spans="1:13">
      <c r="A256" s="1296">
        <v>5</v>
      </c>
      <c r="B256" s="1295">
        <v>0.8674</v>
      </c>
      <c r="C256" s="1295">
        <v>0.8674</v>
      </c>
      <c r="D256" s="1295">
        <v>0.8538</v>
      </c>
      <c r="E256" s="1295">
        <v>0.8538</v>
      </c>
      <c r="F256" s="1295">
        <v>0.8538</v>
      </c>
      <c r="G256" s="1295">
        <v>0.8538</v>
      </c>
      <c r="H256" s="1295">
        <v>0.8538</v>
      </c>
      <c r="I256" s="1295">
        <v>0.7176</v>
      </c>
      <c r="J256" s="1295">
        <v>0.7176</v>
      </c>
      <c r="K256" s="1295">
        <v>0.7176</v>
      </c>
      <c r="L256" s="1295">
        <v>0.7176</v>
      </c>
      <c r="M256" s="1295">
        <v>0.7176</v>
      </c>
    </row>
    <row r="257" spans="1:13">
      <c r="A257" s="1292">
        <v>5.1</v>
      </c>
      <c r="B257" s="1295">
        <v>0.8652</v>
      </c>
      <c r="C257" s="1295">
        <v>0.8652</v>
      </c>
      <c r="D257" s="1295">
        <v>0.8511</v>
      </c>
      <c r="E257" s="1295">
        <v>0.8511</v>
      </c>
      <c r="F257" s="1295">
        <v>0.8511</v>
      </c>
      <c r="G257" s="1295">
        <v>0.8511</v>
      </c>
      <c r="H257" s="1295">
        <v>0.8511</v>
      </c>
      <c r="I257" s="1295">
        <v>0.7147</v>
      </c>
      <c r="J257" s="1295">
        <v>0.7147</v>
      </c>
      <c r="K257" s="1295">
        <v>0.7147</v>
      </c>
      <c r="L257" s="1295">
        <v>0.7147</v>
      </c>
      <c r="M257" s="1295">
        <v>0.7147</v>
      </c>
    </row>
    <row r="258" spans="1:13">
      <c r="A258" s="1292">
        <v>5.2</v>
      </c>
      <c r="B258" s="1295">
        <v>0.8631</v>
      </c>
      <c r="C258" s="1295">
        <v>0.8631</v>
      </c>
      <c r="D258" s="1295">
        <v>0.8486</v>
      </c>
      <c r="E258" s="1295">
        <v>0.8486</v>
      </c>
      <c r="F258" s="1295">
        <v>0.8486</v>
      </c>
      <c r="G258" s="1295">
        <v>0.8486</v>
      </c>
      <c r="H258" s="1295">
        <v>0.8486</v>
      </c>
      <c r="I258" s="1295">
        <v>0.7119</v>
      </c>
      <c r="J258" s="1295">
        <v>0.7119</v>
      </c>
      <c r="K258" s="1295">
        <v>0.7119</v>
      </c>
      <c r="L258" s="1295">
        <v>0.7119</v>
      </c>
      <c r="M258" s="1295">
        <v>0.7119</v>
      </c>
    </row>
    <row r="259" spans="1:13">
      <c r="A259" s="1292">
        <v>5.3</v>
      </c>
      <c r="B259" s="1295">
        <v>0.8612</v>
      </c>
      <c r="C259" s="1295">
        <v>0.8612</v>
      </c>
      <c r="D259" s="1295">
        <v>0.8462</v>
      </c>
      <c r="E259" s="1295">
        <v>0.8462</v>
      </c>
      <c r="F259" s="1295">
        <v>0.8462</v>
      </c>
      <c r="G259" s="1295">
        <v>0.8462</v>
      </c>
      <c r="H259" s="1295">
        <v>0.8462</v>
      </c>
      <c r="I259" s="1295">
        <v>0.7091</v>
      </c>
      <c r="J259" s="1295">
        <v>0.7091</v>
      </c>
      <c r="K259" s="1295">
        <v>0.7091</v>
      </c>
      <c r="L259" s="1295">
        <v>0.7091</v>
      </c>
      <c r="M259" s="1295">
        <v>0.7091</v>
      </c>
    </row>
    <row r="260" spans="1:13">
      <c r="A260" s="1292">
        <v>5.4</v>
      </c>
      <c r="B260" s="1295">
        <v>0.8594</v>
      </c>
      <c r="C260" s="1295">
        <v>0.8594</v>
      </c>
      <c r="D260" s="1295">
        <v>0.8439</v>
      </c>
      <c r="E260" s="1295">
        <v>0.8439</v>
      </c>
      <c r="F260" s="1295">
        <v>0.8439</v>
      </c>
      <c r="G260" s="1295">
        <v>0.8439</v>
      </c>
      <c r="H260" s="1295">
        <v>0.8439</v>
      </c>
      <c r="I260" s="1295">
        <v>0.7065</v>
      </c>
      <c r="J260" s="1295">
        <v>0.7065</v>
      </c>
      <c r="K260" s="1295">
        <v>0.7065</v>
      </c>
      <c r="L260" s="1295">
        <v>0.7065</v>
      </c>
      <c r="M260" s="1295">
        <v>0.7065</v>
      </c>
    </row>
    <row r="261" spans="1:13">
      <c r="A261" s="1292">
        <v>5.5</v>
      </c>
      <c r="B261" s="1295">
        <v>0.8577</v>
      </c>
      <c r="C261" s="1295">
        <v>0.8577</v>
      </c>
      <c r="D261" s="1295">
        <v>0.8418</v>
      </c>
      <c r="E261" s="1295">
        <v>0.8418</v>
      </c>
      <c r="F261" s="1295">
        <v>0.8418</v>
      </c>
      <c r="G261" s="1295">
        <v>0.8418</v>
      </c>
      <c r="H261" s="1295">
        <v>0.8418</v>
      </c>
      <c r="I261" s="1295">
        <v>0.704</v>
      </c>
      <c r="J261" s="1295">
        <v>0.704</v>
      </c>
      <c r="K261" s="1295">
        <v>0.704</v>
      </c>
      <c r="L261" s="1295">
        <v>0.704</v>
      </c>
      <c r="M261" s="1295">
        <v>0.704</v>
      </c>
    </row>
    <row r="262" spans="1:13">
      <c r="A262" s="1292">
        <v>5.6</v>
      </c>
      <c r="B262" s="1295">
        <v>0.856</v>
      </c>
      <c r="C262" s="1295">
        <v>0.856</v>
      </c>
      <c r="D262" s="1295">
        <v>0.8398</v>
      </c>
      <c r="E262" s="1295">
        <v>0.8398</v>
      </c>
      <c r="F262" s="1295">
        <v>0.8398</v>
      </c>
      <c r="G262" s="1295">
        <v>0.8398</v>
      </c>
      <c r="H262" s="1295">
        <v>0.8398</v>
      </c>
      <c r="I262" s="1295">
        <v>0.7016</v>
      </c>
      <c r="J262" s="1295">
        <v>0.7016</v>
      </c>
      <c r="K262" s="1295">
        <v>0.7016</v>
      </c>
      <c r="L262" s="1295">
        <v>0.7016</v>
      </c>
      <c r="M262" s="1295">
        <v>0.7016</v>
      </c>
    </row>
    <row r="263" spans="1:13">
      <c r="A263" s="1296">
        <v>5.7</v>
      </c>
      <c r="B263" s="1295">
        <v>0.8544</v>
      </c>
      <c r="C263" s="1295">
        <v>0.8544</v>
      </c>
      <c r="D263" s="1295">
        <v>0.8379</v>
      </c>
      <c r="E263" s="1295">
        <v>0.8379</v>
      </c>
      <c r="F263" s="1295">
        <v>0.8379</v>
      </c>
      <c r="G263" s="1295">
        <v>0.8379</v>
      </c>
      <c r="H263" s="1295">
        <v>0.8379</v>
      </c>
      <c r="I263" s="1295">
        <v>0.6994</v>
      </c>
      <c r="J263" s="1295">
        <v>0.6994</v>
      </c>
      <c r="K263" s="1295">
        <v>0.6994</v>
      </c>
      <c r="L263" s="1295">
        <v>0.6994</v>
      </c>
      <c r="M263" s="1295">
        <v>0.6994</v>
      </c>
    </row>
    <row r="264" spans="1:13">
      <c r="A264" s="1292">
        <v>5.8</v>
      </c>
      <c r="B264" s="1295">
        <v>0.8529</v>
      </c>
      <c r="C264" s="1295">
        <v>0.8529</v>
      </c>
      <c r="D264" s="1295">
        <v>0.836</v>
      </c>
      <c r="E264" s="1295">
        <v>0.836</v>
      </c>
      <c r="F264" s="1295">
        <v>0.836</v>
      </c>
      <c r="G264" s="1295">
        <v>0.836</v>
      </c>
      <c r="H264" s="1295">
        <v>0.836</v>
      </c>
      <c r="I264" s="1295">
        <v>0.6972</v>
      </c>
      <c r="J264" s="1295">
        <v>0.6972</v>
      </c>
      <c r="K264" s="1295">
        <v>0.6972</v>
      </c>
      <c r="L264" s="1295">
        <v>0.6972</v>
      </c>
      <c r="M264" s="1295">
        <v>0.6972</v>
      </c>
    </row>
    <row r="265" spans="1:13">
      <c r="A265" s="1292">
        <v>5.9</v>
      </c>
      <c r="B265" s="1295">
        <v>0.8515</v>
      </c>
      <c r="C265" s="1295">
        <v>0.8515</v>
      </c>
      <c r="D265" s="1295">
        <v>0.8343</v>
      </c>
      <c r="E265" s="1295">
        <v>0.8343</v>
      </c>
      <c r="F265" s="1295">
        <v>0.8343</v>
      </c>
      <c r="G265" s="1295">
        <v>0.8343</v>
      </c>
      <c r="H265" s="1295">
        <v>0.8343</v>
      </c>
      <c r="I265" s="1295">
        <v>0.6952</v>
      </c>
      <c r="J265" s="1295">
        <v>0.6952</v>
      </c>
      <c r="K265" s="1295">
        <v>0.6952</v>
      </c>
      <c r="L265" s="1295">
        <v>0.6952</v>
      </c>
      <c r="M265" s="1295">
        <v>0.6952</v>
      </c>
    </row>
    <row r="266" spans="1:13">
      <c r="A266" s="1292">
        <v>6</v>
      </c>
      <c r="B266" s="1295">
        <v>0.8502</v>
      </c>
      <c r="C266" s="1295">
        <v>0.8502</v>
      </c>
      <c r="D266" s="1295">
        <v>0.8327</v>
      </c>
      <c r="E266" s="1295">
        <v>0.8327</v>
      </c>
      <c r="F266" s="1295">
        <v>0.8327</v>
      </c>
      <c r="G266" s="1295">
        <v>0.8327</v>
      </c>
      <c r="H266" s="1295">
        <v>0.8327</v>
      </c>
      <c r="I266" s="1295">
        <v>0.6932</v>
      </c>
      <c r="J266" s="1295">
        <v>0.6932</v>
      </c>
      <c r="K266" s="1295">
        <v>0.6932</v>
      </c>
      <c r="L266" s="1295">
        <v>0.6932</v>
      </c>
      <c r="M266" s="1295">
        <v>0.6932</v>
      </c>
    </row>
    <row r="267" spans="1:13">
      <c r="A267" s="1292">
        <v>6.1</v>
      </c>
      <c r="B267" s="1295">
        <v>0.849</v>
      </c>
      <c r="C267" s="1295">
        <v>0.849</v>
      </c>
      <c r="D267" s="1295">
        <v>0.8311</v>
      </c>
      <c r="E267" s="1295">
        <v>0.8311</v>
      </c>
      <c r="F267" s="1295">
        <v>0.8311</v>
      </c>
      <c r="G267" s="1295">
        <v>0.8311</v>
      </c>
      <c r="H267" s="1295">
        <v>0.8311</v>
      </c>
      <c r="I267" s="1295">
        <v>0.6913</v>
      </c>
      <c r="J267" s="1295">
        <v>0.6913</v>
      </c>
      <c r="K267" s="1295">
        <v>0.6913</v>
      </c>
      <c r="L267" s="1295">
        <v>0.6913</v>
      </c>
      <c r="M267" s="1295">
        <v>0.6913</v>
      </c>
    </row>
    <row r="268" spans="1:13">
      <c r="A268" s="1292">
        <v>6.2</v>
      </c>
      <c r="B268" s="1295">
        <v>0.8478</v>
      </c>
      <c r="C268" s="1295">
        <v>0.8478</v>
      </c>
      <c r="D268" s="1295">
        <v>0.8296</v>
      </c>
      <c r="E268" s="1295">
        <v>0.8296</v>
      </c>
      <c r="F268" s="1295">
        <v>0.8296</v>
      </c>
      <c r="G268" s="1295">
        <v>0.8296</v>
      </c>
      <c r="H268" s="1295">
        <v>0.8296</v>
      </c>
      <c r="I268" s="1295">
        <v>0.6894</v>
      </c>
      <c r="J268" s="1295">
        <v>0.6894</v>
      </c>
      <c r="K268" s="1295">
        <v>0.6894</v>
      </c>
      <c r="L268" s="1295">
        <v>0.6894</v>
      </c>
      <c r="M268" s="1295">
        <v>0.6894</v>
      </c>
    </row>
    <row r="269" spans="1:13">
      <c r="A269" s="1292">
        <v>6.3</v>
      </c>
      <c r="B269" s="1295">
        <v>0.8467</v>
      </c>
      <c r="C269" s="1295">
        <v>0.8467</v>
      </c>
      <c r="D269" s="1295">
        <v>0.8282</v>
      </c>
      <c r="E269" s="1295">
        <v>0.8282</v>
      </c>
      <c r="F269" s="1295">
        <v>0.8282</v>
      </c>
      <c r="G269" s="1295">
        <v>0.8282</v>
      </c>
      <c r="H269" s="1295">
        <v>0.8282</v>
      </c>
      <c r="I269" s="1295">
        <v>0.6877</v>
      </c>
      <c r="J269" s="1295">
        <v>0.6877</v>
      </c>
      <c r="K269" s="1295">
        <v>0.6877</v>
      </c>
      <c r="L269" s="1295">
        <v>0.6877</v>
      </c>
      <c r="M269" s="1295">
        <v>0.6877</v>
      </c>
    </row>
    <row r="270" spans="1:13">
      <c r="A270" s="1292">
        <v>6.4</v>
      </c>
      <c r="B270" s="1295">
        <v>0.8457</v>
      </c>
      <c r="C270" s="1295">
        <v>0.8457</v>
      </c>
      <c r="D270" s="1295">
        <v>0.8269</v>
      </c>
      <c r="E270" s="1295">
        <v>0.8269</v>
      </c>
      <c r="F270" s="1295">
        <v>0.8269</v>
      </c>
      <c r="G270" s="1295">
        <v>0.8269</v>
      </c>
      <c r="H270" s="1295">
        <v>0.8269</v>
      </c>
      <c r="I270" s="1295">
        <v>0.6861</v>
      </c>
      <c r="J270" s="1295">
        <v>0.6861</v>
      </c>
      <c r="K270" s="1295">
        <v>0.6861</v>
      </c>
      <c r="L270" s="1295">
        <v>0.6861</v>
      </c>
      <c r="M270" s="1295">
        <v>0.6861</v>
      </c>
    </row>
    <row r="271" spans="1:13">
      <c r="A271" s="1292">
        <v>6.5</v>
      </c>
      <c r="B271" s="1295">
        <v>0.8447</v>
      </c>
      <c r="C271" s="1295">
        <v>0.8447</v>
      </c>
      <c r="D271" s="1295">
        <v>0.8257</v>
      </c>
      <c r="E271" s="1295">
        <v>0.8257</v>
      </c>
      <c r="F271" s="1295">
        <v>0.8257</v>
      </c>
      <c r="G271" s="1295">
        <v>0.8257</v>
      </c>
      <c r="H271" s="1295">
        <v>0.8257</v>
      </c>
      <c r="I271" s="1295">
        <v>0.6844</v>
      </c>
      <c r="J271" s="1295">
        <v>0.6844</v>
      </c>
      <c r="K271" s="1295">
        <v>0.6844</v>
      </c>
      <c r="L271" s="1295">
        <v>0.6844</v>
      </c>
      <c r="M271" s="1295">
        <v>0.6844</v>
      </c>
    </row>
    <row r="272" spans="1:13">
      <c r="A272" s="1292">
        <v>6.6</v>
      </c>
      <c r="B272" s="1295">
        <v>0.8437</v>
      </c>
      <c r="C272" s="1295">
        <v>0.8437</v>
      </c>
      <c r="D272" s="1295">
        <v>0.8245</v>
      </c>
      <c r="E272" s="1295">
        <v>0.8245</v>
      </c>
      <c r="F272" s="1295">
        <v>0.8245</v>
      </c>
      <c r="G272" s="1295">
        <v>0.8245</v>
      </c>
      <c r="H272" s="1295">
        <v>0.8245</v>
      </c>
      <c r="I272" s="1295">
        <v>0.6829</v>
      </c>
      <c r="J272" s="1295">
        <v>0.6829</v>
      </c>
      <c r="K272" s="1295">
        <v>0.6829</v>
      </c>
      <c r="L272" s="1295">
        <v>0.6829</v>
      </c>
      <c r="M272" s="1295">
        <v>0.6829</v>
      </c>
    </row>
    <row r="273" spans="1:13">
      <c r="A273" s="1292">
        <v>6.7</v>
      </c>
      <c r="B273" s="1295">
        <v>0.8427</v>
      </c>
      <c r="C273" s="1295">
        <v>0.8427</v>
      </c>
      <c r="D273" s="1295">
        <v>0.8233</v>
      </c>
      <c r="E273" s="1295">
        <v>0.8233</v>
      </c>
      <c r="F273" s="1295">
        <v>0.8233</v>
      </c>
      <c r="G273" s="1295">
        <v>0.8233</v>
      </c>
      <c r="H273" s="1295">
        <v>0.8233</v>
      </c>
      <c r="I273" s="1295">
        <v>0.6813</v>
      </c>
      <c r="J273" s="1295">
        <v>0.6813</v>
      </c>
      <c r="K273" s="1295">
        <v>0.6813</v>
      </c>
      <c r="L273" s="1295">
        <v>0.6813</v>
      </c>
      <c r="M273" s="1295">
        <v>0.6813</v>
      </c>
    </row>
    <row r="274" spans="1:13">
      <c r="A274" s="1292">
        <v>6.8</v>
      </c>
      <c r="B274" s="1295">
        <v>0.8418</v>
      </c>
      <c r="C274" s="1295">
        <v>0.8418</v>
      </c>
      <c r="D274" s="1295">
        <v>0.8221</v>
      </c>
      <c r="E274" s="1295">
        <v>0.8221</v>
      </c>
      <c r="F274" s="1295">
        <v>0.8221</v>
      </c>
      <c r="G274" s="1295">
        <v>0.8221</v>
      </c>
      <c r="H274" s="1295">
        <v>0.8221</v>
      </c>
      <c r="I274" s="1295">
        <v>0.6798</v>
      </c>
      <c r="J274" s="1295">
        <v>0.6798</v>
      </c>
      <c r="K274" s="1295">
        <v>0.6798</v>
      </c>
      <c r="L274" s="1295">
        <v>0.6798</v>
      </c>
      <c r="M274" s="1295">
        <v>0.6798</v>
      </c>
    </row>
    <row r="275" spans="1:13">
      <c r="A275" s="1292">
        <v>6.9</v>
      </c>
      <c r="B275" s="1295">
        <v>0.8409</v>
      </c>
      <c r="C275" s="1295">
        <v>0.8409</v>
      </c>
      <c r="D275" s="1295">
        <v>0.821</v>
      </c>
      <c r="E275" s="1295">
        <v>0.821</v>
      </c>
      <c r="F275" s="1295">
        <v>0.821</v>
      </c>
      <c r="G275" s="1295">
        <v>0.821</v>
      </c>
      <c r="H275" s="1295">
        <v>0.821</v>
      </c>
      <c r="I275" s="1295">
        <v>0.6785</v>
      </c>
      <c r="J275" s="1295">
        <v>0.6785</v>
      </c>
      <c r="K275" s="1295">
        <v>0.6785</v>
      </c>
      <c r="L275" s="1295">
        <v>0.6785</v>
      </c>
      <c r="M275" s="1295">
        <v>0.6785</v>
      </c>
    </row>
    <row r="276" spans="1:13">
      <c r="A276" s="1292">
        <v>7</v>
      </c>
      <c r="B276" s="1295">
        <v>0.8401</v>
      </c>
      <c r="C276" s="1295">
        <v>0.8401</v>
      </c>
      <c r="D276" s="1295">
        <v>0.8199</v>
      </c>
      <c r="E276" s="1295">
        <v>0.8199</v>
      </c>
      <c r="F276" s="1295">
        <v>0.8199</v>
      </c>
      <c r="G276" s="1295">
        <v>0.8199</v>
      </c>
      <c r="H276" s="1295">
        <v>0.8199</v>
      </c>
      <c r="I276" s="1295">
        <v>0.6772</v>
      </c>
      <c r="J276" s="1295">
        <v>0.6772</v>
      </c>
      <c r="K276" s="1295">
        <v>0.6772</v>
      </c>
      <c r="L276" s="1295">
        <v>0.6772</v>
      </c>
      <c r="M276" s="1295">
        <v>0.6772</v>
      </c>
    </row>
    <row r="277" spans="1:13">
      <c r="A277" s="1292">
        <v>7.1</v>
      </c>
      <c r="B277" s="1295">
        <v>0.8393</v>
      </c>
      <c r="C277" s="1295">
        <v>0.8393</v>
      </c>
      <c r="D277" s="1295">
        <v>0.8189</v>
      </c>
      <c r="E277" s="1295">
        <v>0.8189</v>
      </c>
      <c r="F277" s="1295">
        <v>0.8189</v>
      </c>
      <c r="G277" s="1295">
        <v>0.8189</v>
      </c>
      <c r="H277" s="1295">
        <v>0.8189</v>
      </c>
      <c r="I277" s="1295">
        <v>0.6759</v>
      </c>
      <c r="J277" s="1295">
        <v>0.6759</v>
      </c>
      <c r="K277" s="1295">
        <v>0.6759</v>
      </c>
      <c r="L277" s="1295">
        <v>0.6759</v>
      </c>
      <c r="M277" s="1295">
        <v>0.6759</v>
      </c>
    </row>
    <row r="278" spans="1:13">
      <c r="A278" s="1292">
        <v>7.2</v>
      </c>
      <c r="B278" s="1295">
        <v>0.8385</v>
      </c>
      <c r="C278" s="1295">
        <v>0.8385</v>
      </c>
      <c r="D278" s="1295">
        <v>0.8179</v>
      </c>
      <c r="E278" s="1295">
        <v>0.8179</v>
      </c>
      <c r="F278" s="1295">
        <v>0.8179</v>
      </c>
      <c r="G278" s="1295">
        <v>0.8179</v>
      </c>
      <c r="H278" s="1295">
        <v>0.8179</v>
      </c>
      <c r="I278" s="1295">
        <v>0.6746</v>
      </c>
      <c r="J278" s="1295">
        <v>0.6746</v>
      </c>
      <c r="K278" s="1295">
        <v>0.6746</v>
      </c>
      <c r="L278" s="1295">
        <v>0.6746</v>
      </c>
      <c r="M278" s="1295">
        <v>0.6746</v>
      </c>
    </row>
    <row r="279" spans="1:13">
      <c r="A279" s="1292">
        <v>7.3</v>
      </c>
      <c r="B279" s="1295">
        <v>0.8377</v>
      </c>
      <c r="C279" s="1295">
        <v>0.8377</v>
      </c>
      <c r="D279" s="1295">
        <v>0.8169</v>
      </c>
      <c r="E279" s="1295">
        <v>0.8169</v>
      </c>
      <c r="F279" s="1295">
        <v>0.8169</v>
      </c>
      <c r="G279" s="1295">
        <v>0.8169</v>
      </c>
      <c r="H279" s="1295">
        <v>0.8169</v>
      </c>
      <c r="I279" s="1295">
        <v>0.6734</v>
      </c>
      <c r="J279" s="1295">
        <v>0.6734</v>
      </c>
      <c r="K279" s="1295">
        <v>0.6734</v>
      </c>
      <c r="L279" s="1295">
        <v>0.6734</v>
      </c>
      <c r="M279" s="1295">
        <v>0.6734</v>
      </c>
    </row>
    <row r="280" spans="1:13">
      <c r="A280" s="1292">
        <v>7.4</v>
      </c>
      <c r="B280" s="1295">
        <v>0.837</v>
      </c>
      <c r="C280" s="1295">
        <v>0.837</v>
      </c>
      <c r="D280" s="1295">
        <v>0.816</v>
      </c>
      <c r="E280" s="1295">
        <v>0.816</v>
      </c>
      <c r="F280" s="1295">
        <v>0.816</v>
      </c>
      <c r="G280" s="1295">
        <v>0.816</v>
      </c>
      <c r="H280" s="1295">
        <v>0.816</v>
      </c>
      <c r="I280" s="1295">
        <v>0.6721</v>
      </c>
      <c r="J280" s="1295">
        <v>0.6721</v>
      </c>
      <c r="K280" s="1295">
        <v>0.6721</v>
      </c>
      <c r="L280" s="1295">
        <v>0.6721</v>
      </c>
      <c r="M280" s="1295">
        <v>0.6721</v>
      </c>
    </row>
    <row r="281" spans="1:13">
      <c r="A281" s="1292">
        <v>7.5</v>
      </c>
      <c r="B281" s="1295">
        <v>0.8363</v>
      </c>
      <c r="C281" s="1295">
        <v>0.8363</v>
      </c>
      <c r="D281" s="1295">
        <v>0.8151</v>
      </c>
      <c r="E281" s="1295">
        <v>0.8151</v>
      </c>
      <c r="F281" s="1295">
        <v>0.8151</v>
      </c>
      <c r="G281" s="1295">
        <v>0.8151</v>
      </c>
      <c r="H281" s="1295">
        <v>0.8151</v>
      </c>
      <c r="I281" s="1295">
        <v>0.6709</v>
      </c>
      <c r="J281" s="1295">
        <v>0.6709</v>
      </c>
      <c r="K281" s="1295">
        <v>0.6709</v>
      </c>
      <c r="L281" s="1295">
        <v>0.6709</v>
      </c>
      <c r="M281" s="1295">
        <v>0.6709</v>
      </c>
    </row>
    <row r="282" spans="1:13">
      <c r="A282" s="1292">
        <v>7.6</v>
      </c>
      <c r="B282" s="1295">
        <v>0.8356</v>
      </c>
      <c r="C282" s="1295">
        <v>0.8356</v>
      </c>
      <c r="D282" s="1295">
        <v>0.8142</v>
      </c>
      <c r="E282" s="1295">
        <v>0.8142</v>
      </c>
      <c r="F282" s="1295">
        <v>0.8142</v>
      </c>
      <c r="G282" s="1295">
        <v>0.8142</v>
      </c>
      <c r="H282" s="1295">
        <v>0.8142</v>
      </c>
      <c r="I282" s="1295">
        <v>0.6698</v>
      </c>
      <c r="J282" s="1295">
        <v>0.6698</v>
      </c>
      <c r="K282" s="1295">
        <v>0.6698</v>
      </c>
      <c r="L282" s="1295">
        <v>0.6698</v>
      </c>
      <c r="M282" s="1295">
        <v>0.6698</v>
      </c>
    </row>
    <row r="283" spans="1:13">
      <c r="A283" s="1292">
        <v>7.7</v>
      </c>
      <c r="B283" s="1295">
        <v>0.8349</v>
      </c>
      <c r="C283" s="1295">
        <v>0.8349</v>
      </c>
      <c r="D283" s="1295">
        <v>0.8133</v>
      </c>
      <c r="E283" s="1295">
        <v>0.8133</v>
      </c>
      <c r="F283" s="1295">
        <v>0.8133</v>
      </c>
      <c r="G283" s="1295">
        <v>0.8133</v>
      </c>
      <c r="H283" s="1295">
        <v>0.8133</v>
      </c>
      <c r="I283" s="1295">
        <v>0.6687</v>
      </c>
      <c r="J283" s="1295">
        <v>0.6687</v>
      </c>
      <c r="K283" s="1295">
        <v>0.6687</v>
      </c>
      <c r="L283" s="1295">
        <v>0.6687</v>
      </c>
      <c r="M283" s="1295">
        <v>0.6687</v>
      </c>
    </row>
    <row r="284" spans="1:13">
      <c r="A284" s="1292">
        <v>7.8</v>
      </c>
      <c r="B284" s="1295">
        <v>0.8342</v>
      </c>
      <c r="C284" s="1295">
        <v>0.8342</v>
      </c>
      <c r="D284" s="1295">
        <v>0.8124</v>
      </c>
      <c r="E284" s="1295">
        <v>0.8124</v>
      </c>
      <c r="F284" s="1295">
        <v>0.8124</v>
      </c>
      <c r="G284" s="1295">
        <v>0.8124</v>
      </c>
      <c r="H284" s="1295">
        <v>0.8124</v>
      </c>
      <c r="I284" s="1295">
        <v>0.6676</v>
      </c>
      <c r="J284" s="1295">
        <v>0.6676</v>
      </c>
      <c r="K284" s="1295">
        <v>0.6676</v>
      </c>
      <c r="L284" s="1295">
        <v>0.6676</v>
      </c>
      <c r="M284" s="1295">
        <v>0.6676</v>
      </c>
    </row>
    <row r="285" spans="1:13">
      <c r="A285" s="1292">
        <v>7.9</v>
      </c>
      <c r="B285" s="1295">
        <v>0.8335</v>
      </c>
      <c r="C285" s="1295">
        <v>0.8335</v>
      </c>
      <c r="D285" s="1295">
        <v>0.8116</v>
      </c>
      <c r="E285" s="1295">
        <v>0.8116</v>
      </c>
      <c r="F285" s="1295">
        <v>0.8116</v>
      </c>
      <c r="G285" s="1295">
        <v>0.8116</v>
      </c>
      <c r="H285" s="1295">
        <v>0.8116</v>
      </c>
      <c r="I285" s="1295">
        <v>0.6665</v>
      </c>
      <c r="J285" s="1295">
        <v>0.6665</v>
      </c>
      <c r="K285" s="1295">
        <v>0.6665</v>
      </c>
      <c r="L285" s="1295">
        <v>0.6665</v>
      </c>
      <c r="M285" s="1295">
        <v>0.6665</v>
      </c>
    </row>
    <row r="286" spans="1:13">
      <c r="A286" s="1292">
        <v>8</v>
      </c>
      <c r="B286" s="1295">
        <v>0.8328</v>
      </c>
      <c r="C286" s="1295">
        <v>0.8328</v>
      </c>
      <c r="D286" s="1295">
        <v>0.8108</v>
      </c>
      <c r="E286" s="1295">
        <v>0.8108</v>
      </c>
      <c r="F286" s="1295">
        <v>0.8108</v>
      </c>
      <c r="G286" s="1295">
        <v>0.8108</v>
      </c>
      <c r="H286" s="1295">
        <v>0.8108</v>
      </c>
      <c r="I286" s="1295">
        <v>0.6655</v>
      </c>
      <c r="J286" s="1295">
        <v>0.6655</v>
      </c>
      <c r="K286" s="1295">
        <v>0.6655</v>
      </c>
      <c r="L286" s="1295">
        <v>0.6655</v>
      </c>
      <c r="M286" s="1295">
        <v>0.6655</v>
      </c>
    </row>
    <row r="287" spans="1:13">
      <c r="A287" s="1292">
        <v>8.1</v>
      </c>
      <c r="B287" s="1295">
        <v>0.8322</v>
      </c>
      <c r="C287" s="1295">
        <v>0.8322</v>
      </c>
      <c r="D287" s="1295">
        <v>0.81</v>
      </c>
      <c r="E287" s="1295">
        <v>0.81</v>
      </c>
      <c r="F287" s="1295">
        <v>0.81</v>
      </c>
      <c r="G287" s="1295">
        <v>0.81</v>
      </c>
      <c r="H287" s="1295">
        <v>0.81</v>
      </c>
      <c r="I287" s="1295">
        <v>0.6644</v>
      </c>
      <c r="J287" s="1295">
        <v>0.6644</v>
      </c>
      <c r="K287" s="1295">
        <v>0.6644</v>
      </c>
      <c r="L287" s="1295">
        <v>0.6644</v>
      </c>
      <c r="M287" s="1295">
        <v>0.6644</v>
      </c>
    </row>
    <row r="288" spans="1:13">
      <c r="A288" s="1292">
        <v>8.2</v>
      </c>
      <c r="B288" s="1295">
        <v>0.8316</v>
      </c>
      <c r="C288" s="1295">
        <v>0.8316</v>
      </c>
      <c r="D288" s="1295">
        <v>0.8092</v>
      </c>
      <c r="E288" s="1295">
        <v>0.8092</v>
      </c>
      <c r="F288" s="1295">
        <v>0.8092</v>
      </c>
      <c r="G288" s="1295">
        <v>0.8092</v>
      </c>
      <c r="H288" s="1295">
        <v>0.8092</v>
      </c>
      <c r="I288" s="1295">
        <v>0.6634</v>
      </c>
      <c r="J288" s="1295">
        <v>0.6634</v>
      </c>
      <c r="K288" s="1295">
        <v>0.6634</v>
      </c>
      <c r="L288" s="1295">
        <v>0.6634</v>
      </c>
      <c r="M288" s="1295">
        <v>0.6634</v>
      </c>
    </row>
    <row r="289" spans="1:13">
      <c r="A289" s="1292">
        <v>8.3</v>
      </c>
      <c r="B289" s="1295">
        <v>0.831</v>
      </c>
      <c r="C289" s="1295">
        <v>0.831</v>
      </c>
      <c r="D289" s="1295">
        <v>0.8084</v>
      </c>
      <c r="E289" s="1295">
        <v>0.8084</v>
      </c>
      <c r="F289" s="1295">
        <v>0.8084</v>
      </c>
      <c r="G289" s="1295">
        <v>0.8084</v>
      </c>
      <c r="H289" s="1295">
        <v>0.8084</v>
      </c>
      <c r="I289" s="1295">
        <v>0.6624</v>
      </c>
      <c r="J289" s="1295">
        <v>0.6624</v>
      </c>
      <c r="K289" s="1295">
        <v>0.6624</v>
      </c>
      <c r="L289" s="1295">
        <v>0.6624</v>
      </c>
      <c r="M289" s="1295">
        <v>0.6624</v>
      </c>
    </row>
    <row r="290" spans="1:13">
      <c r="A290" s="1292">
        <v>8.4</v>
      </c>
      <c r="B290" s="1295">
        <v>0.8304</v>
      </c>
      <c r="C290" s="1295">
        <v>0.8304</v>
      </c>
      <c r="D290" s="1295">
        <v>0.8076</v>
      </c>
      <c r="E290" s="1295">
        <v>0.8076</v>
      </c>
      <c r="F290" s="1295">
        <v>0.8076</v>
      </c>
      <c r="G290" s="1295">
        <v>0.8076</v>
      </c>
      <c r="H290" s="1295">
        <v>0.8076</v>
      </c>
      <c r="I290" s="1295">
        <v>0.6614</v>
      </c>
      <c r="J290" s="1295">
        <v>0.6614</v>
      </c>
      <c r="K290" s="1295">
        <v>0.6614</v>
      </c>
      <c r="L290" s="1295">
        <v>0.6614</v>
      </c>
      <c r="M290" s="1295">
        <v>0.6614</v>
      </c>
    </row>
    <row r="291" spans="1:13">
      <c r="A291" s="1292">
        <v>8.5</v>
      </c>
      <c r="B291" s="1295">
        <v>0.8298</v>
      </c>
      <c r="C291" s="1295">
        <v>0.8298</v>
      </c>
      <c r="D291" s="1295">
        <v>0.8068</v>
      </c>
      <c r="E291" s="1295">
        <v>0.8068</v>
      </c>
      <c r="F291" s="1295">
        <v>0.8068</v>
      </c>
      <c r="G291" s="1295">
        <v>0.8068</v>
      </c>
      <c r="H291" s="1295">
        <v>0.8068</v>
      </c>
      <c r="I291" s="1295">
        <v>0.6605</v>
      </c>
      <c r="J291" s="1295">
        <v>0.6605</v>
      </c>
      <c r="K291" s="1295">
        <v>0.6605</v>
      </c>
      <c r="L291" s="1295">
        <v>0.6605</v>
      </c>
      <c r="M291" s="1295">
        <v>0.6605</v>
      </c>
    </row>
    <row r="292" spans="1:13">
      <c r="A292" s="1292">
        <v>8.6</v>
      </c>
      <c r="B292" s="1295">
        <v>0.8292</v>
      </c>
      <c r="C292" s="1295">
        <v>0.8292</v>
      </c>
      <c r="D292" s="1295">
        <v>0.806</v>
      </c>
      <c r="E292" s="1295">
        <v>0.806</v>
      </c>
      <c r="F292" s="1295">
        <v>0.806</v>
      </c>
      <c r="G292" s="1295">
        <v>0.806</v>
      </c>
      <c r="H292" s="1295">
        <v>0.806</v>
      </c>
      <c r="I292" s="1295">
        <v>0.6595</v>
      </c>
      <c r="J292" s="1295">
        <v>0.6595</v>
      </c>
      <c r="K292" s="1295">
        <v>0.6595</v>
      </c>
      <c r="L292" s="1295">
        <v>0.6595</v>
      </c>
      <c r="M292" s="1295">
        <v>0.6595</v>
      </c>
    </row>
    <row r="293" spans="1:13">
      <c r="A293" s="1292">
        <v>8.7</v>
      </c>
      <c r="B293" s="1295">
        <v>0.8286</v>
      </c>
      <c r="C293" s="1295">
        <v>0.8286</v>
      </c>
      <c r="D293" s="1295">
        <v>0.8052</v>
      </c>
      <c r="E293" s="1295">
        <v>0.8052</v>
      </c>
      <c r="F293" s="1295">
        <v>0.8052</v>
      </c>
      <c r="G293" s="1295">
        <v>0.8052</v>
      </c>
      <c r="H293" s="1295">
        <v>0.8052</v>
      </c>
      <c r="I293" s="1295">
        <v>0.6586</v>
      </c>
      <c r="J293" s="1295">
        <v>0.6586</v>
      </c>
      <c r="K293" s="1295">
        <v>0.6586</v>
      </c>
      <c r="L293" s="1295">
        <v>0.6586</v>
      </c>
      <c r="M293" s="1295">
        <v>0.6586</v>
      </c>
    </row>
    <row r="294" spans="1:13">
      <c r="A294" s="1292">
        <v>8.8</v>
      </c>
      <c r="B294" s="1295">
        <v>0.828</v>
      </c>
      <c r="C294" s="1295">
        <v>0.828</v>
      </c>
      <c r="D294" s="1295">
        <v>0.8044</v>
      </c>
      <c r="E294" s="1295">
        <v>0.8044</v>
      </c>
      <c r="F294" s="1295">
        <v>0.8044</v>
      </c>
      <c r="G294" s="1295">
        <v>0.8044</v>
      </c>
      <c r="H294" s="1295">
        <v>0.8044</v>
      </c>
      <c r="I294" s="1295">
        <v>0.6576</v>
      </c>
      <c r="J294" s="1295">
        <v>0.6576</v>
      </c>
      <c r="K294" s="1295">
        <v>0.6576</v>
      </c>
      <c r="L294" s="1295">
        <v>0.6576</v>
      </c>
      <c r="M294" s="1295">
        <v>0.6576</v>
      </c>
    </row>
    <row r="295" spans="1:13">
      <c r="A295" s="1292">
        <v>8.9</v>
      </c>
      <c r="B295" s="1295">
        <v>0.8274</v>
      </c>
      <c r="C295" s="1295">
        <v>0.8274</v>
      </c>
      <c r="D295" s="1295">
        <v>0.8036</v>
      </c>
      <c r="E295" s="1295">
        <v>0.8036</v>
      </c>
      <c r="F295" s="1295">
        <v>0.8036</v>
      </c>
      <c r="G295" s="1295">
        <v>0.8036</v>
      </c>
      <c r="H295" s="1295">
        <v>0.8036</v>
      </c>
      <c r="I295" s="1295">
        <v>0.6567</v>
      </c>
      <c r="J295" s="1295">
        <v>0.6567</v>
      </c>
      <c r="K295" s="1295">
        <v>0.6567</v>
      </c>
      <c r="L295" s="1295">
        <v>0.6567</v>
      </c>
      <c r="M295" s="1295">
        <v>0.6567</v>
      </c>
    </row>
    <row r="296" spans="1:13">
      <c r="A296" s="1296">
        <v>9</v>
      </c>
      <c r="B296" s="1295">
        <v>0.8268</v>
      </c>
      <c r="C296" s="1295">
        <v>0.8268</v>
      </c>
      <c r="D296" s="1295">
        <v>0.8028</v>
      </c>
      <c r="E296" s="1295">
        <v>0.8028</v>
      </c>
      <c r="F296" s="1295">
        <v>0.8028</v>
      </c>
      <c r="G296" s="1295">
        <v>0.8028</v>
      </c>
      <c r="H296" s="1295">
        <v>0.8028</v>
      </c>
      <c r="I296" s="1295">
        <v>0.6557</v>
      </c>
      <c r="J296" s="1295">
        <v>0.6557</v>
      </c>
      <c r="K296" s="1295">
        <v>0.6557</v>
      </c>
      <c r="L296" s="1295">
        <v>0.6557</v>
      </c>
      <c r="M296" s="1295">
        <v>0.6557</v>
      </c>
    </row>
    <row r="297" spans="1:13">
      <c r="A297" s="1296">
        <v>9.1</v>
      </c>
      <c r="B297" s="1295">
        <v>0.8262</v>
      </c>
      <c r="C297" s="1295">
        <v>0.8262</v>
      </c>
      <c r="D297" s="1295">
        <v>0.802</v>
      </c>
      <c r="E297" s="1295">
        <v>0.802</v>
      </c>
      <c r="F297" s="1295">
        <v>0.802</v>
      </c>
      <c r="G297" s="1295">
        <v>0.802</v>
      </c>
      <c r="H297" s="1295">
        <v>0.802</v>
      </c>
      <c r="I297" s="1295">
        <v>0.6548</v>
      </c>
      <c r="J297" s="1295">
        <v>0.6548</v>
      </c>
      <c r="K297" s="1295">
        <v>0.6548</v>
      </c>
      <c r="L297" s="1295">
        <v>0.6548</v>
      </c>
      <c r="M297" s="1295">
        <v>0.6548</v>
      </c>
    </row>
    <row r="298" spans="1:13">
      <c r="A298" s="1296">
        <v>9.2</v>
      </c>
      <c r="B298" s="1295">
        <v>0.8256</v>
      </c>
      <c r="C298" s="1295">
        <v>0.8256</v>
      </c>
      <c r="D298" s="1295">
        <v>0.8012</v>
      </c>
      <c r="E298" s="1295">
        <v>0.8012</v>
      </c>
      <c r="F298" s="1295">
        <v>0.8012</v>
      </c>
      <c r="G298" s="1295">
        <v>0.8012</v>
      </c>
      <c r="H298" s="1295">
        <v>0.8012</v>
      </c>
      <c r="I298" s="1295">
        <v>0.6538</v>
      </c>
      <c r="J298" s="1295">
        <v>0.6538</v>
      </c>
      <c r="K298" s="1295">
        <v>0.6538</v>
      </c>
      <c r="L298" s="1295">
        <v>0.6538</v>
      </c>
      <c r="M298" s="1295">
        <v>0.6538</v>
      </c>
    </row>
    <row r="299" spans="1:13">
      <c r="A299" s="1296">
        <v>9.3</v>
      </c>
      <c r="B299" s="1295">
        <v>0.825</v>
      </c>
      <c r="C299" s="1295">
        <v>0.825</v>
      </c>
      <c r="D299" s="1295">
        <v>0.8004</v>
      </c>
      <c r="E299" s="1295">
        <v>0.8004</v>
      </c>
      <c r="F299" s="1295">
        <v>0.8004</v>
      </c>
      <c r="G299" s="1295">
        <v>0.8004</v>
      </c>
      <c r="H299" s="1295">
        <v>0.8004</v>
      </c>
      <c r="I299" s="1295">
        <v>0.6529</v>
      </c>
      <c r="J299" s="1295">
        <v>0.6529</v>
      </c>
      <c r="K299" s="1295">
        <v>0.6529</v>
      </c>
      <c r="L299" s="1295">
        <v>0.6529</v>
      </c>
      <c r="M299" s="1295">
        <v>0.6529</v>
      </c>
    </row>
    <row r="300" spans="1:13">
      <c r="A300" s="1296">
        <v>9.4</v>
      </c>
      <c r="B300" s="1295">
        <v>0.8244</v>
      </c>
      <c r="C300" s="1295">
        <v>0.8244</v>
      </c>
      <c r="D300" s="1295">
        <v>0.7996</v>
      </c>
      <c r="E300" s="1295">
        <v>0.7996</v>
      </c>
      <c r="F300" s="1295">
        <v>0.7996</v>
      </c>
      <c r="G300" s="1295">
        <v>0.7996</v>
      </c>
      <c r="H300" s="1295">
        <v>0.7996</v>
      </c>
      <c r="I300" s="1295">
        <v>0.6519</v>
      </c>
      <c r="J300" s="1295">
        <v>0.6519</v>
      </c>
      <c r="K300" s="1295">
        <v>0.6519</v>
      </c>
      <c r="L300" s="1295">
        <v>0.6519</v>
      </c>
      <c r="M300" s="1295">
        <v>0.6519</v>
      </c>
    </row>
    <row r="301" spans="1:13">
      <c r="A301" s="1296">
        <v>9.5</v>
      </c>
      <c r="B301" s="1295">
        <v>0.8238</v>
      </c>
      <c r="C301" s="1295">
        <v>0.8238</v>
      </c>
      <c r="D301" s="1295">
        <v>0.7988</v>
      </c>
      <c r="E301" s="1295">
        <v>0.7988</v>
      </c>
      <c r="F301" s="1295">
        <v>0.7988</v>
      </c>
      <c r="G301" s="1295">
        <v>0.7988</v>
      </c>
      <c r="H301" s="1295">
        <v>0.7988</v>
      </c>
      <c r="I301" s="1295">
        <v>0.651</v>
      </c>
      <c r="J301" s="1295">
        <v>0.651</v>
      </c>
      <c r="K301" s="1295">
        <v>0.651</v>
      </c>
      <c r="L301" s="1295">
        <v>0.651</v>
      </c>
      <c r="M301" s="1295">
        <v>0.651</v>
      </c>
    </row>
    <row r="302" spans="1:13">
      <c r="A302" s="1296">
        <v>9.6</v>
      </c>
      <c r="B302" s="1295">
        <v>0.8232</v>
      </c>
      <c r="C302" s="1295">
        <v>0.8232</v>
      </c>
      <c r="D302" s="1295">
        <v>0.798</v>
      </c>
      <c r="E302" s="1295">
        <v>0.798</v>
      </c>
      <c r="F302" s="1295">
        <v>0.798</v>
      </c>
      <c r="G302" s="1295">
        <v>0.798</v>
      </c>
      <c r="H302" s="1295">
        <v>0.798</v>
      </c>
      <c r="I302" s="1295">
        <v>0.65</v>
      </c>
      <c r="J302" s="1295">
        <v>0.65</v>
      </c>
      <c r="K302" s="1295">
        <v>0.65</v>
      </c>
      <c r="L302" s="1295">
        <v>0.65</v>
      </c>
      <c r="M302" s="1295">
        <v>0.65</v>
      </c>
    </row>
    <row r="303" spans="1:13">
      <c r="A303" s="1296">
        <v>9.7</v>
      </c>
      <c r="B303" s="1295">
        <v>0.8226</v>
      </c>
      <c r="C303" s="1295">
        <v>0.8226</v>
      </c>
      <c r="D303" s="1295">
        <v>0.7972</v>
      </c>
      <c r="E303" s="1295">
        <v>0.7972</v>
      </c>
      <c r="F303" s="1295">
        <v>0.7972</v>
      </c>
      <c r="G303" s="1295">
        <v>0.7972</v>
      </c>
      <c r="H303" s="1295">
        <v>0.7972</v>
      </c>
      <c r="I303" s="1295">
        <v>0.649</v>
      </c>
      <c r="J303" s="1295">
        <v>0.649</v>
      </c>
      <c r="K303" s="1295">
        <v>0.649</v>
      </c>
      <c r="L303" s="1295">
        <v>0.649</v>
      </c>
      <c r="M303" s="1295">
        <v>0.649</v>
      </c>
    </row>
    <row r="304" spans="1:13">
      <c r="A304" s="1296">
        <v>9.8</v>
      </c>
      <c r="B304" s="1295">
        <v>0.822</v>
      </c>
      <c r="C304" s="1295">
        <v>0.822</v>
      </c>
      <c r="D304" s="1295">
        <v>0.7964</v>
      </c>
      <c r="E304" s="1295">
        <v>0.7964</v>
      </c>
      <c r="F304" s="1295">
        <v>0.7964</v>
      </c>
      <c r="G304" s="1295">
        <v>0.7964</v>
      </c>
      <c r="H304" s="1295">
        <v>0.7964</v>
      </c>
      <c r="I304" s="1295">
        <v>0.6481</v>
      </c>
      <c r="J304" s="1295">
        <v>0.6481</v>
      </c>
      <c r="K304" s="1295">
        <v>0.6481</v>
      </c>
      <c r="L304" s="1295">
        <v>0.6481</v>
      </c>
      <c r="M304" s="1295">
        <v>0.6481</v>
      </c>
    </row>
    <row r="305" spans="1:13">
      <c r="A305" s="1296">
        <v>9.9</v>
      </c>
      <c r="B305" s="1295">
        <v>0.8214</v>
      </c>
      <c r="C305" s="1295">
        <v>0.8214</v>
      </c>
      <c r="D305" s="1295">
        <v>0.7956</v>
      </c>
      <c r="E305" s="1295">
        <v>0.7956</v>
      </c>
      <c r="F305" s="1295">
        <v>0.7956</v>
      </c>
      <c r="G305" s="1295">
        <v>0.7956</v>
      </c>
      <c r="H305" s="1295">
        <v>0.7956</v>
      </c>
      <c r="I305" s="1295">
        <v>0.6471</v>
      </c>
      <c r="J305" s="1295">
        <v>0.6471</v>
      </c>
      <c r="K305" s="1295">
        <v>0.6471</v>
      </c>
      <c r="L305" s="1295">
        <v>0.6471</v>
      </c>
      <c r="M305" s="1295">
        <v>0.6471</v>
      </c>
    </row>
    <row r="306" spans="1:13">
      <c r="A306" s="1296">
        <v>10</v>
      </c>
      <c r="B306" s="1295">
        <v>0.8208</v>
      </c>
      <c r="C306" s="1295">
        <v>0.8208</v>
      </c>
      <c r="D306" s="1295">
        <v>0.7948</v>
      </c>
      <c r="E306" s="1295">
        <v>0.7948</v>
      </c>
      <c r="F306" s="1295">
        <v>0.7948</v>
      </c>
      <c r="G306" s="1295">
        <v>0.7948</v>
      </c>
      <c r="H306" s="1295">
        <v>0.7948</v>
      </c>
      <c r="I306" s="1295">
        <v>0.6462</v>
      </c>
      <c r="J306" s="1295">
        <v>0.6462</v>
      </c>
      <c r="K306" s="1295">
        <v>0.6462</v>
      </c>
      <c r="L306" s="1295">
        <v>0.6462</v>
      </c>
      <c r="M306" s="1295">
        <v>0.6462</v>
      </c>
    </row>
    <row r="307" ht="14.25" spans="1:13">
      <c r="A307" s="1290" t="s">
        <v>2128</v>
      </c>
      <c r="B307" s="1291"/>
      <c r="C307" s="1291"/>
      <c r="D307" s="1291"/>
      <c r="E307" s="1291"/>
      <c r="F307" s="1291"/>
      <c r="G307" s="1291"/>
      <c r="H307" s="1291"/>
      <c r="I307" s="1291"/>
      <c r="J307" s="1291"/>
      <c r="K307" s="1291"/>
      <c r="L307" s="1291"/>
      <c r="M307" s="1291"/>
    </row>
    <row r="308" spans="1:13">
      <c r="A308" s="1292" t="s">
        <v>105</v>
      </c>
      <c r="B308" s="1293" t="s">
        <v>240</v>
      </c>
      <c r="C308" s="1293" t="s">
        <v>253</v>
      </c>
      <c r="D308" s="1293" t="s">
        <v>265</v>
      </c>
      <c r="E308" s="1293" t="s">
        <v>275</v>
      </c>
      <c r="F308" s="1293" t="s">
        <v>284</v>
      </c>
      <c r="G308" s="1293" t="s">
        <v>292</v>
      </c>
      <c r="H308" s="1294" t="s">
        <v>297</v>
      </c>
      <c r="I308" s="1294" t="s">
        <v>302</v>
      </c>
      <c r="J308" s="1297" t="s">
        <v>305</v>
      </c>
      <c r="K308" s="1297" t="s">
        <v>308</v>
      </c>
      <c r="L308" s="1297" t="s">
        <v>311</v>
      </c>
      <c r="M308" s="1297" t="s">
        <v>314</v>
      </c>
    </row>
    <row r="309" spans="1:13">
      <c r="A309" s="1292">
        <v>0.1</v>
      </c>
      <c r="B309" s="1295">
        <v>11.506</v>
      </c>
      <c r="C309" s="1295">
        <v>11.506</v>
      </c>
      <c r="D309" s="1295">
        <v>12.015</v>
      </c>
      <c r="E309" s="1295">
        <v>12.015</v>
      </c>
      <c r="F309" s="1295">
        <v>12.015</v>
      </c>
      <c r="G309" s="1295">
        <v>11.118</v>
      </c>
      <c r="H309" s="1295">
        <v>11.118</v>
      </c>
      <c r="I309" s="1295">
        <v>10</v>
      </c>
      <c r="J309" s="1295">
        <v>10</v>
      </c>
      <c r="K309" s="1295">
        <v>10</v>
      </c>
      <c r="L309" s="1295">
        <v>10</v>
      </c>
      <c r="M309" s="1295">
        <v>10</v>
      </c>
    </row>
    <row r="310" spans="1:13">
      <c r="A310" s="1292">
        <v>0.2</v>
      </c>
      <c r="B310" s="1295">
        <v>5.753</v>
      </c>
      <c r="C310" s="1295">
        <v>5.753</v>
      </c>
      <c r="D310" s="1295">
        <v>6.0075</v>
      </c>
      <c r="E310" s="1295">
        <v>6.0075</v>
      </c>
      <c r="F310" s="1295">
        <v>6.0075</v>
      </c>
      <c r="G310" s="1295">
        <v>5.559</v>
      </c>
      <c r="H310" s="1295">
        <v>5.559</v>
      </c>
      <c r="I310" s="1295">
        <v>5</v>
      </c>
      <c r="J310" s="1295">
        <v>5</v>
      </c>
      <c r="K310" s="1295">
        <v>5</v>
      </c>
      <c r="L310" s="1295">
        <v>5</v>
      </c>
      <c r="M310" s="1295">
        <v>5</v>
      </c>
    </row>
    <row r="311" spans="1:13">
      <c r="A311" s="1292">
        <v>0.3</v>
      </c>
      <c r="B311" s="1295">
        <v>3.8353</v>
      </c>
      <c r="C311" s="1295">
        <v>3.8353</v>
      </c>
      <c r="D311" s="1295">
        <v>4.005</v>
      </c>
      <c r="E311" s="1295">
        <v>4.005</v>
      </c>
      <c r="F311" s="1295">
        <v>4.005</v>
      </c>
      <c r="G311" s="1295">
        <v>3.706</v>
      </c>
      <c r="H311" s="1295">
        <v>3.706</v>
      </c>
      <c r="I311" s="1295">
        <v>3.3333</v>
      </c>
      <c r="J311" s="1295">
        <v>3.3333</v>
      </c>
      <c r="K311" s="1295">
        <v>3.3333</v>
      </c>
      <c r="L311" s="1295">
        <v>3.3333</v>
      </c>
      <c r="M311" s="1295">
        <v>3.3333</v>
      </c>
    </row>
    <row r="312" spans="1:13">
      <c r="A312" s="1292">
        <v>0.4</v>
      </c>
      <c r="B312" s="1295">
        <v>2.8765</v>
      </c>
      <c r="C312" s="1295">
        <v>2.8765</v>
      </c>
      <c r="D312" s="1295">
        <v>3.0038</v>
      </c>
      <c r="E312" s="1295">
        <v>3.0038</v>
      </c>
      <c r="F312" s="1295">
        <v>3.0038</v>
      </c>
      <c r="G312" s="1295">
        <v>2.7795</v>
      </c>
      <c r="H312" s="1295">
        <v>2.7795</v>
      </c>
      <c r="I312" s="1295">
        <v>2.5</v>
      </c>
      <c r="J312" s="1295">
        <v>2.5</v>
      </c>
      <c r="K312" s="1295">
        <v>2.5</v>
      </c>
      <c r="L312" s="1295">
        <v>2.5</v>
      </c>
      <c r="M312" s="1295">
        <v>2.5</v>
      </c>
    </row>
    <row r="313" spans="1:13">
      <c r="A313" s="1292">
        <v>0.5</v>
      </c>
      <c r="B313" s="1295">
        <v>2.3012</v>
      </c>
      <c r="C313" s="1295">
        <v>2.3012</v>
      </c>
      <c r="D313" s="1295">
        <v>2.403</v>
      </c>
      <c r="E313" s="1295">
        <v>2.403</v>
      </c>
      <c r="F313" s="1295">
        <v>2.403</v>
      </c>
      <c r="G313" s="1295">
        <v>2.2236</v>
      </c>
      <c r="H313" s="1295">
        <v>2.2236</v>
      </c>
      <c r="I313" s="1295">
        <v>2</v>
      </c>
      <c r="J313" s="1295">
        <v>2</v>
      </c>
      <c r="K313" s="1295">
        <v>2</v>
      </c>
      <c r="L313" s="1295">
        <v>2</v>
      </c>
      <c r="M313" s="1295">
        <v>2</v>
      </c>
    </row>
    <row r="314" spans="1:13">
      <c r="A314" s="1292">
        <v>0.6</v>
      </c>
      <c r="B314" s="1295">
        <v>1.9177</v>
      </c>
      <c r="C314" s="1295">
        <v>1.9177</v>
      </c>
      <c r="D314" s="1295">
        <v>2.0025</v>
      </c>
      <c r="E314" s="1295">
        <v>2.0025</v>
      </c>
      <c r="F314" s="1295">
        <v>2.0025</v>
      </c>
      <c r="G314" s="1295">
        <v>1.853</v>
      </c>
      <c r="H314" s="1295">
        <v>1.853</v>
      </c>
      <c r="I314" s="1295">
        <v>1.6667</v>
      </c>
      <c r="J314" s="1295">
        <v>1.6667</v>
      </c>
      <c r="K314" s="1295">
        <v>1.6667</v>
      </c>
      <c r="L314" s="1295">
        <v>1.6667</v>
      </c>
      <c r="M314" s="1295">
        <v>1.6667</v>
      </c>
    </row>
    <row r="315" spans="1:13">
      <c r="A315" s="1292">
        <v>0.7</v>
      </c>
      <c r="B315" s="1295">
        <v>1.6437</v>
      </c>
      <c r="C315" s="1295">
        <v>1.6437</v>
      </c>
      <c r="D315" s="1295">
        <v>1.7164</v>
      </c>
      <c r="E315" s="1295">
        <v>1.7164</v>
      </c>
      <c r="F315" s="1295">
        <v>1.7164</v>
      </c>
      <c r="G315" s="1295">
        <v>1.5883</v>
      </c>
      <c r="H315" s="1295">
        <v>1.5883</v>
      </c>
      <c r="I315" s="1295">
        <v>1.4286</v>
      </c>
      <c r="J315" s="1295">
        <v>1.4286</v>
      </c>
      <c r="K315" s="1295">
        <v>1.4286</v>
      </c>
      <c r="L315" s="1295">
        <v>1.4286</v>
      </c>
      <c r="M315" s="1295">
        <v>1.4286</v>
      </c>
    </row>
    <row r="316" spans="1:13">
      <c r="A316" s="1292">
        <v>0.8</v>
      </c>
      <c r="B316" s="1295">
        <v>1.4383</v>
      </c>
      <c r="C316" s="1295">
        <v>1.4383</v>
      </c>
      <c r="D316" s="1295">
        <v>1.5019</v>
      </c>
      <c r="E316" s="1295">
        <v>1.5019</v>
      </c>
      <c r="F316" s="1295">
        <v>1.5019</v>
      </c>
      <c r="G316" s="1295">
        <v>1.3898</v>
      </c>
      <c r="H316" s="1295">
        <v>1.3898</v>
      </c>
      <c r="I316" s="1295">
        <v>1.25</v>
      </c>
      <c r="J316" s="1295">
        <v>1.25</v>
      </c>
      <c r="K316" s="1295">
        <v>1.25</v>
      </c>
      <c r="L316" s="1295">
        <v>1.25</v>
      </c>
      <c r="M316" s="1295">
        <v>1.25</v>
      </c>
    </row>
    <row r="317" spans="1:13">
      <c r="A317" s="1292">
        <v>0.9</v>
      </c>
      <c r="B317" s="1295">
        <v>1.2784</v>
      </c>
      <c r="C317" s="1295">
        <v>1.2784</v>
      </c>
      <c r="D317" s="1295">
        <v>1.335</v>
      </c>
      <c r="E317" s="1295">
        <v>1.335</v>
      </c>
      <c r="F317" s="1295">
        <v>1.335</v>
      </c>
      <c r="G317" s="1295">
        <v>1.2353</v>
      </c>
      <c r="H317" s="1295">
        <v>1.2353</v>
      </c>
      <c r="I317" s="1295">
        <v>1.1111</v>
      </c>
      <c r="J317" s="1295">
        <v>1.1111</v>
      </c>
      <c r="K317" s="1295">
        <v>1.1111</v>
      </c>
      <c r="L317" s="1295">
        <v>1.1111</v>
      </c>
      <c r="M317" s="1295">
        <v>1.1111</v>
      </c>
    </row>
    <row r="318" spans="1:13">
      <c r="A318" s="1292">
        <v>1</v>
      </c>
      <c r="B318" s="1295">
        <v>1.1506</v>
      </c>
      <c r="C318" s="1295">
        <v>1.1506</v>
      </c>
      <c r="D318" s="1295">
        <v>1.2015</v>
      </c>
      <c r="E318" s="1295">
        <v>1.2015</v>
      </c>
      <c r="F318" s="1295">
        <v>1.2015</v>
      </c>
      <c r="G318" s="1295">
        <v>1.1118</v>
      </c>
      <c r="H318" s="1295">
        <v>1.1118</v>
      </c>
      <c r="I318" s="1295">
        <v>1</v>
      </c>
      <c r="J318" s="1295">
        <v>1</v>
      </c>
      <c r="K318" s="1295">
        <v>1</v>
      </c>
      <c r="L318" s="1295">
        <v>1</v>
      </c>
      <c r="M318" s="1295">
        <v>1</v>
      </c>
    </row>
    <row r="319" spans="1:13">
      <c r="A319" s="1292">
        <v>1.1</v>
      </c>
      <c r="B319" s="1295">
        <v>1.1159</v>
      </c>
      <c r="C319" s="1295">
        <v>1.1159</v>
      </c>
      <c r="D319" s="1295">
        <v>1.1441</v>
      </c>
      <c r="E319" s="1295">
        <v>1.1441</v>
      </c>
      <c r="F319" s="1295">
        <v>1.1441</v>
      </c>
      <c r="G319" s="1295">
        <v>1.0493</v>
      </c>
      <c r="H319" s="1295">
        <v>1.0493</v>
      </c>
      <c r="I319" s="1295">
        <v>0.9373</v>
      </c>
      <c r="J319" s="1295">
        <v>0.9373</v>
      </c>
      <c r="K319" s="1295">
        <v>0.9373</v>
      </c>
      <c r="L319" s="1295">
        <v>0.9373</v>
      </c>
      <c r="M319" s="1295">
        <v>0.9373</v>
      </c>
    </row>
    <row r="320" spans="1:13">
      <c r="A320" s="1292">
        <v>1.2</v>
      </c>
      <c r="B320" s="1295">
        <v>1.0837</v>
      </c>
      <c r="C320" s="1295">
        <v>1.0837</v>
      </c>
      <c r="D320" s="1295">
        <v>1.0973</v>
      </c>
      <c r="E320" s="1295">
        <v>1.0973</v>
      </c>
      <c r="F320" s="1295">
        <v>1.0973</v>
      </c>
      <c r="G320" s="1295">
        <v>1</v>
      </c>
      <c r="H320" s="1295">
        <v>1</v>
      </c>
      <c r="I320" s="1295">
        <v>0.8889</v>
      </c>
      <c r="J320" s="1295">
        <v>0.8889</v>
      </c>
      <c r="K320" s="1295">
        <v>0.8889</v>
      </c>
      <c r="L320" s="1295">
        <v>0.8889</v>
      </c>
      <c r="M320" s="1295">
        <v>0.8889</v>
      </c>
    </row>
    <row r="321" spans="1:13">
      <c r="A321" s="1292">
        <v>1.3</v>
      </c>
      <c r="B321" s="1295">
        <v>1.0538</v>
      </c>
      <c r="C321" s="1295">
        <v>1.0538</v>
      </c>
      <c r="D321" s="1295">
        <v>1.059</v>
      </c>
      <c r="E321" s="1295">
        <v>1.059</v>
      </c>
      <c r="F321" s="1295">
        <v>1.059</v>
      </c>
      <c r="G321" s="1295">
        <v>0.9614</v>
      </c>
      <c r="H321" s="1295">
        <v>0.9614</v>
      </c>
      <c r="I321" s="1295">
        <v>0.8521</v>
      </c>
      <c r="J321" s="1295">
        <v>0.8521</v>
      </c>
      <c r="K321" s="1295">
        <v>0.8521</v>
      </c>
      <c r="L321" s="1295">
        <v>0.8521</v>
      </c>
      <c r="M321" s="1295">
        <v>0.8521</v>
      </c>
    </row>
    <row r="322" spans="1:13">
      <c r="A322" s="1292">
        <v>1.4</v>
      </c>
      <c r="B322" s="1295">
        <v>1.026</v>
      </c>
      <c r="C322" s="1295">
        <v>1.026</v>
      </c>
      <c r="D322" s="1295">
        <v>1.0272</v>
      </c>
      <c r="E322" s="1295">
        <v>1.0272</v>
      </c>
      <c r="F322" s="1295">
        <v>1.0272</v>
      </c>
      <c r="G322" s="1295">
        <v>0.9308</v>
      </c>
      <c r="H322" s="1295">
        <v>0.9308</v>
      </c>
      <c r="I322" s="1295">
        <v>0.8238</v>
      </c>
      <c r="J322" s="1295">
        <v>0.8238</v>
      </c>
      <c r="K322" s="1295">
        <v>0.8238</v>
      </c>
      <c r="L322" s="1295">
        <v>0.8238</v>
      </c>
      <c r="M322" s="1295">
        <v>0.8238</v>
      </c>
    </row>
    <row r="323" spans="1:13">
      <c r="A323" s="1292">
        <v>1.5</v>
      </c>
      <c r="B323" s="1295">
        <v>1</v>
      </c>
      <c r="C323" s="1295">
        <v>1</v>
      </c>
      <c r="D323" s="1295">
        <v>1</v>
      </c>
      <c r="E323" s="1295">
        <v>1</v>
      </c>
      <c r="F323" s="1295">
        <v>1</v>
      </c>
      <c r="G323" s="1295">
        <v>0.9056</v>
      </c>
      <c r="H323" s="1295">
        <v>0.9056</v>
      </c>
      <c r="I323" s="1295">
        <v>0.8011</v>
      </c>
      <c r="J323" s="1295">
        <v>0.8011</v>
      </c>
      <c r="K323" s="1295">
        <v>0.8011</v>
      </c>
      <c r="L323" s="1295">
        <v>0.8011</v>
      </c>
      <c r="M323" s="1295">
        <v>0.8011</v>
      </c>
    </row>
    <row r="324" spans="1:13">
      <c r="A324" s="1292">
        <v>1.6</v>
      </c>
      <c r="B324" s="1295">
        <v>0.9757</v>
      </c>
      <c r="C324" s="1295">
        <v>0.9757</v>
      </c>
      <c r="D324" s="1295">
        <v>0.9752</v>
      </c>
      <c r="E324" s="1295">
        <v>0.9752</v>
      </c>
      <c r="F324" s="1295">
        <v>0.9752</v>
      </c>
      <c r="G324" s="1295">
        <v>0.8831</v>
      </c>
      <c r="H324" s="1295">
        <v>0.8831</v>
      </c>
      <c r="I324" s="1295">
        <v>0.781</v>
      </c>
      <c r="J324" s="1295">
        <v>0.781</v>
      </c>
      <c r="K324" s="1295">
        <v>0.781</v>
      </c>
      <c r="L324" s="1295">
        <v>0.781</v>
      </c>
      <c r="M324" s="1295">
        <v>0.781</v>
      </c>
    </row>
    <row r="325" spans="1:13">
      <c r="A325" s="1292">
        <v>1.7</v>
      </c>
      <c r="B325" s="1295">
        <v>0.9529</v>
      </c>
      <c r="C325" s="1295">
        <v>0.9529</v>
      </c>
      <c r="D325" s="1295">
        <v>0.9519</v>
      </c>
      <c r="E325" s="1295">
        <v>0.9519</v>
      </c>
      <c r="F325" s="1295">
        <v>0.9519</v>
      </c>
      <c r="G325" s="1295">
        <v>0.8618</v>
      </c>
      <c r="H325" s="1295">
        <v>0.8618</v>
      </c>
      <c r="I325" s="1295">
        <v>0.7621</v>
      </c>
      <c r="J325" s="1295">
        <v>0.7621</v>
      </c>
      <c r="K325" s="1295">
        <v>0.7621</v>
      </c>
      <c r="L325" s="1295">
        <v>0.7621</v>
      </c>
      <c r="M325" s="1295">
        <v>0.7621</v>
      </c>
    </row>
    <row r="326" spans="1:13">
      <c r="A326" s="1292">
        <v>1.8</v>
      </c>
      <c r="B326" s="1295">
        <v>0.9315</v>
      </c>
      <c r="C326" s="1295">
        <v>0.9315</v>
      </c>
      <c r="D326" s="1295">
        <v>0.93</v>
      </c>
      <c r="E326" s="1295">
        <v>0.93</v>
      </c>
      <c r="F326" s="1295">
        <v>0.93</v>
      </c>
      <c r="G326" s="1295">
        <v>0.8418</v>
      </c>
      <c r="H326" s="1295">
        <v>0.8418</v>
      </c>
      <c r="I326" s="1295">
        <v>0.7442</v>
      </c>
      <c r="J326" s="1295">
        <v>0.7442</v>
      </c>
      <c r="K326" s="1295">
        <v>0.7442</v>
      </c>
      <c r="L326" s="1295">
        <v>0.7442</v>
      </c>
      <c r="M326" s="1295">
        <v>0.7442</v>
      </c>
    </row>
    <row r="327" spans="1:13">
      <c r="A327" s="1292">
        <v>1.9</v>
      </c>
      <c r="B327" s="1295">
        <v>0.9114</v>
      </c>
      <c r="C327" s="1295">
        <v>0.9114</v>
      </c>
      <c r="D327" s="1295">
        <v>0.9094</v>
      </c>
      <c r="E327" s="1295">
        <v>0.9094</v>
      </c>
      <c r="F327" s="1295">
        <v>0.9094</v>
      </c>
      <c r="G327" s="1295">
        <v>0.8229</v>
      </c>
      <c r="H327" s="1295">
        <v>0.8229</v>
      </c>
      <c r="I327" s="1295">
        <v>0.7274</v>
      </c>
      <c r="J327" s="1295">
        <v>0.7274</v>
      </c>
      <c r="K327" s="1295">
        <v>0.7274</v>
      </c>
      <c r="L327" s="1295">
        <v>0.7274</v>
      </c>
      <c r="M327" s="1295">
        <v>0.7274</v>
      </c>
    </row>
    <row r="328" spans="1:13">
      <c r="A328" s="1292">
        <v>2</v>
      </c>
      <c r="B328" s="1295">
        <v>0.8927</v>
      </c>
      <c r="C328" s="1295">
        <v>0.8927</v>
      </c>
      <c r="D328" s="1295">
        <v>0.8901</v>
      </c>
      <c r="E328" s="1295">
        <v>0.8901</v>
      </c>
      <c r="F328" s="1295">
        <v>0.8901</v>
      </c>
      <c r="G328" s="1295">
        <v>0.8053</v>
      </c>
      <c r="H328" s="1295">
        <v>0.8053</v>
      </c>
      <c r="I328" s="1295">
        <v>0.7116</v>
      </c>
      <c r="J328" s="1295">
        <v>0.7116</v>
      </c>
      <c r="K328" s="1295">
        <v>0.7116</v>
      </c>
      <c r="L328" s="1295">
        <v>0.7116</v>
      </c>
      <c r="M328" s="1295">
        <v>0.7116</v>
      </c>
    </row>
    <row r="329" spans="1:13">
      <c r="A329" s="1296">
        <v>2.1</v>
      </c>
      <c r="B329" s="1295">
        <v>0.8752</v>
      </c>
      <c r="C329" s="1295">
        <v>0.8752</v>
      </c>
      <c r="D329" s="1295">
        <v>0.872</v>
      </c>
      <c r="E329" s="1295">
        <v>0.872</v>
      </c>
      <c r="F329" s="1295">
        <v>0.872</v>
      </c>
      <c r="G329" s="1295">
        <v>0.7887</v>
      </c>
      <c r="H329" s="1295">
        <v>0.7887</v>
      </c>
      <c r="I329" s="1295">
        <v>0.6967</v>
      </c>
      <c r="J329" s="1295">
        <v>0.6967</v>
      </c>
      <c r="K329" s="1295">
        <v>0.6967</v>
      </c>
      <c r="L329" s="1295">
        <v>0.6967</v>
      </c>
      <c r="M329" s="1295">
        <v>0.6967</v>
      </c>
    </row>
    <row r="330" spans="1:13">
      <c r="A330" s="1296">
        <v>2.2</v>
      </c>
      <c r="B330" s="1295">
        <v>0.8588</v>
      </c>
      <c r="C330" s="1295">
        <v>0.8588</v>
      </c>
      <c r="D330" s="1295">
        <v>0.855</v>
      </c>
      <c r="E330" s="1295">
        <v>0.855</v>
      </c>
      <c r="F330" s="1295">
        <v>0.855</v>
      </c>
      <c r="G330" s="1295">
        <v>0.773</v>
      </c>
      <c r="H330" s="1295">
        <v>0.773</v>
      </c>
      <c r="I330" s="1295">
        <v>0.6827</v>
      </c>
      <c r="J330" s="1295">
        <v>0.6827</v>
      </c>
      <c r="K330" s="1295">
        <v>0.6827</v>
      </c>
      <c r="L330" s="1295">
        <v>0.6827</v>
      </c>
      <c r="M330" s="1295">
        <v>0.6827</v>
      </c>
    </row>
    <row r="331" spans="1:13">
      <c r="A331" s="1296">
        <v>2.3</v>
      </c>
      <c r="B331" s="1295">
        <v>0.8436</v>
      </c>
      <c r="C331" s="1295">
        <v>0.8436</v>
      </c>
      <c r="D331" s="1295">
        <v>0.839</v>
      </c>
      <c r="E331" s="1295">
        <v>0.839</v>
      </c>
      <c r="F331" s="1295">
        <v>0.839</v>
      </c>
      <c r="G331" s="1295">
        <v>0.7584</v>
      </c>
      <c r="H331" s="1295">
        <v>0.7584</v>
      </c>
      <c r="I331" s="1295">
        <v>0.6695</v>
      </c>
      <c r="J331" s="1295">
        <v>0.6695</v>
      </c>
      <c r="K331" s="1295">
        <v>0.6695</v>
      </c>
      <c r="L331" s="1295">
        <v>0.6695</v>
      </c>
      <c r="M331" s="1295">
        <v>0.6695</v>
      </c>
    </row>
    <row r="332" spans="1:13">
      <c r="A332" s="1296">
        <v>2.4</v>
      </c>
      <c r="B332" s="1295">
        <v>0.8294</v>
      </c>
      <c r="C332" s="1295">
        <v>0.8294</v>
      </c>
      <c r="D332" s="1295">
        <v>0.8241</v>
      </c>
      <c r="E332" s="1295">
        <v>0.8241</v>
      </c>
      <c r="F332" s="1295">
        <v>0.8241</v>
      </c>
      <c r="G332" s="1295">
        <v>0.7446</v>
      </c>
      <c r="H332" s="1295">
        <v>0.7446</v>
      </c>
      <c r="I332" s="1295">
        <v>0.6571</v>
      </c>
      <c r="J332" s="1295">
        <v>0.6571</v>
      </c>
      <c r="K332" s="1295">
        <v>0.6571</v>
      </c>
      <c r="L332" s="1295">
        <v>0.6571</v>
      </c>
      <c r="M332" s="1295">
        <v>0.6571</v>
      </c>
    </row>
    <row r="333" spans="1:13">
      <c r="A333" s="1296">
        <v>2.5</v>
      </c>
      <c r="B333" s="1295">
        <v>0.8162</v>
      </c>
      <c r="C333" s="1295">
        <v>0.8162</v>
      </c>
      <c r="D333" s="1295">
        <v>0.8102</v>
      </c>
      <c r="E333" s="1295">
        <v>0.8102</v>
      </c>
      <c r="F333" s="1295">
        <v>0.8102</v>
      </c>
      <c r="G333" s="1295">
        <v>0.7318</v>
      </c>
      <c r="H333" s="1295">
        <v>0.7318</v>
      </c>
      <c r="I333" s="1295">
        <v>0.6455</v>
      </c>
      <c r="J333" s="1295">
        <v>0.6455</v>
      </c>
      <c r="K333" s="1295">
        <v>0.6455</v>
      </c>
      <c r="L333" s="1295">
        <v>0.6455</v>
      </c>
      <c r="M333" s="1295">
        <v>0.6455</v>
      </c>
    </row>
    <row r="334" spans="1:13">
      <c r="A334" s="1296">
        <v>2.6</v>
      </c>
      <c r="B334" s="1295">
        <v>0.8039</v>
      </c>
      <c r="C334" s="1295">
        <v>0.8039</v>
      </c>
      <c r="D334" s="1295">
        <v>0.7971</v>
      </c>
      <c r="E334" s="1295">
        <v>0.7971</v>
      </c>
      <c r="F334" s="1295">
        <v>0.7971</v>
      </c>
      <c r="G334" s="1295">
        <v>0.7197</v>
      </c>
      <c r="H334" s="1295">
        <v>0.7197</v>
      </c>
      <c r="I334" s="1295">
        <v>0.6346</v>
      </c>
      <c r="J334" s="1295">
        <v>0.6346</v>
      </c>
      <c r="K334" s="1295">
        <v>0.6346</v>
      </c>
      <c r="L334" s="1295">
        <v>0.6346</v>
      </c>
      <c r="M334" s="1295">
        <v>0.6346</v>
      </c>
    </row>
    <row r="335" spans="1:13">
      <c r="A335" s="1296">
        <v>2.7</v>
      </c>
      <c r="B335" s="1295">
        <v>0.7925</v>
      </c>
      <c r="C335" s="1295">
        <v>0.7925</v>
      </c>
      <c r="D335" s="1295">
        <v>0.7849</v>
      </c>
      <c r="E335" s="1295">
        <v>0.7849</v>
      </c>
      <c r="F335" s="1295">
        <v>0.7849</v>
      </c>
      <c r="G335" s="1295">
        <v>0.7084</v>
      </c>
      <c r="H335" s="1295">
        <v>0.7084</v>
      </c>
      <c r="I335" s="1295">
        <v>0.6244</v>
      </c>
      <c r="J335" s="1295">
        <v>0.6244</v>
      </c>
      <c r="K335" s="1295">
        <v>0.6244</v>
      </c>
      <c r="L335" s="1295">
        <v>0.6244</v>
      </c>
      <c r="M335" s="1295">
        <v>0.6244</v>
      </c>
    </row>
    <row r="336" spans="1:13">
      <c r="A336" s="1296">
        <v>2.8</v>
      </c>
      <c r="B336" s="1295">
        <v>0.7819</v>
      </c>
      <c r="C336" s="1295">
        <v>0.7819</v>
      </c>
      <c r="D336" s="1295">
        <v>0.7736</v>
      </c>
      <c r="E336" s="1295">
        <v>0.7736</v>
      </c>
      <c r="F336" s="1295">
        <v>0.7736</v>
      </c>
      <c r="G336" s="1295">
        <v>0.6979</v>
      </c>
      <c r="H336" s="1295">
        <v>0.6979</v>
      </c>
      <c r="I336" s="1295">
        <v>0.6148</v>
      </c>
      <c r="J336" s="1295">
        <v>0.6148</v>
      </c>
      <c r="K336" s="1295">
        <v>0.6148</v>
      </c>
      <c r="L336" s="1295">
        <v>0.6148</v>
      </c>
      <c r="M336" s="1295">
        <v>0.6148</v>
      </c>
    </row>
    <row r="337" spans="1:13">
      <c r="A337" s="1296">
        <v>2.9</v>
      </c>
      <c r="B337" s="1295">
        <v>0.7721</v>
      </c>
      <c r="C337" s="1295">
        <v>0.7721</v>
      </c>
      <c r="D337" s="1295">
        <v>0.763</v>
      </c>
      <c r="E337" s="1295">
        <v>0.763</v>
      </c>
      <c r="F337" s="1295">
        <v>0.763</v>
      </c>
      <c r="G337" s="1295">
        <v>0.688</v>
      </c>
      <c r="H337" s="1295">
        <v>0.688</v>
      </c>
      <c r="I337" s="1295">
        <v>0.6059</v>
      </c>
      <c r="J337" s="1295">
        <v>0.6059</v>
      </c>
      <c r="K337" s="1295">
        <v>0.6059</v>
      </c>
      <c r="L337" s="1295">
        <v>0.6059</v>
      </c>
      <c r="M337" s="1295">
        <v>0.6059</v>
      </c>
    </row>
    <row r="338" spans="1:13">
      <c r="A338" s="1296">
        <v>3</v>
      </c>
      <c r="B338" s="1295">
        <v>0.7631</v>
      </c>
      <c r="C338" s="1295">
        <v>0.7631</v>
      </c>
      <c r="D338" s="1295">
        <v>0.7531</v>
      </c>
      <c r="E338" s="1295">
        <v>0.7531</v>
      </c>
      <c r="F338" s="1295">
        <v>0.7531</v>
      </c>
      <c r="G338" s="1295">
        <v>0.6788</v>
      </c>
      <c r="H338" s="1295">
        <v>0.6788</v>
      </c>
      <c r="I338" s="1295">
        <v>0.5975</v>
      </c>
      <c r="J338" s="1295">
        <v>0.5975</v>
      </c>
      <c r="K338" s="1295">
        <v>0.5975</v>
      </c>
      <c r="L338" s="1295">
        <v>0.5975</v>
      </c>
      <c r="M338" s="1295">
        <v>0.5975</v>
      </c>
    </row>
    <row r="339" spans="1:13">
      <c r="A339" s="1296">
        <v>3.1</v>
      </c>
      <c r="B339" s="1295">
        <v>0.7547</v>
      </c>
      <c r="C339" s="1295">
        <v>0.7547</v>
      </c>
      <c r="D339" s="1295">
        <v>0.744</v>
      </c>
      <c r="E339" s="1295">
        <v>0.744</v>
      </c>
      <c r="F339" s="1295">
        <v>0.744</v>
      </c>
      <c r="G339" s="1295">
        <v>0.6702</v>
      </c>
      <c r="H339" s="1295">
        <v>0.6702</v>
      </c>
      <c r="I339" s="1295">
        <v>0.5897</v>
      </c>
      <c r="J339" s="1295">
        <v>0.5897</v>
      </c>
      <c r="K339" s="1295">
        <v>0.5897</v>
      </c>
      <c r="L339" s="1295">
        <v>0.5897</v>
      </c>
      <c r="M339" s="1295">
        <v>0.5897</v>
      </c>
    </row>
    <row r="340" spans="1:13">
      <c r="A340" s="1296">
        <v>3.2</v>
      </c>
      <c r="B340" s="1295">
        <v>0.747</v>
      </c>
      <c r="C340" s="1295">
        <v>0.747</v>
      </c>
      <c r="D340" s="1295">
        <v>0.7354</v>
      </c>
      <c r="E340" s="1295">
        <v>0.7354</v>
      </c>
      <c r="F340" s="1295">
        <v>0.7354</v>
      </c>
      <c r="G340" s="1295">
        <v>0.6622</v>
      </c>
      <c r="H340" s="1295">
        <v>0.6622</v>
      </c>
      <c r="I340" s="1295">
        <v>0.5823</v>
      </c>
      <c r="J340" s="1295">
        <v>0.5823</v>
      </c>
      <c r="K340" s="1295">
        <v>0.5823</v>
      </c>
      <c r="L340" s="1295">
        <v>0.5823</v>
      </c>
      <c r="M340" s="1295">
        <v>0.5823</v>
      </c>
    </row>
    <row r="341" spans="1:13">
      <c r="A341" s="1296">
        <v>3.3</v>
      </c>
      <c r="B341" s="1295">
        <v>0.7399</v>
      </c>
      <c r="C341" s="1295">
        <v>0.7399</v>
      </c>
      <c r="D341" s="1295">
        <v>0.7275</v>
      </c>
      <c r="E341" s="1295">
        <v>0.7275</v>
      </c>
      <c r="F341" s="1295">
        <v>0.7275</v>
      </c>
      <c r="G341" s="1295">
        <v>0.6548</v>
      </c>
      <c r="H341" s="1295">
        <v>0.6548</v>
      </c>
      <c r="I341" s="1295">
        <v>0.5754</v>
      </c>
      <c r="J341" s="1295">
        <v>0.5754</v>
      </c>
      <c r="K341" s="1295">
        <v>0.5754</v>
      </c>
      <c r="L341" s="1295">
        <v>0.5754</v>
      </c>
      <c r="M341" s="1295">
        <v>0.5754</v>
      </c>
    </row>
    <row r="342" spans="1:13">
      <c r="A342" s="1296">
        <v>3.4</v>
      </c>
      <c r="B342" s="1295">
        <v>0.7334</v>
      </c>
      <c r="C342" s="1295">
        <v>0.7334</v>
      </c>
      <c r="D342" s="1295">
        <v>0.7201</v>
      </c>
      <c r="E342" s="1295">
        <v>0.7201</v>
      </c>
      <c r="F342" s="1295">
        <v>0.7201</v>
      </c>
      <c r="G342" s="1295">
        <v>0.6478</v>
      </c>
      <c r="H342" s="1295">
        <v>0.6478</v>
      </c>
      <c r="I342" s="1295">
        <v>0.569</v>
      </c>
      <c r="J342" s="1295">
        <v>0.569</v>
      </c>
      <c r="K342" s="1295">
        <v>0.569</v>
      </c>
      <c r="L342" s="1295">
        <v>0.569</v>
      </c>
      <c r="M342" s="1295">
        <v>0.569</v>
      </c>
    </row>
    <row r="343" spans="1:13">
      <c r="A343" s="1296">
        <v>3.5</v>
      </c>
      <c r="B343" s="1295">
        <v>0.7274</v>
      </c>
      <c r="C343" s="1295">
        <v>0.7274</v>
      </c>
      <c r="D343" s="1295">
        <v>0.7133</v>
      </c>
      <c r="E343" s="1295">
        <v>0.7133</v>
      </c>
      <c r="F343" s="1295">
        <v>0.7133</v>
      </c>
      <c r="G343" s="1295">
        <v>0.6413</v>
      </c>
      <c r="H343" s="1295">
        <v>0.6413</v>
      </c>
      <c r="I343" s="1295">
        <v>0.5631</v>
      </c>
      <c r="J343" s="1295">
        <v>0.5631</v>
      </c>
      <c r="K343" s="1295">
        <v>0.5631</v>
      </c>
      <c r="L343" s="1295">
        <v>0.5631</v>
      </c>
      <c r="M343" s="1295">
        <v>0.5631</v>
      </c>
    </row>
    <row r="344" spans="1:13">
      <c r="A344" s="1296">
        <v>3.6</v>
      </c>
      <c r="B344" s="1295">
        <v>0.7219</v>
      </c>
      <c r="C344" s="1295">
        <v>0.7219</v>
      </c>
      <c r="D344" s="1295">
        <v>0.707</v>
      </c>
      <c r="E344" s="1295">
        <v>0.707</v>
      </c>
      <c r="F344" s="1295">
        <v>0.707</v>
      </c>
      <c r="G344" s="1295">
        <v>0.6353</v>
      </c>
      <c r="H344" s="1295">
        <v>0.6353</v>
      </c>
      <c r="I344" s="1295">
        <v>0.5575</v>
      </c>
      <c r="J344" s="1295">
        <v>0.5575</v>
      </c>
      <c r="K344" s="1295">
        <v>0.5575</v>
      </c>
      <c r="L344" s="1295">
        <v>0.5575</v>
      </c>
      <c r="M344" s="1295">
        <v>0.5575</v>
      </c>
    </row>
    <row r="345" spans="1:13">
      <c r="A345" s="1296">
        <v>3.7</v>
      </c>
      <c r="B345" s="1295">
        <v>0.7168</v>
      </c>
      <c r="C345" s="1295">
        <v>0.7168</v>
      </c>
      <c r="D345" s="1295">
        <v>0.7011</v>
      </c>
      <c r="E345" s="1295">
        <v>0.7011</v>
      </c>
      <c r="F345" s="1295">
        <v>0.7011</v>
      </c>
      <c r="G345" s="1295">
        <v>0.6297</v>
      </c>
      <c r="H345" s="1295">
        <v>0.6297</v>
      </c>
      <c r="I345" s="1295">
        <v>0.5523</v>
      </c>
      <c r="J345" s="1295">
        <v>0.5523</v>
      </c>
      <c r="K345" s="1295">
        <v>0.5523</v>
      </c>
      <c r="L345" s="1295">
        <v>0.5523</v>
      </c>
      <c r="M345" s="1295">
        <v>0.5523</v>
      </c>
    </row>
    <row r="346" spans="1:13">
      <c r="A346" s="1296">
        <v>3.8</v>
      </c>
      <c r="B346" s="1295">
        <v>0.7122</v>
      </c>
      <c r="C346" s="1295">
        <v>0.7122</v>
      </c>
      <c r="D346" s="1295">
        <v>0.6956</v>
      </c>
      <c r="E346" s="1295">
        <v>0.6956</v>
      </c>
      <c r="F346" s="1295">
        <v>0.6956</v>
      </c>
      <c r="G346" s="1295">
        <v>0.6244</v>
      </c>
      <c r="H346" s="1295">
        <v>0.6244</v>
      </c>
      <c r="I346" s="1295">
        <v>0.5474</v>
      </c>
      <c r="J346" s="1295">
        <v>0.5474</v>
      </c>
      <c r="K346" s="1295">
        <v>0.5474</v>
      </c>
      <c r="L346" s="1295">
        <v>0.5474</v>
      </c>
      <c r="M346" s="1295">
        <v>0.5474</v>
      </c>
    </row>
    <row r="347" spans="1:13">
      <c r="A347" s="1296">
        <v>3.9</v>
      </c>
      <c r="B347" s="1295">
        <v>0.708</v>
      </c>
      <c r="C347" s="1295">
        <v>0.708</v>
      </c>
      <c r="D347" s="1295">
        <v>0.6906</v>
      </c>
      <c r="E347" s="1295">
        <v>0.6906</v>
      </c>
      <c r="F347" s="1295">
        <v>0.6906</v>
      </c>
      <c r="G347" s="1295">
        <v>0.6195</v>
      </c>
      <c r="H347" s="1295">
        <v>0.6195</v>
      </c>
      <c r="I347" s="1295">
        <v>0.5428</v>
      </c>
      <c r="J347" s="1295">
        <v>0.5428</v>
      </c>
      <c r="K347" s="1295">
        <v>0.5428</v>
      </c>
      <c r="L347" s="1295">
        <v>0.5428</v>
      </c>
      <c r="M347" s="1295">
        <v>0.5428</v>
      </c>
    </row>
    <row r="348" spans="1:13">
      <c r="A348" s="1296">
        <v>4</v>
      </c>
      <c r="B348" s="1295">
        <v>0.7041</v>
      </c>
      <c r="C348" s="1295">
        <v>0.7041</v>
      </c>
      <c r="D348" s="1295">
        <v>0.6859</v>
      </c>
      <c r="E348" s="1295">
        <v>0.6859</v>
      </c>
      <c r="F348" s="1295">
        <v>0.6859</v>
      </c>
      <c r="G348" s="1295">
        <v>0.615</v>
      </c>
      <c r="H348" s="1295">
        <v>0.615</v>
      </c>
      <c r="I348" s="1295">
        <v>0.5386</v>
      </c>
      <c r="J348" s="1295">
        <v>0.5386</v>
      </c>
      <c r="K348" s="1295">
        <v>0.5386</v>
      </c>
      <c r="L348" s="1295">
        <v>0.5386</v>
      </c>
      <c r="M348" s="1295">
        <v>0.5386</v>
      </c>
    </row>
    <row r="349" spans="1:13">
      <c r="A349" s="1296">
        <v>4.1</v>
      </c>
      <c r="B349" s="1295">
        <v>0.7006</v>
      </c>
      <c r="C349" s="1295">
        <v>0.7006</v>
      </c>
      <c r="D349" s="1295">
        <v>0.6816</v>
      </c>
      <c r="E349" s="1295">
        <v>0.6816</v>
      </c>
      <c r="F349" s="1295">
        <v>0.6816</v>
      </c>
      <c r="G349" s="1295">
        <v>0.6108</v>
      </c>
      <c r="H349" s="1295">
        <v>0.6108</v>
      </c>
      <c r="I349" s="1295">
        <v>0.5346</v>
      </c>
      <c r="J349" s="1295">
        <v>0.5346</v>
      </c>
      <c r="K349" s="1295">
        <v>0.5346</v>
      </c>
      <c r="L349" s="1295">
        <v>0.5346</v>
      </c>
      <c r="M349" s="1295">
        <v>0.5346</v>
      </c>
    </row>
    <row r="350" spans="1:13">
      <c r="A350" s="1296">
        <v>4.2</v>
      </c>
      <c r="B350" s="1295">
        <v>0.6974</v>
      </c>
      <c r="C350" s="1295">
        <v>0.6974</v>
      </c>
      <c r="D350" s="1295">
        <v>0.6776</v>
      </c>
      <c r="E350" s="1295">
        <v>0.6776</v>
      </c>
      <c r="F350" s="1295">
        <v>0.6776</v>
      </c>
      <c r="G350" s="1295">
        <v>0.607</v>
      </c>
      <c r="H350" s="1295">
        <v>0.607</v>
      </c>
      <c r="I350" s="1295">
        <v>0.5309</v>
      </c>
      <c r="J350" s="1295">
        <v>0.5309</v>
      </c>
      <c r="K350" s="1295">
        <v>0.5309</v>
      </c>
      <c r="L350" s="1295">
        <v>0.5309</v>
      </c>
      <c r="M350" s="1295">
        <v>0.5309</v>
      </c>
    </row>
    <row r="351" spans="1:13">
      <c r="A351" s="1296">
        <v>4.3</v>
      </c>
      <c r="B351" s="1295">
        <v>0.6945</v>
      </c>
      <c r="C351" s="1295">
        <v>0.6945</v>
      </c>
      <c r="D351" s="1295">
        <v>0.6739</v>
      </c>
      <c r="E351" s="1295">
        <v>0.6739</v>
      </c>
      <c r="F351" s="1295">
        <v>0.6739</v>
      </c>
      <c r="G351" s="1295">
        <v>0.6033</v>
      </c>
      <c r="H351" s="1295">
        <v>0.6033</v>
      </c>
      <c r="I351" s="1295">
        <v>0.5274</v>
      </c>
      <c r="J351" s="1295">
        <v>0.5274</v>
      </c>
      <c r="K351" s="1295">
        <v>0.5274</v>
      </c>
      <c r="L351" s="1295">
        <v>0.5274</v>
      </c>
      <c r="M351" s="1295">
        <v>0.5274</v>
      </c>
    </row>
    <row r="352" spans="1:13">
      <c r="A352" s="1296">
        <v>4.4</v>
      </c>
      <c r="B352" s="1295">
        <v>0.6918</v>
      </c>
      <c r="C352" s="1295">
        <v>0.6918</v>
      </c>
      <c r="D352" s="1295">
        <v>0.6705</v>
      </c>
      <c r="E352" s="1295">
        <v>0.6705</v>
      </c>
      <c r="F352" s="1295">
        <v>0.6705</v>
      </c>
      <c r="G352" s="1295">
        <v>0.5999</v>
      </c>
      <c r="H352" s="1295">
        <v>0.5999</v>
      </c>
      <c r="I352" s="1295">
        <v>0.5242</v>
      </c>
      <c r="J352" s="1295">
        <v>0.5242</v>
      </c>
      <c r="K352" s="1295">
        <v>0.5242</v>
      </c>
      <c r="L352" s="1295">
        <v>0.5242</v>
      </c>
      <c r="M352" s="1295">
        <v>0.5242</v>
      </c>
    </row>
    <row r="353" spans="1:13">
      <c r="A353" s="1296">
        <v>4.5</v>
      </c>
      <c r="B353" s="1295">
        <v>0.6894</v>
      </c>
      <c r="C353" s="1295">
        <v>0.6894</v>
      </c>
      <c r="D353" s="1295">
        <v>0.6673</v>
      </c>
      <c r="E353" s="1295">
        <v>0.6673</v>
      </c>
      <c r="F353" s="1295">
        <v>0.6673</v>
      </c>
      <c r="G353" s="1295">
        <v>0.5967</v>
      </c>
      <c r="H353" s="1295">
        <v>0.5967</v>
      </c>
      <c r="I353" s="1295">
        <v>0.5211</v>
      </c>
      <c r="J353" s="1295">
        <v>0.5211</v>
      </c>
      <c r="K353" s="1295">
        <v>0.5211</v>
      </c>
      <c r="L353" s="1295">
        <v>0.5211</v>
      </c>
      <c r="M353" s="1295">
        <v>0.5211</v>
      </c>
    </row>
    <row r="354" spans="1:13">
      <c r="A354" s="1296">
        <v>4.6</v>
      </c>
      <c r="B354" s="1295">
        <v>0.6872</v>
      </c>
      <c r="C354" s="1295">
        <v>0.6872</v>
      </c>
      <c r="D354" s="1295">
        <v>0.6643</v>
      </c>
      <c r="E354" s="1295">
        <v>0.6643</v>
      </c>
      <c r="F354" s="1295">
        <v>0.6643</v>
      </c>
      <c r="G354" s="1295">
        <v>0.5938</v>
      </c>
      <c r="H354" s="1295">
        <v>0.5938</v>
      </c>
      <c r="I354" s="1295">
        <v>0.5182</v>
      </c>
      <c r="J354" s="1295">
        <v>0.5182</v>
      </c>
      <c r="K354" s="1295">
        <v>0.5182</v>
      </c>
      <c r="L354" s="1295">
        <v>0.5182</v>
      </c>
      <c r="M354" s="1295">
        <v>0.5182</v>
      </c>
    </row>
    <row r="355" spans="1:13">
      <c r="A355" s="1296">
        <v>4.7</v>
      </c>
      <c r="B355" s="1295">
        <v>0.6852</v>
      </c>
      <c r="C355" s="1295">
        <v>0.6852</v>
      </c>
      <c r="D355" s="1295">
        <v>0.6615</v>
      </c>
      <c r="E355" s="1295">
        <v>0.6615</v>
      </c>
      <c r="F355" s="1295">
        <v>0.6615</v>
      </c>
      <c r="G355" s="1295">
        <v>0.5911</v>
      </c>
      <c r="H355" s="1295">
        <v>0.5911</v>
      </c>
      <c r="I355" s="1295">
        <v>0.5156</v>
      </c>
      <c r="J355" s="1295">
        <v>0.5156</v>
      </c>
      <c r="K355" s="1295">
        <v>0.5156</v>
      </c>
      <c r="L355" s="1295">
        <v>0.5156</v>
      </c>
      <c r="M355" s="1295">
        <v>0.5156</v>
      </c>
    </row>
    <row r="356" spans="1:13">
      <c r="A356" s="1296">
        <v>4.8</v>
      </c>
      <c r="B356" s="1295">
        <v>0.6834</v>
      </c>
      <c r="C356" s="1295">
        <v>0.6834</v>
      </c>
      <c r="D356" s="1295">
        <v>0.659</v>
      </c>
      <c r="E356" s="1295">
        <v>0.659</v>
      </c>
      <c r="F356" s="1295">
        <v>0.659</v>
      </c>
      <c r="G356" s="1295">
        <v>0.5885</v>
      </c>
      <c r="H356" s="1295">
        <v>0.5885</v>
      </c>
      <c r="I356" s="1295">
        <v>0.513</v>
      </c>
      <c r="J356" s="1295">
        <v>0.513</v>
      </c>
      <c r="K356" s="1295">
        <v>0.513</v>
      </c>
      <c r="L356" s="1295">
        <v>0.513</v>
      </c>
      <c r="M356" s="1295">
        <v>0.513</v>
      </c>
    </row>
    <row r="357" spans="1:13">
      <c r="A357" s="1296">
        <v>4.9</v>
      </c>
      <c r="B357" s="1295">
        <v>0.6818</v>
      </c>
      <c r="C357" s="1295">
        <v>0.6818</v>
      </c>
      <c r="D357" s="1295">
        <v>0.6566</v>
      </c>
      <c r="E357" s="1295">
        <v>0.6566</v>
      </c>
      <c r="F357" s="1295">
        <v>0.6566</v>
      </c>
      <c r="G357" s="1295">
        <v>0.586</v>
      </c>
      <c r="H357" s="1295">
        <v>0.586</v>
      </c>
      <c r="I357" s="1295">
        <v>0.5106</v>
      </c>
      <c r="J357" s="1295">
        <v>0.5106</v>
      </c>
      <c r="K357" s="1295">
        <v>0.5106</v>
      </c>
      <c r="L357" s="1295">
        <v>0.5106</v>
      </c>
      <c r="M357" s="1295">
        <v>0.5106</v>
      </c>
    </row>
    <row r="358" spans="1:13">
      <c r="A358" s="1296">
        <v>5</v>
      </c>
      <c r="B358" s="1295">
        <v>0.6803</v>
      </c>
      <c r="C358" s="1295">
        <v>0.6803</v>
      </c>
      <c r="D358" s="1295">
        <v>0.6544</v>
      </c>
      <c r="E358" s="1295">
        <v>0.6544</v>
      </c>
      <c r="F358" s="1295">
        <v>0.6544</v>
      </c>
      <c r="G358" s="1295">
        <v>0.5838</v>
      </c>
      <c r="H358" s="1295">
        <v>0.5838</v>
      </c>
      <c r="I358" s="1295">
        <v>0.5084</v>
      </c>
      <c r="J358" s="1295">
        <v>0.5084</v>
      </c>
      <c r="K358" s="1295">
        <v>0.5084</v>
      </c>
      <c r="L358" s="1295">
        <v>0.5084</v>
      </c>
      <c r="M358" s="1295">
        <v>0.5084</v>
      </c>
    </row>
    <row r="359" spans="1:13">
      <c r="A359" s="1292">
        <v>5.1</v>
      </c>
      <c r="B359" s="1295">
        <v>0.6789</v>
      </c>
      <c r="C359" s="1295">
        <v>0.6789</v>
      </c>
      <c r="D359" s="1295">
        <v>0.6523</v>
      </c>
      <c r="E359" s="1295">
        <v>0.6523</v>
      </c>
      <c r="F359" s="1295">
        <v>0.6523</v>
      </c>
      <c r="G359" s="1295">
        <v>0.5816</v>
      </c>
      <c r="H359" s="1295">
        <v>0.5816</v>
      </c>
      <c r="I359" s="1295">
        <v>0.5063</v>
      </c>
      <c r="J359" s="1295">
        <v>0.5063</v>
      </c>
      <c r="K359" s="1295">
        <v>0.5063</v>
      </c>
      <c r="L359" s="1295">
        <v>0.5063</v>
      </c>
      <c r="M359" s="1295">
        <v>0.5063</v>
      </c>
    </row>
    <row r="360" spans="1:13">
      <c r="A360" s="1292">
        <v>5.2</v>
      </c>
      <c r="B360" s="1295">
        <v>0.6775</v>
      </c>
      <c r="C360" s="1295">
        <v>0.6775</v>
      </c>
      <c r="D360" s="1295">
        <v>0.6503</v>
      </c>
      <c r="E360" s="1295">
        <v>0.6503</v>
      </c>
      <c r="F360" s="1295">
        <v>0.6503</v>
      </c>
      <c r="G360" s="1295">
        <v>0.5795</v>
      </c>
      <c r="H360" s="1295">
        <v>0.5795</v>
      </c>
      <c r="I360" s="1295">
        <v>0.5042</v>
      </c>
      <c r="J360" s="1295">
        <v>0.5042</v>
      </c>
      <c r="K360" s="1295">
        <v>0.5042</v>
      </c>
      <c r="L360" s="1295">
        <v>0.5042</v>
      </c>
      <c r="M360" s="1295">
        <v>0.5042</v>
      </c>
    </row>
    <row r="361" spans="1:13">
      <c r="A361" s="1292">
        <v>5.3</v>
      </c>
      <c r="B361" s="1295">
        <v>0.6762</v>
      </c>
      <c r="C361" s="1295">
        <v>0.6762</v>
      </c>
      <c r="D361" s="1295">
        <v>0.6484</v>
      </c>
      <c r="E361" s="1295">
        <v>0.6484</v>
      </c>
      <c r="F361" s="1295">
        <v>0.6484</v>
      </c>
      <c r="G361" s="1295">
        <v>0.5776</v>
      </c>
      <c r="H361" s="1295">
        <v>0.5776</v>
      </c>
      <c r="I361" s="1295">
        <v>0.5023</v>
      </c>
      <c r="J361" s="1295">
        <v>0.5023</v>
      </c>
      <c r="K361" s="1295">
        <v>0.5023</v>
      </c>
      <c r="L361" s="1295">
        <v>0.5023</v>
      </c>
      <c r="M361" s="1295">
        <v>0.5023</v>
      </c>
    </row>
    <row r="362" spans="1:13">
      <c r="A362" s="1292">
        <v>5.4</v>
      </c>
      <c r="B362" s="1295">
        <v>0.675</v>
      </c>
      <c r="C362" s="1295">
        <v>0.675</v>
      </c>
      <c r="D362" s="1295">
        <v>0.6467</v>
      </c>
      <c r="E362" s="1295">
        <v>0.6467</v>
      </c>
      <c r="F362" s="1295">
        <v>0.6467</v>
      </c>
      <c r="G362" s="1295">
        <v>0.5758</v>
      </c>
      <c r="H362" s="1295">
        <v>0.5758</v>
      </c>
      <c r="I362" s="1295">
        <v>0.5004</v>
      </c>
      <c r="J362" s="1295">
        <v>0.5004</v>
      </c>
      <c r="K362" s="1295">
        <v>0.5004</v>
      </c>
      <c r="L362" s="1295">
        <v>0.5004</v>
      </c>
      <c r="M362" s="1295">
        <v>0.5004</v>
      </c>
    </row>
    <row r="363" spans="1:13">
      <c r="A363" s="1292">
        <v>5.5</v>
      </c>
      <c r="B363" s="1295">
        <v>0.6738</v>
      </c>
      <c r="C363" s="1295">
        <v>0.6738</v>
      </c>
      <c r="D363" s="1295">
        <v>0.645</v>
      </c>
      <c r="E363" s="1295">
        <v>0.645</v>
      </c>
      <c r="F363" s="1295">
        <v>0.645</v>
      </c>
      <c r="G363" s="1295">
        <v>0.574</v>
      </c>
      <c r="H363" s="1295">
        <v>0.574</v>
      </c>
      <c r="I363" s="1295">
        <v>0.4987</v>
      </c>
      <c r="J363" s="1295">
        <v>0.4987</v>
      </c>
      <c r="K363" s="1295">
        <v>0.4987</v>
      </c>
      <c r="L363" s="1295">
        <v>0.4987</v>
      </c>
      <c r="M363" s="1295">
        <v>0.4987</v>
      </c>
    </row>
    <row r="364" spans="1:13">
      <c r="A364" s="1292">
        <v>5.6</v>
      </c>
      <c r="B364" s="1295">
        <v>0.6726</v>
      </c>
      <c r="C364" s="1295">
        <v>0.6726</v>
      </c>
      <c r="D364" s="1295">
        <v>0.6434</v>
      </c>
      <c r="E364" s="1295">
        <v>0.6434</v>
      </c>
      <c r="F364" s="1295">
        <v>0.6434</v>
      </c>
      <c r="G364" s="1295">
        <v>0.5724</v>
      </c>
      <c r="H364" s="1295">
        <v>0.5724</v>
      </c>
      <c r="I364" s="1295">
        <v>0.4969</v>
      </c>
      <c r="J364" s="1295">
        <v>0.4969</v>
      </c>
      <c r="K364" s="1295">
        <v>0.4969</v>
      </c>
      <c r="L364" s="1295">
        <v>0.4969</v>
      </c>
      <c r="M364" s="1295">
        <v>0.4969</v>
      </c>
    </row>
    <row r="365" spans="1:13">
      <c r="A365" s="1296">
        <v>5.7</v>
      </c>
      <c r="B365" s="1295">
        <v>0.6714</v>
      </c>
      <c r="C365" s="1295">
        <v>0.6714</v>
      </c>
      <c r="D365" s="1295">
        <v>0.6419</v>
      </c>
      <c r="E365" s="1295">
        <v>0.6419</v>
      </c>
      <c r="F365" s="1295">
        <v>0.6419</v>
      </c>
      <c r="G365" s="1295">
        <v>0.5707</v>
      </c>
      <c r="H365" s="1295">
        <v>0.5707</v>
      </c>
      <c r="I365" s="1295">
        <v>0.4952</v>
      </c>
      <c r="J365" s="1295">
        <v>0.4952</v>
      </c>
      <c r="K365" s="1295">
        <v>0.4952</v>
      </c>
      <c r="L365" s="1295">
        <v>0.4952</v>
      </c>
      <c r="M365" s="1295">
        <v>0.4952</v>
      </c>
    </row>
    <row r="366" spans="1:13">
      <c r="A366" s="1292">
        <v>5.8</v>
      </c>
      <c r="B366" s="1295">
        <v>0.6702</v>
      </c>
      <c r="C366" s="1295">
        <v>0.6702</v>
      </c>
      <c r="D366" s="1295">
        <v>0.6404</v>
      </c>
      <c r="E366" s="1295">
        <v>0.6404</v>
      </c>
      <c r="F366" s="1295">
        <v>0.6404</v>
      </c>
      <c r="G366" s="1295">
        <v>0.5691</v>
      </c>
      <c r="H366" s="1295">
        <v>0.5691</v>
      </c>
      <c r="I366" s="1295">
        <v>0.4936</v>
      </c>
      <c r="J366" s="1295">
        <v>0.4936</v>
      </c>
      <c r="K366" s="1295">
        <v>0.4936</v>
      </c>
      <c r="L366" s="1295">
        <v>0.4936</v>
      </c>
      <c r="M366" s="1295">
        <v>0.4936</v>
      </c>
    </row>
    <row r="367" spans="1:13">
      <c r="A367" s="1292">
        <v>5.9</v>
      </c>
      <c r="B367" s="1295">
        <v>0.6691</v>
      </c>
      <c r="C367" s="1295">
        <v>0.6691</v>
      </c>
      <c r="D367" s="1295">
        <v>0.6389</v>
      </c>
      <c r="E367" s="1295">
        <v>0.6389</v>
      </c>
      <c r="F367" s="1295">
        <v>0.6389</v>
      </c>
      <c r="G367" s="1295">
        <v>0.5675</v>
      </c>
      <c r="H367" s="1295">
        <v>0.5675</v>
      </c>
      <c r="I367" s="1295">
        <v>0.4919</v>
      </c>
      <c r="J367" s="1295">
        <v>0.4919</v>
      </c>
      <c r="K367" s="1295">
        <v>0.4919</v>
      </c>
      <c r="L367" s="1295">
        <v>0.4919</v>
      </c>
      <c r="M367" s="1295">
        <v>0.4919</v>
      </c>
    </row>
    <row r="368" spans="1:13">
      <c r="A368" s="1292">
        <v>6</v>
      </c>
      <c r="B368" s="1295">
        <v>0.668</v>
      </c>
      <c r="C368" s="1295">
        <v>0.668</v>
      </c>
      <c r="D368" s="1295">
        <v>0.6374</v>
      </c>
      <c r="E368" s="1295">
        <v>0.6374</v>
      </c>
      <c r="F368" s="1295">
        <v>0.6374</v>
      </c>
      <c r="G368" s="1295">
        <v>0.5659</v>
      </c>
      <c r="H368" s="1295">
        <v>0.5659</v>
      </c>
      <c r="I368" s="1295">
        <v>0.4902</v>
      </c>
      <c r="J368" s="1295">
        <v>0.4902</v>
      </c>
      <c r="K368" s="1295">
        <v>0.4902</v>
      </c>
      <c r="L368" s="1295">
        <v>0.4902</v>
      </c>
      <c r="M368" s="1295">
        <v>0.4902</v>
      </c>
    </row>
    <row r="369" spans="1:13">
      <c r="A369" s="1292">
        <v>6.1</v>
      </c>
      <c r="B369" s="1295">
        <v>0.6669</v>
      </c>
      <c r="C369" s="1295">
        <v>0.6669</v>
      </c>
      <c r="D369" s="1295">
        <v>0.6359</v>
      </c>
      <c r="E369" s="1295">
        <v>0.6359</v>
      </c>
      <c r="F369" s="1295">
        <v>0.6359</v>
      </c>
      <c r="G369" s="1295">
        <v>0.5644</v>
      </c>
      <c r="H369" s="1295">
        <v>0.5644</v>
      </c>
      <c r="I369" s="1295">
        <v>0.4885</v>
      </c>
      <c r="J369" s="1295">
        <v>0.4885</v>
      </c>
      <c r="K369" s="1295">
        <v>0.4885</v>
      </c>
      <c r="L369" s="1295">
        <v>0.4885</v>
      </c>
      <c r="M369" s="1295">
        <v>0.4885</v>
      </c>
    </row>
    <row r="370" spans="1:13">
      <c r="A370" s="1292">
        <v>6.2</v>
      </c>
      <c r="B370" s="1295">
        <v>0.6658</v>
      </c>
      <c r="C370" s="1295">
        <v>0.6658</v>
      </c>
      <c r="D370" s="1295">
        <v>0.6344</v>
      </c>
      <c r="E370" s="1295">
        <v>0.6344</v>
      </c>
      <c r="F370" s="1295">
        <v>0.6344</v>
      </c>
      <c r="G370" s="1295">
        <v>0.5629</v>
      </c>
      <c r="H370" s="1295">
        <v>0.5629</v>
      </c>
      <c r="I370" s="1295">
        <v>0.4868</v>
      </c>
      <c r="J370" s="1295">
        <v>0.4868</v>
      </c>
      <c r="K370" s="1295">
        <v>0.4868</v>
      </c>
      <c r="L370" s="1295">
        <v>0.4868</v>
      </c>
      <c r="M370" s="1295">
        <v>0.4868</v>
      </c>
    </row>
    <row r="371" spans="1:13">
      <c r="A371" s="1292">
        <v>6.3</v>
      </c>
      <c r="B371" s="1295">
        <v>0.6647</v>
      </c>
      <c r="C371" s="1295">
        <v>0.6647</v>
      </c>
      <c r="D371" s="1295">
        <v>0.6329</v>
      </c>
      <c r="E371" s="1295">
        <v>0.6329</v>
      </c>
      <c r="F371" s="1295">
        <v>0.6329</v>
      </c>
      <c r="G371" s="1295">
        <v>0.5613</v>
      </c>
      <c r="H371" s="1295">
        <v>0.5613</v>
      </c>
      <c r="I371" s="1295">
        <v>0.4851</v>
      </c>
      <c r="J371" s="1295">
        <v>0.4851</v>
      </c>
      <c r="K371" s="1295">
        <v>0.4851</v>
      </c>
      <c r="L371" s="1295">
        <v>0.4851</v>
      </c>
      <c r="M371" s="1295">
        <v>0.4851</v>
      </c>
    </row>
    <row r="372" spans="1:13">
      <c r="A372" s="1292">
        <v>6.4</v>
      </c>
      <c r="B372" s="1295">
        <v>0.6636</v>
      </c>
      <c r="C372" s="1295">
        <v>0.6636</v>
      </c>
      <c r="D372" s="1295">
        <v>0.6314</v>
      </c>
      <c r="E372" s="1295">
        <v>0.6314</v>
      </c>
      <c r="F372" s="1295">
        <v>0.6314</v>
      </c>
      <c r="G372" s="1295">
        <v>0.5598</v>
      </c>
      <c r="H372" s="1295">
        <v>0.5598</v>
      </c>
      <c r="I372" s="1295">
        <v>0.4835</v>
      </c>
      <c r="J372" s="1295">
        <v>0.4835</v>
      </c>
      <c r="K372" s="1295">
        <v>0.4835</v>
      </c>
      <c r="L372" s="1295">
        <v>0.4835</v>
      </c>
      <c r="M372" s="1295">
        <v>0.4835</v>
      </c>
    </row>
    <row r="373" spans="1:13">
      <c r="A373" s="1292">
        <v>6.5</v>
      </c>
      <c r="B373" s="1295">
        <v>0.6625</v>
      </c>
      <c r="C373" s="1295">
        <v>0.6625</v>
      </c>
      <c r="D373" s="1295">
        <v>0.63</v>
      </c>
      <c r="E373" s="1295">
        <v>0.63</v>
      </c>
      <c r="F373" s="1295">
        <v>0.63</v>
      </c>
      <c r="G373" s="1295">
        <v>0.5582</v>
      </c>
      <c r="H373" s="1295">
        <v>0.5582</v>
      </c>
      <c r="I373" s="1295">
        <v>0.4819</v>
      </c>
      <c r="J373" s="1295">
        <v>0.4819</v>
      </c>
      <c r="K373" s="1295">
        <v>0.4819</v>
      </c>
      <c r="L373" s="1295">
        <v>0.4819</v>
      </c>
      <c r="M373" s="1295">
        <v>0.4819</v>
      </c>
    </row>
    <row r="374" spans="1:13">
      <c r="A374" s="1292">
        <v>6.6</v>
      </c>
      <c r="B374" s="1295">
        <v>0.6615</v>
      </c>
      <c r="C374" s="1295">
        <v>0.6615</v>
      </c>
      <c r="D374" s="1295">
        <v>0.6286</v>
      </c>
      <c r="E374" s="1295">
        <v>0.6286</v>
      </c>
      <c r="F374" s="1295">
        <v>0.6286</v>
      </c>
      <c r="G374" s="1295">
        <v>0.5567</v>
      </c>
      <c r="H374" s="1295">
        <v>0.5567</v>
      </c>
      <c r="I374" s="1295">
        <v>0.4803</v>
      </c>
      <c r="J374" s="1295">
        <v>0.4803</v>
      </c>
      <c r="K374" s="1295">
        <v>0.4803</v>
      </c>
      <c r="L374" s="1295">
        <v>0.4803</v>
      </c>
      <c r="M374" s="1295">
        <v>0.4803</v>
      </c>
    </row>
    <row r="375" spans="1:13">
      <c r="A375" s="1292">
        <v>6.7</v>
      </c>
      <c r="B375" s="1295">
        <v>0.6605</v>
      </c>
      <c r="C375" s="1295">
        <v>0.6605</v>
      </c>
      <c r="D375" s="1295">
        <v>0.6272</v>
      </c>
      <c r="E375" s="1295">
        <v>0.6272</v>
      </c>
      <c r="F375" s="1295">
        <v>0.6272</v>
      </c>
      <c r="G375" s="1295">
        <v>0.5552</v>
      </c>
      <c r="H375" s="1295">
        <v>0.5552</v>
      </c>
      <c r="I375" s="1295">
        <v>0.4787</v>
      </c>
      <c r="J375" s="1295">
        <v>0.4787</v>
      </c>
      <c r="K375" s="1295">
        <v>0.4787</v>
      </c>
      <c r="L375" s="1295">
        <v>0.4787</v>
      </c>
      <c r="M375" s="1295">
        <v>0.4787</v>
      </c>
    </row>
    <row r="376" spans="1:13">
      <c r="A376" s="1292">
        <v>6.8</v>
      </c>
      <c r="B376" s="1295">
        <v>0.6595</v>
      </c>
      <c r="C376" s="1295">
        <v>0.6595</v>
      </c>
      <c r="D376" s="1295">
        <v>0.6258</v>
      </c>
      <c r="E376" s="1295">
        <v>0.6258</v>
      </c>
      <c r="F376" s="1295">
        <v>0.6258</v>
      </c>
      <c r="G376" s="1295">
        <v>0.5536</v>
      </c>
      <c r="H376" s="1295">
        <v>0.5536</v>
      </c>
      <c r="I376" s="1295">
        <v>0.4771</v>
      </c>
      <c r="J376" s="1295">
        <v>0.4771</v>
      </c>
      <c r="K376" s="1295">
        <v>0.4771</v>
      </c>
      <c r="L376" s="1295">
        <v>0.4771</v>
      </c>
      <c r="M376" s="1295">
        <v>0.4771</v>
      </c>
    </row>
    <row r="377" spans="1:13">
      <c r="A377" s="1292">
        <v>6.9</v>
      </c>
      <c r="B377" s="1295">
        <v>0.6585</v>
      </c>
      <c r="C377" s="1295">
        <v>0.6585</v>
      </c>
      <c r="D377" s="1295">
        <v>0.6244</v>
      </c>
      <c r="E377" s="1295">
        <v>0.6244</v>
      </c>
      <c r="F377" s="1295">
        <v>0.6244</v>
      </c>
      <c r="G377" s="1295">
        <v>0.5522</v>
      </c>
      <c r="H377" s="1295">
        <v>0.5522</v>
      </c>
      <c r="I377" s="1295">
        <v>0.4755</v>
      </c>
      <c r="J377" s="1295">
        <v>0.4755</v>
      </c>
      <c r="K377" s="1295">
        <v>0.4755</v>
      </c>
      <c r="L377" s="1295">
        <v>0.4755</v>
      </c>
      <c r="M377" s="1295">
        <v>0.4755</v>
      </c>
    </row>
    <row r="378" spans="1:13">
      <c r="A378" s="1292">
        <v>7</v>
      </c>
      <c r="B378" s="1295">
        <v>0.6575</v>
      </c>
      <c r="C378" s="1295">
        <v>0.6575</v>
      </c>
      <c r="D378" s="1295">
        <v>0.623</v>
      </c>
      <c r="E378" s="1295">
        <v>0.623</v>
      </c>
      <c r="F378" s="1295">
        <v>0.623</v>
      </c>
      <c r="G378" s="1295">
        <v>0.5507</v>
      </c>
      <c r="H378" s="1295">
        <v>0.5507</v>
      </c>
      <c r="I378" s="1295">
        <v>0.4739</v>
      </c>
      <c r="J378" s="1295">
        <v>0.4739</v>
      </c>
      <c r="K378" s="1295">
        <v>0.4739</v>
      </c>
      <c r="L378" s="1295">
        <v>0.4739</v>
      </c>
      <c r="M378" s="1295">
        <v>0.4739</v>
      </c>
    </row>
    <row r="379" spans="1:13">
      <c r="A379" s="1292">
        <v>7.1</v>
      </c>
      <c r="B379" s="1295">
        <v>0.6565</v>
      </c>
      <c r="C379" s="1295">
        <v>0.6565</v>
      </c>
      <c r="D379" s="1295">
        <v>0.6216</v>
      </c>
      <c r="E379" s="1295">
        <v>0.6216</v>
      </c>
      <c r="F379" s="1295">
        <v>0.6216</v>
      </c>
      <c r="G379" s="1295">
        <v>0.5493</v>
      </c>
      <c r="H379" s="1295">
        <v>0.5493</v>
      </c>
      <c r="I379" s="1295">
        <v>0.4724</v>
      </c>
      <c r="J379" s="1295">
        <v>0.4724</v>
      </c>
      <c r="K379" s="1295">
        <v>0.4724</v>
      </c>
      <c r="L379" s="1295">
        <v>0.4724</v>
      </c>
      <c r="M379" s="1295">
        <v>0.4724</v>
      </c>
    </row>
    <row r="380" spans="1:13">
      <c r="A380" s="1292">
        <v>7.2</v>
      </c>
      <c r="B380" s="1295">
        <v>0.6555</v>
      </c>
      <c r="C380" s="1295">
        <v>0.6555</v>
      </c>
      <c r="D380" s="1295">
        <v>0.6202</v>
      </c>
      <c r="E380" s="1295">
        <v>0.6202</v>
      </c>
      <c r="F380" s="1295">
        <v>0.6202</v>
      </c>
      <c r="G380" s="1295">
        <v>0.5478</v>
      </c>
      <c r="H380" s="1295">
        <v>0.5478</v>
      </c>
      <c r="I380" s="1295">
        <v>0.4709</v>
      </c>
      <c r="J380" s="1295">
        <v>0.4709</v>
      </c>
      <c r="K380" s="1295">
        <v>0.4709</v>
      </c>
      <c r="L380" s="1295">
        <v>0.4709</v>
      </c>
      <c r="M380" s="1295">
        <v>0.4709</v>
      </c>
    </row>
    <row r="381" spans="1:13">
      <c r="A381" s="1292">
        <v>7.3</v>
      </c>
      <c r="B381" s="1295">
        <v>0.6545</v>
      </c>
      <c r="C381" s="1295">
        <v>0.6545</v>
      </c>
      <c r="D381" s="1295">
        <v>0.6188</v>
      </c>
      <c r="E381" s="1295">
        <v>0.6188</v>
      </c>
      <c r="F381" s="1295">
        <v>0.6188</v>
      </c>
      <c r="G381" s="1295">
        <v>0.5464</v>
      </c>
      <c r="H381" s="1295">
        <v>0.5464</v>
      </c>
      <c r="I381" s="1295">
        <v>0.4694</v>
      </c>
      <c r="J381" s="1295">
        <v>0.4694</v>
      </c>
      <c r="K381" s="1295">
        <v>0.4694</v>
      </c>
      <c r="L381" s="1295">
        <v>0.4694</v>
      </c>
      <c r="M381" s="1295">
        <v>0.4694</v>
      </c>
    </row>
    <row r="382" spans="1:13">
      <c r="A382" s="1292">
        <v>7.4</v>
      </c>
      <c r="B382" s="1295">
        <v>0.6535</v>
      </c>
      <c r="C382" s="1295">
        <v>0.6535</v>
      </c>
      <c r="D382" s="1295">
        <v>0.6175</v>
      </c>
      <c r="E382" s="1295">
        <v>0.6175</v>
      </c>
      <c r="F382" s="1295">
        <v>0.6175</v>
      </c>
      <c r="G382" s="1295">
        <v>0.5449</v>
      </c>
      <c r="H382" s="1295">
        <v>0.5449</v>
      </c>
      <c r="I382" s="1295">
        <v>0.4678</v>
      </c>
      <c r="J382" s="1295">
        <v>0.4678</v>
      </c>
      <c r="K382" s="1295">
        <v>0.4678</v>
      </c>
      <c r="L382" s="1295">
        <v>0.4678</v>
      </c>
      <c r="M382" s="1295">
        <v>0.4678</v>
      </c>
    </row>
    <row r="383" spans="1:13">
      <c r="A383" s="1292">
        <v>7.5</v>
      </c>
      <c r="B383" s="1295">
        <v>0.6525</v>
      </c>
      <c r="C383" s="1295">
        <v>0.6525</v>
      </c>
      <c r="D383" s="1295">
        <v>0.6162</v>
      </c>
      <c r="E383" s="1295">
        <v>0.6162</v>
      </c>
      <c r="F383" s="1295">
        <v>0.6162</v>
      </c>
      <c r="G383" s="1295">
        <v>0.5435</v>
      </c>
      <c r="H383" s="1295">
        <v>0.5435</v>
      </c>
      <c r="I383" s="1295">
        <v>0.4663</v>
      </c>
      <c r="J383" s="1295">
        <v>0.4663</v>
      </c>
      <c r="K383" s="1295">
        <v>0.4663</v>
      </c>
      <c r="L383" s="1295">
        <v>0.4663</v>
      </c>
      <c r="M383" s="1295">
        <v>0.4663</v>
      </c>
    </row>
    <row r="384" spans="1:13">
      <c r="A384" s="1292">
        <v>7.6</v>
      </c>
      <c r="B384" s="1295">
        <v>0.6515</v>
      </c>
      <c r="C384" s="1295">
        <v>0.6515</v>
      </c>
      <c r="D384" s="1295">
        <v>0.6149</v>
      </c>
      <c r="E384" s="1295">
        <v>0.6149</v>
      </c>
      <c r="F384" s="1295">
        <v>0.6149</v>
      </c>
      <c r="G384" s="1295">
        <v>0.542</v>
      </c>
      <c r="H384" s="1295">
        <v>0.542</v>
      </c>
      <c r="I384" s="1295">
        <v>0.4648</v>
      </c>
      <c r="J384" s="1295">
        <v>0.4648</v>
      </c>
      <c r="K384" s="1295">
        <v>0.4648</v>
      </c>
      <c r="L384" s="1295">
        <v>0.4648</v>
      </c>
      <c r="M384" s="1295">
        <v>0.4648</v>
      </c>
    </row>
    <row r="385" spans="1:13">
      <c r="A385" s="1292">
        <v>7.7</v>
      </c>
      <c r="B385" s="1295">
        <v>0.6505</v>
      </c>
      <c r="C385" s="1295">
        <v>0.6505</v>
      </c>
      <c r="D385" s="1295">
        <v>0.6136</v>
      </c>
      <c r="E385" s="1295">
        <v>0.6136</v>
      </c>
      <c r="F385" s="1295">
        <v>0.6136</v>
      </c>
      <c r="G385" s="1295">
        <v>0.5406</v>
      </c>
      <c r="H385" s="1295">
        <v>0.5406</v>
      </c>
      <c r="I385" s="1295">
        <v>0.4633</v>
      </c>
      <c r="J385" s="1295">
        <v>0.4633</v>
      </c>
      <c r="K385" s="1295">
        <v>0.4633</v>
      </c>
      <c r="L385" s="1295">
        <v>0.4633</v>
      </c>
      <c r="M385" s="1295">
        <v>0.4633</v>
      </c>
    </row>
    <row r="386" spans="1:13">
      <c r="A386" s="1292">
        <v>7.8</v>
      </c>
      <c r="B386" s="1295">
        <v>0.6495</v>
      </c>
      <c r="C386" s="1295">
        <v>0.6495</v>
      </c>
      <c r="D386" s="1295">
        <v>0.6123</v>
      </c>
      <c r="E386" s="1295">
        <v>0.6123</v>
      </c>
      <c r="F386" s="1295">
        <v>0.6123</v>
      </c>
      <c r="G386" s="1295">
        <v>0.5391</v>
      </c>
      <c r="H386" s="1295">
        <v>0.5391</v>
      </c>
      <c r="I386" s="1295">
        <v>0.4617</v>
      </c>
      <c r="J386" s="1295">
        <v>0.4617</v>
      </c>
      <c r="K386" s="1295">
        <v>0.4617</v>
      </c>
      <c r="L386" s="1295">
        <v>0.4617</v>
      </c>
      <c r="M386" s="1295">
        <v>0.4617</v>
      </c>
    </row>
    <row r="387" spans="1:13">
      <c r="A387" s="1292">
        <v>7.9</v>
      </c>
      <c r="B387" s="1295">
        <v>0.6485</v>
      </c>
      <c r="C387" s="1295">
        <v>0.6485</v>
      </c>
      <c r="D387" s="1295">
        <v>0.611</v>
      </c>
      <c r="E387" s="1295">
        <v>0.611</v>
      </c>
      <c r="F387" s="1295">
        <v>0.611</v>
      </c>
      <c r="G387" s="1295">
        <v>0.5377</v>
      </c>
      <c r="H387" s="1295">
        <v>0.5377</v>
      </c>
      <c r="I387" s="1295">
        <v>0.4602</v>
      </c>
      <c r="J387" s="1295">
        <v>0.4602</v>
      </c>
      <c r="K387" s="1295">
        <v>0.4602</v>
      </c>
      <c r="L387" s="1295">
        <v>0.4602</v>
      </c>
      <c r="M387" s="1295">
        <v>0.4602</v>
      </c>
    </row>
    <row r="388" spans="1:13">
      <c r="A388" s="1292">
        <v>8</v>
      </c>
      <c r="B388" s="1295">
        <v>0.6475</v>
      </c>
      <c r="C388" s="1295">
        <v>0.6475</v>
      </c>
      <c r="D388" s="1295">
        <v>0.6097</v>
      </c>
      <c r="E388" s="1295">
        <v>0.6097</v>
      </c>
      <c r="F388" s="1295">
        <v>0.6097</v>
      </c>
      <c r="G388" s="1295">
        <v>0.5362</v>
      </c>
      <c r="H388" s="1295">
        <v>0.5362</v>
      </c>
      <c r="I388" s="1295">
        <v>0.4587</v>
      </c>
      <c r="J388" s="1295">
        <v>0.4587</v>
      </c>
      <c r="K388" s="1295">
        <v>0.4587</v>
      </c>
      <c r="L388" s="1295">
        <v>0.4587</v>
      </c>
      <c r="M388" s="1295">
        <v>0.4587</v>
      </c>
    </row>
    <row r="389" spans="1:13">
      <c r="A389" s="1292">
        <v>8.1</v>
      </c>
      <c r="B389" s="1295">
        <v>0.6465</v>
      </c>
      <c r="C389" s="1295">
        <v>0.6465</v>
      </c>
      <c r="D389" s="1295">
        <v>0.6084</v>
      </c>
      <c r="E389" s="1295">
        <v>0.6084</v>
      </c>
      <c r="F389" s="1295">
        <v>0.6084</v>
      </c>
      <c r="G389" s="1295">
        <v>0.5348</v>
      </c>
      <c r="H389" s="1295">
        <v>0.5348</v>
      </c>
      <c r="I389" s="1295">
        <v>0.4572</v>
      </c>
      <c r="J389" s="1295">
        <v>0.4572</v>
      </c>
      <c r="K389" s="1295">
        <v>0.4572</v>
      </c>
      <c r="L389" s="1295">
        <v>0.4572</v>
      </c>
      <c r="M389" s="1295">
        <v>0.4572</v>
      </c>
    </row>
    <row r="390" spans="1:13">
      <c r="A390" s="1292">
        <v>8.2</v>
      </c>
      <c r="B390" s="1295">
        <v>0.6455</v>
      </c>
      <c r="C390" s="1295">
        <v>0.6455</v>
      </c>
      <c r="D390" s="1295">
        <v>0.6071</v>
      </c>
      <c r="E390" s="1295">
        <v>0.6071</v>
      </c>
      <c r="F390" s="1295">
        <v>0.6071</v>
      </c>
      <c r="G390" s="1295">
        <v>0.5333</v>
      </c>
      <c r="H390" s="1295">
        <v>0.5333</v>
      </c>
      <c r="I390" s="1295">
        <v>0.4557</v>
      </c>
      <c r="J390" s="1295">
        <v>0.4557</v>
      </c>
      <c r="K390" s="1295">
        <v>0.4557</v>
      </c>
      <c r="L390" s="1295">
        <v>0.4557</v>
      </c>
      <c r="M390" s="1295">
        <v>0.4557</v>
      </c>
    </row>
    <row r="391" spans="1:13">
      <c r="A391" s="1292">
        <v>8.3</v>
      </c>
      <c r="B391" s="1295">
        <v>0.6445</v>
      </c>
      <c r="C391" s="1295">
        <v>0.6445</v>
      </c>
      <c r="D391" s="1295">
        <v>0.6058</v>
      </c>
      <c r="E391" s="1295">
        <v>0.6058</v>
      </c>
      <c r="F391" s="1295">
        <v>0.6058</v>
      </c>
      <c r="G391" s="1295">
        <v>0.5319</v>
      </c>
      <c r="H391" s="1295">
        <v>0.5319</v>
      </c>
      <c r="I391" s="1295">
        <v>0.4543</v>
      </c>
      <c r="J391" s="1295">
        <v>0.4543</v>
      </c>
      <c r="K391" s="1295">
        <v>0.4543</v>
      </c>
      <c r="L391" s="1295">
        <v>0.4543</v>
      </c>
      <c r="M391" s="1295">
        <v>0.4543</v>
      </c>
    </row>
    <row r="392" spans="1:13">
      <c r="A392" s="1292">
        <v>8.4</v>
      </c>
      <c r="B392" s="1295">
        <v>0.6435</v>
      </c>
      <c r="C392" s="1295">
        <v>0.6435</v>
      </c>
      <c r="D392" s="1295">
        <v>0.6045</v>
      </c>
      <c r="E392" s="1295">
        <v>0.6045</v>
      </c>
      <c r="F392" s="1295">
        <v>0.6045</v>
      </c>
      <c r="G392" s="1295">
        <v>0.5304</v>
      </c>
      <c r="H392" s="1295">
        <v>0.5304</v>
      </c>
      <c r="I392" s="1295">
        <v>0.4529</v>
      </c>
      <c r="J392" s="1295">
        <v>0.4529</v>
      </c>
      <c r="K392" s="1295">
        <v>0.4529</v>
      </c>
      <c r="L392" s="1295">
        <v>0.4529</v>
      </c>
      <c r="M392" s="1295">
        <v>0.4529</v>
      </c>
    </row>
    <row r="393" spans="1:13">
      <c r="A393" s="1292">
        <v>8.5</v>
      </c>
      <c r="B393" s="1295">
        <v>0.6425</v>
      </c>
      <c r="C393" s="1295">
        <v>0.6425</v>
      </c>
      <c r="D393" s="1295">
        <v>0.6032</v>
      </c>
      <c r="E393" s="1295">
        <v>0.6032</v>
      </c>
      <c r="F393" s="1295">
        <v>0.6032</v>
      </c>
      <c r="G393" s="1295">
        <v>0.529</v>
      </c>
      <c r="H393" s="1295">
        <v>0.529</v>
      </c>
      <c r="I393" s="1295">
        <v>0.4514</v>
      </c>
      <c r="J393" s="1295">
        <v>0.4514</v>
      </c>
      <c r="K393" s="1295">
        <v>0.4514</v>
      </c>
      <c r="L393" s="1295">
        <v>0.4514</v>
      </c>
      <c r="M393" s="1295">
        <v>0.4514</v>
      </c>
    </row>
    <row r="394" spans="1:13">
      <c r="A394" s="1292">
        <v>8.6</v>
      </c>
      <c r="B394" s="1295">
        <v>0.6415</v>
      </c>
      <c r="C394" s="1295">
        <v>0.6415</v>
      </c>
      <c r="D394" s="1295">
        <v>0.6019</v>
      </c>
      <c r="E394" s="1295">
        <v>0.6019</v>
      </c>
      <c r="F394" s="1295">
        <v>0.6019</v>
      </c>
      <c r="G394" s="1295">
        <v>0.5275</v>
      </c>
      <c r="H394" s="1295">
        <v>0.5275</v>
      </c>
      <c r="I394" s="1295">
        <v>0.45</v>
      </c>
      <c r="J394" s="1295">
        <v>0.45</v>
      </c>
      <c r="K394" s="1295">
        <v>0.45</v>
      </c>
      <c r="L394" s="1295">
        <v>0.45</v>
      </c>
      <c r="M394" s="1295">
        <v>0.45</v>
      </c>
    </row>
    <row r="395" spans="1:13">
      <c r="A395" s="1292">
        <v>8.7</v>
      </c>
      <c r="B395" s="1295">
        <v>0.6405</v>
      </c>
      <c r="C395" s="1295">
        <v>0.6405</v>
      </c>
      <c r="D395" s="1295">
        <v>0.6006</v>
      </c>
      <c r="E395" s="1295">
        <v>0.6006</v>
      </c>
      <c r="F395" s="1295">
        <v>0.6006</v>
      </c>
      <c r="G395" s="1295">
        <v>0.5261</v>
      </c>
      <c r="H395" s="1295">
        <v>0.5261</v>
      </c>
      <c r="I395" s="1295">
        <v>0.4485</v>
      </c>
      <c r="J395" s="1295">
        <v>0.4485</v>
      </c>
      <c r="K395" s="1295">
        <v>0.4485</v>
      </c>
      <c r="L395" s="1295">
        <v>0.4485</v>
      </c>
      <c r="M395" s="1295">
        <v>0.4485</v>
      </c>
    </row>
    <row r="396" spans="1:13">
      <c r="A396" s="1292">
        <v>8.8</v>
      </c>
      <c r="B396" s="1295">
        <v>0.6395</v>
      </c>
      <c r="C396" s="1295">
        <v>0.6395</v>
      </c>
      <c r="D396" s="1295">
        <v>0.5993</v>
      </c>
      <c r="E396" s="1295">
        <v>0.5993</v>
      </c>
      <c r="F396" s="1295">
        <v>0.5993</v>
      </c>
      <c r="G396" s="1295">
        <v>0.5246</v>
      </c>
      <c r="H396" s="1295">
        <v>0.5246</v>
      </c>
      <c r="I396" s="1295">
        <v>0.4471</v>
      </c>
      <c r="J396" s="1295">
        <v>0.4471</v>
      </c>
      <c r="K396" s="1295">
        <v>0.4471</v>
      </c>
      <c r="L396" s="1295">
        <v>0.4471</v>
      </c>
      <c r="M396" s="1295">
        <v>0.4471</v>
      </c>
    </row>
    <row r="397" spans="1:13">
      <c r="A397" s="1292">
        <v>8.9</v>
      </c>
      <c r="B397" s="1295">
        <v>0.6385</v>
      </c>
      <c r="C397" s="1295">
        <v>0.6385</v>
      </c>
      <c r="D397" s="1295">
        <v>0.598</v>
      </c>
      <c r="E397" s="1295">
        <v>0.598</v>
      </c>
      <c r="F397" s="1295">
        <v>0.598</v>
      </c>
      <c r="G397" s="1295">
        <v>0.5232</v>
      </c>
      <c r="H397" s="1295">
        <v>0.5232</v>
      </c>
      <c r="I397" s="1295">
        <v>0.4456</v>
      </c>
      <c r="J397" s="1295">
        <v>0.4456</v>
      </c>
      <c r="K397" s="1295">
        <v>0.4456</v>
      </c>
      <c r="L397" s="1295">
        <v>0.4456</v>
      </c>
      <c r="M397" s="1295">
        <v>0.4456</v>
      </c>
    </row>
    <row r="398" spans="1:13">
      <c r="A398" s="1296">
        <v>9</v>
      </c>
      <c r="B398" s="1295">
        <v>0.6375</v>
      </c>
      <c r="C398" s="1295">
        <v>0.6375</v>
      </c>
      <c r="D398" s="1295">
        <v>0.5967</v>
      </c>
      <c r="E398" s="1295">
        <v>0.5967</v>
      </c>
      <c r="F398" s="1295">
        <v>0.5967</v>
      </c>
      <c r="G398" s="1295">
        <v>0.5217</v>
      </c>
      <c r="H398" s="1295">
        <v>0.5217</v>
      </c>
      <c r="I398" s="1295">
        <v>0.4443</v>
      </c>
      <c r="J398" s="1295">
        <v>0.4443</v>
      </c>
      <c r="K398" s="1295">
        <v>0.4443</v>
      </c>
      <c r="L398" s="1295">
        <v>0.4443</v>
      </c>
      <c r="M398" s="1295">
        <v>0.4443</v>
      </c>
    </row>
    <row r="399" spans="1:13">
      <c r="A399" s="1296">
        <v>9.1</v>
      </c>
      <c r="B399" s="1295">
        <v>0.6365</v>
      </c>
      <c r="C399" s="1295">
        <v>0.6365</v>
      </c>
      <c r="D399" s="1295">
        <v>0.5954</v>
      </c>
      <c r="E399" s="1295">
        <v>0.5954</v>
      </c>
      <c r="F399" s="1295">
        <v>0.5954</v>
      </c>
      <c r="G399" s="1295">
        <v>0.5203</v>
      </c>
      <c r="H399" s="1295">
        <v>0.5203</v>
      </c>
      <c r="I399" s="1295">
        <v>0.4429</v>
      </c>
      <c r="J399" s="1295">
        <v>0.4429</v>
      </c>
      <c r="K399" s="1295">
        <v>0.4429</v>
      </c>
      <c r="L399" s="1295">
        <v>0.4429</v>
      </c>
      <c r="M399" s="1295">
        <v>0.4429</v>
      </c>
    </row>
    <row r="400" spans="1:13">
      <c r="A400" s="1296">
        <v>9.2</v>
      </c>
      <c r="B400" s="1295">
        <v>0.6355</v>
      </c>
      <c r="C400" s="1295">
        <v>0.6355</v>
      </c>
      <c r="D400" s="1295">
        <v>0.5941</v>
      </c>
      <c r="E400" s="1295">
        <v>0.5941</v>
      </c>
      <c r="F400" s="1295">
        <v>0.5941</v>
      </c>
      <c r="G400" s="1295">
        <v>0.5188</v>
      </c>
      <c r="H400" s="1295">
        <v>0.5188</v>
      </c>
      <c r="I400" s="1295">
        <v>0.4416</v>
      </c>
      <c r="J400" s="1295">
        <v>0.4416</v>
      </c>
      <c r="K400" s="1295">
        <v>0.4416</v>
      </c>
      <c r="L400" s="1295">
        <v>0.4416</v>
      </c>
      <c r="M400" s="1295">
        <v>0.4416</v>
      </c>
    </row>
    <row r="401" spans="1:13">
      <c r="A401" s="1296">
        <v>9.3</v>
      </c>
      <c r="B401" s="1295">
        <v>0.6345</v>
      </c>
      <c r="C401" s="1295">
        <v>0.6345</v>
      </c>
      <c r="D401" s="1295">
        <v>0.5928</v>
      </c>
      <c r="E401" s="1295">
        <v>0.5928</v>
      </c>
      <c r="F401" s="1295">
        <v>0.5928</v>
      </c>
      <c r="G401" s="1295">
        <v>0.5174</v>
      </c>
      <c r="H401" s="1295">
        <v>0.5174</v>
      </c>
      <c r="I401" s="1295">
        <v>0.4402</v>
      </c>
      <c r="J401" s="1295">
        <v>0.4402</v>
      </c>
      <c r="K401" s="1295">
        <v>0.4402</v>
      </c>
      <c r="L401" s="1295">
        <v>0.4402</v>
      </c>
      <c r="M401" s="1295">
        <v>0.4402</v>
      </c>
    </row>
    <row r="402" spans="1:13">
      <c r="A402" s="1296">
        <v>9.4</v>
      </c>
      <c r="B402" s="1295">
        <v>0.6335</v>
      </c>
      <c r="C402" s="1295">
        <v>0.6335</v>
      </c>
      <c r="D402" s="1295">
        <v>0.5915</v>
      </c>
      <c r="E402" s="1295">
        <v>0.5915</v>
      </c>
      <c r="F402" s="1295">
        <v>0.5915</v>
      </c>
      <c r="G402" s="1295">
        <v>0.516</v>
      </c>
      <c r="H402" s="1295">
        <v>0.516</v>
      </c>
      <c r="I402" s="1295">
        <v>0.4388</v>
      </c>
      <c r="J402" s="1295">
        <v>0.4388</v>
      </c>
      <c r="K402" s="1295">
        <v>0.4388</v>
      </c>
      <c r="L402" s="1295">
        <v>0.4388</v>
      </c>
      <c r="M402" s="1295">
        <v>0.4388</v>
      </c>
    </row>
    <row r="403" spans="1:13">
      <c r="A403" s="1296">
        <v>9.5</v>
      </c>
      <c r="B403" s="1295">
        <v>0.6325</v>
      </c>
      <c r="C403" s="1295">
        <v>0.6325</v>
      </c>
      <c r="D403" s="1295">
        <v>0.5903</v>
      </c>
      <c r="E403" s="1295">
        <v>0.5903</v>
      </c>
      <c r="F403" s="1295">
        <v>0.5903</v>
      </c>
      <c r="G403" s="1295">
        <v>0.5147</v>
      </c>
      <c r="H403" s="1295">
        <v>0.5147</v>
      </c>
      <c r="I403" s="1295">
        <v>0.4375</v>
      </c>
      <c r="J403" s="1295">
        <v>0.4375</v>
      </c>
      <c r="K403" s="1295">
        <v>0.4375</v>
      </c>
      <c r="L403" s="1295">
        <v>0.4375</v>
      </c>
      <c r="M403" s="1295">
        <v>0.4375</v>
      </c>
    </row>
    <row r="404" spans="1:13">
      <c r="A404" s="1296">
        <v>9.6</v>
      </c>
      <c r="B404" s="1295">
        <v>0.6315</v>
      </c>
      <c r="C404" s="1295">
        <v>0.6315</v>
      </c>
      <c r="D404" s="1295">
        <v>0.5891</v>
      </c>
      <c r="E404" s="1295">
        <v>0.5891</v>
      </c>
      <c r="F404" s="1295">
        <v>0.5891</v>
      </c>
      <c r="G404" s="1295">
        <v>0.5133</v>
      </c>
      <c r="H404" s="1295">
        <v>0.5133</v>
      </c>
      <c r="I404" s="1295">
        <v>0.4361</v>
      </c>
      <c r="J404" s="1295">
        <v>0.4361</v>
      </c>
      <c r="K404" s="1295">
        <v>0.4361</v>
      </c>
      <c r="L404" s="1295">
        <v>0.4361</v>
      </c>
      <c r="M404" s="1295">
        <v>0.4361</v>
      </c>
    </row>
    <row r="405" spans="1:13">
      <c r="A405" s="1296">
        <v>9.7</v>
      </c>
      <c r="B405" s="1295">
        <v>0.6305</v>
      </c>
      <c r="C405" s="1295">
        <v>0.6305</v>
      </c>
      <c r="D405" s="1295">
        <v>0.5879</v>
      </c>
      <c r="E405" s="1295">
        <v>0.5879</v>
      </c>
      <c r="F405" s="1295">
        <v>0.5879</v>
      </c>
      <c r="G405" s="1295">
        <v>0.512</v>
      </c>
      <c r="H405" s="1295">
        <v>0.512</v>
      </c>
      <c r="I405" s="1295">
        <v>0.4348</v>
      </c>
      <c r="J405" s="1295">
        <v>0.4348</v>
      </c>
      <c r="K405" s="1295">
        <v>0.4348</v>
      </c>
      <c r="L405" s="1295">
        <v>0.4348</v>
      </c>
      <c r="M405" s="1295">
        <v>0.4348</v>
      </c>
    </row>
    <row r="406" spans="1:13">
      <c r="A406" s="1296">
        <v>9.8</v>
      </c>
      <c r="B406" s="1295">
        <v>0.6295</v>
      </c>
      <c r="C406" s="1295">
        <v>0.6295</v>
      </c>
      <c r="D406" s="1295">
        <v>0.5867</v>
      </c>
      <c r="E406" s="1295">
        <v>0.5867</v>
      </c>
      <c r="F406" s="1295">
        <v>0.5867</v>
      </c>
      <c r="G406" s="1295">
        <v>0.5106</v>
      </c>
      <c r="H406" s="1295">
        <v>0.5106</v>
      </c>
      <c r="I406" s="1295">
        <v>0.4334</v>
      </c>
      <c r="J406" s="1295">
        <v>0.4334</v>
      </c>
      <c r="K406" s="1295">
        <v>0.4334</v>
      </c>
      <c r="L406" s="1295">
        <v>0.4334</v>
      </c>
      <c r="M406" s="1295">
        <v>0.4334</v>
      </c>
    </row>
    <row r="407" spans="1:13">
      <c r="A407" s="1296">
        <v>9.9</v>
      </c>
      <c r="B407" s="1295">
        <v>0.6285</v>
      </c>
      <c r="C407" s="1295">
        <v>0.6285</v>
      </c>
      <c r="D407" s="1295">
        <v>0.5855</v>
      </c>
      <c r="E407" s="1295">
        <v>0.5855</v>
      </c>
      <c r="F407" s="1295">
        <v>0.5855</v>
      </c>
      <c r="G407" s="1295">
        <v>0.5092</v>
      </c>
      <c r="H407" s="1295">
        <v>0.5092</v>
      </c>
      <c r="I407" s="1295">
        <v>0.432</v>
      </c>
      <c r="J407" s="1295">
        <v>0.432</v>
      </c>
      <c r="K407" s="1295">
        <v>0.432</v>
      </c>
      <c r="L407" s="1295">
        <v>0.432</v>
      </c>
      <c r="M407" s="1295">
        <v>0.432</v>
      </c>
    </row>
    <row r="408" spans="1:13">
      <c r="A408" s="1296">
        <v>10</v>
      </c>
      <c r="B408" s="1295">
        <v>0.6275</v>
      </c>
      <c r="C408" s="1295">
        <v>0.6275</v>
      </c>
      <c r="D408" s="1295">
        <v>0.5843</v>
      </c>
      <c r="E408" s="1295">
        <v>0.5843</v>
      </c>
      <c r="F408" s="1295">
        <v>0.5843</v>
      </c>
      <c r="G408" s="1295">
        <v>0.5079</v>
      </c>
      <c r="H408" s="1295">
        <v>0.5079</v>
      </c>
      <c r="I408" s="1295">
        <v>0.4307</v>
      </c>
      <c r="J408" s="1295">
        <v>0.4307</v>
      </c>
      <c r="K408" s="1295">
        <v>0.4307</v>
      </c>
      <c r="L408" s="1295">
        <v>0.4307</v>
      </c>
      <c r="M408" s="1295">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G23" sqref="G23"/>
    </sheetView>
  </sheetViews>
  <sheetFormatPr defaultColWidth="9" defaultRowHeight="13.5" outlineLevelCol="5"/>
  <cols>
    <col min="1" max="1" width="12.625" style="1257" customWidth="1"/>
    <col min="2" max="2" width="10.25" style="1258" customWidth="1"/>
  </cols>
  <sheetData>
    <row r="1" spans="1:2">
      <c r="A1" s="1259" t="s">
        <v>2129</v>
      </c>
      <c r="B1" s="1259"/>
    </row>
    <row r="2" ht="14.25" spans="1:2">
      <c r="A2" s="1259"/>
      <c r="B2" s="1259"/>
    </row>
    <row r="3" ht="14.25" spans="1:6">
      <c r="A3" s="1259"/>
      <c r="B3" s="1259"/>
      <c r="C3" s="1260" t="s">
        <v>376</v>
      </c>
      <c r="D3" s="1260" t="s">
        <v>377</v>
      </c>
      <c r="E3" s="1260" t="s">
        <v>375</v>
      </c>
      <c r="F3" s="1260" t="s">
        <v>164</v>
      </c>
    </row>
    <row r="4" ht="14.25" spans="1:6">
      <c r="A4" s="1261" t="s">
        <v>1796</v>
      </c>
      <c r="B4" s="1262" t="s">
        <v>424</v>
      </c>
      <c r="C4" s="1260"/>
      <c r="D4" s="1260"/>
      <c r="E4" s="1260"/>
      <c r="F4" s="1260"/>
    </row>
    <row r="5" ht="14.25" spans="1:6">
      <c r="A5" s="1263" t="s">
        <v>240</v>
      </c>
      <c r="B5" s="1264" t="s">
        <v>1784</v>
      </c>
      <c r="C5" s="1265">
        <v>0.089</v>
      </c>
      <c r="D5" s="1265">
        <v>0.074</v>
      </c>
      <c r="E5" s="1265">
        <v>0.075</v>
      </c>
      <c r="F5" s="1266">
        <v>0.1</v>
      </c>
    </row>
    <row r="6" ht="14.25" spans="1:6">
      <c r="A6" s="1263" t="s">
        <v>240</v>
      </c>
      <c r="B6" s="1267" t="s">
        <v>1797</v>
      </c>
      <c r="C6" s="1268">
        <v>0.1</v>
      </c>
      <c r="D6" s="1268">
        <v>0.091</v>
      </c>
      <c r="E6" s="1268">
        <v>0.091</v>
      </c>
      <c r="F6" s="1269">
        <v>0.1</v>
      </c>
    </row>
    <row r="7" ht="14.25" spans="1:6">
      <c r="A7" s="1263" t="s">
        <v>240</v>
      </c>
      <c r="B7" s="1270" t="s">
        <v>1809</v>
      </c>
      <c r="C7" s="1268">
        <v>0.086</v>
      </c>
      <c r="D7" s="1268">
        <v>0.096</v>
      </c>
      <c r="E7" s="1268">
        <v>0.076</v>
      </c>
      <c r="F7" s="1269">
        <v>0.1</v>
      </c>
    </row>
    <row r="8" ht="14.25" spans="1:6">
      <c r="A8" s="1263" t="s">
        <v>240</v>
      </c>
      <c r="B8" s="1267" t="s">
        <v>1821</v>
      </c>
      <c r="C8" s="1268">
        <v>0.099</v>
      </c>
      <c r="D8" s="1268">
        <v>0.098</v>
      </c>
      <c r="E8" s="1268">
        <v>0.098</v>
      </c>
      <c r="F8" s="1269">
        <v>0.1</v>
      </c>
    </row>
    <row r="9" ht="14.25" spans="1:6">
      <c r="A9" s="1271" t="s">
        <v>240</v>
      </c>
      <c r="B9" s="1272" t="s">
        <v>1833</v>
      </c>
      <c r="C9" s="1273">
        <v>0.05</v>
      </c>
      <c r="D9" s="1274"/>
      <c r="E9" s="1274"/>
      <c r="F9" s="1275"/>
    </row>
    <row r="10" ht="14.25" spans="1:6">
      <c r="A10" s="1263" t="s">
        <v>253</v>
      </c>
      <c r="B10" s="1264" t="s">
        <v>1785</v>
      </c>
      <c r="C10" s="1265">
        <v>0.089</v>
      </c>
      <c r="D10" s="1265">
        <v>0.073</v>
      </c>
      <c r="E10" s="1265">
        <v>0.082</v>
      </c>
      <c r="F10" s="1266">
        <v>0.1</v>
      </c>
    </row>
    <row r="11" ht="14.25" spans="1:6">
      <c r="A11" s="1263" t="s">
        <v>253</v>
      </c>
      <c r="B11" s="1270" t="s">
        <v>1798</v>
      </c>
      <c r="C11" s="1268">
        <v>0.089</v>
      </c>
      <c r="D11" s="1268">
        <v>0.073</v>
      </c>
      <c r="E11" s="1268">
        <v>0.082</v>
      </c>
      <c r="F11" s="1269">
        <v>0.1</v>
      </c>
    </row>
    <row r="12" ht="14.25" spans="1:6">
      <c r="A12" s="1263" t="s">
        <v>253</v>
      </c>
      <c r="B12" s="1270" t="s">
        <v>1810</v>
      </c>
      <c r="C12" s="1268">
        <v>0.061</v>
      </c>
      <c r="D12" s="1268">
        <v>0.071</v>
      </c>
      <c r="E12" s="1268">
        <v>0.096</v>
      </c>
      <c r="F12" s="1269">
        <v>0.1</v>
      </c>
    </row>
    <row r="13" ht="14.25" spans="1:6">
      <c r="A13" s="1263" t="s">
        <v>253</v>
      </c>
      <c r="B13" s="1270" t="s">
        <v>1822</v>
      </c>
      <c r="C13" s="1268">
        <v>0.069</v>
      </c>
      <c r="D13" s="1268">
        <v>0.065</v>
      </c>
      <c r="E13" s="1268">
        <v>0.066</v>
      </c>
      <c r="F13" s="1269">
        <v>0.1</v>
      </c>
    </row>
    <row r="14" ht="14.25" spans="1:6">
      <c r="A14" s="1263" t="s">
        <v>253</v>
      </c>
      <c r="B14" s="1270" t="s">
        <v>1834</v>
      </c>
      <c r="C14" s="1268">
        <v>0.1</v>
      </c>
      <c r="D14" s="1268">
        <v>0.065</v>
      </c>
      <c r="E14" s="1268">
        <v>0.07</v>
      </c>
      <c r="F14" s="1269">
        <v>0.1</v>
      </c>
    </row>
    <row r="15" ht="14.25" spans="1:6">
      <c r="A15" s="1263" t="s">
        <v>253</v>
      </c>
      <c r="B15" s="1270" t="s">
        <v>1845</v>
      </c>
      <c r="C15" s="1268">
        <v>0.098</v>
      </c>
      <c r="D15" s="1268">
        <v>0.089</v>
      </c>
      <c r="E15" s="1268">
        <v>0.089</v>
      </c>
      <c r="F15" s="1269">
        <v>0.1</v>
      </c>
    </row>
    <row r="16" ht="14.25" spans="1:6">
      <c r="A16" s="1263" t="s">
        <v>253</v>
      </c>
      <c r="B16" s="1270" t="s">
        <v>1856</v>
      </c>
      <c r="C16" s="1268">
        <v>0.07</v>
      </c>
      <c r="D16" s="1268">
        <v>0.093</v>
      </c>
      <c r="E16" s="1268">
        <v>0.096</v>
      </c>
      <c r="F16" s="1269">
        <v>0.1</v>
      </c>
    </row>
    <row r="17" ht="14.25" spans="1:6">
      <c r="A17" s="1263" t="s">
        <v>253</v>
      </c>
      <c r="B17" s="1270" t="s">
        <v>1867</v>
      </c>
      <c r="C17" s="1268">
        <v>0.095</v>
      </c>
      <c r="D17" s="1268">
        <v>0.1</v>
      </c>
      <c r="E17" s="1268">
        <v>0.1</v>
      </c>
      <c r="F17" s="1276"/>
    </row>
    <row r="18" ht="14.25" spans="1:6">
      <c r="A18" s="1263" t="s">
        <v>253</v>
      </c>
      <c r="B18" s="1270" t="s">
        <v>1877</v>
      </c>
      <c r="C18" s="1268">
        <v>0.074</v>
      </c>
      <c r="D18" s="1268">
        <v>0.099</v>
      </c>
      <c r="E18" s="1268">
        <v>0.1</v>
      </c>
      <c r="F18" s="1276"/>
    </row>
    <row r="19" ht="14.25" spans="1:6">
      <c r="A19" s="1263" t="s">
        <v>253</v>
      </c>
      <c r="B19" s="1270" t="s">
        <v>1887</v>
      </c>
      <c r="C19" s="1268">
        <v>0.099</v>
      </c>
      <c r="D19" s="1268">
        <v>0.076</v>
      </c>
      <c r="E19" s="1268">
        <v>0.087</v>
      </c>
      <c r="F19" s="1276"/>
    </row>
    <row r="20" ht="14.25" spans="1:6">
      <c r="A20" s="1263" t="s">
        <v>253</v>
      </c>
      <c r="B20" s="1270" t="s">
        <v>1897</v>
      </c>
      <c r="C20" s="1268">
        <v>0.098</v>
      </c>
      <c r="D20" s="1268">
        <v>0.085</v>
      </c>
      <c r="E20" s="1268">
        <v>0.082</v>
      </c>
      <c r="F20" s="1276"/>
    </row>
    <row r="21" ht="14.25" spans="1:6">
      <c r="A21" s="1263" t="s">
        <v>253</v>
      </c>
      <c r="B21" s="1270" t="s">
        <v>1907</v>
      </c>
      <c r="C21" s="1268">
        <v>0.066</v>
      </c>
      <c r="D21" s="1268">
        <v>0.064</v>
      </c>
      <c r="E21" s="1268">
        <v>0.065</v>
      </c>
      <c r="F21" s="1276"/>
    </row>
    <row r="22" ht="14.25" spans="1:6">
      <c r="A22" s="1263" t="s">
        <v>253</v>
      </c>
      <c r="B22" s="1270" t="s">
        <v>1917</v>
      </c>
      <c r="C22" s="1268">
        <v>0.08</v>
      </c>
      <c r="D22" s="1268">
        <v>0.098</v>
      </c>
      <c r="E22" s="1268">
        <v>0.098</v>
      </c>
      <c r="F22" s="1276"/>
    </row>
    <row r="23" ht="14.25" spans="1:6">
      <c r="A23" s="1263" t="s">
        <v>253</v>
      </c>
      <c r="B23" s="1270" t="s">
        <v>1927</v>
      </c>
      <c r="C23" s="1268">
        <v>0.099</v>
      </c>
      <c r="D23" s="1268">
        <v>0.098</v>
      </c>
      <c r="E23" s="1268">
        <v>0.091</v>
      </c>
      <c r="F23" s="1276"/>
    </row>
    <row r="24" ht="14.25" spans="1:6">
      <c r="A24" s="1263" t="s">
        <v>253</v>
      </c>
      <c r="B24" s="1270" t="s">
        <v>1937</v>
      </c>
      <c r="C24" s="1268">
        <v>0.089</v>
      </c>
      <c r="D24" s="1268">
        <v>0.097</v>
      </c>
      <c r="E24" s="1268">
        <v>0.07</v>
      </c>
      <c r="F24" s="1276"/>
    </row>
    <row r="25" ht="14.25" spans="1:6">
      <c r="A25" s="1263" t="s">
        <v>253</v>
      </c>
      <c r="B25" s="1270" t="s">
        <v>1947</v>
      </c>
      <c r="C25" s="1268">
        <v>0.089</v>
      </c>
      <c r="D25" s="1268">
        <v>0.1</v>
      </c>
      <c r="E25" s="1268">
        <v>0.081</v>
      </c>
      <c r="F25" s="1276"/>
    </row>
    <row r="26" ht="14.25" spans="1:6">
      <c r="A26" s="1263" t="s">
        <v>253</v>
      </c>
      <c r="B26" s="1270" t="s">
        <v>1957</v>
      </c>
      <c r="C26" s="1277"/>
      <c r="D26" s="1268">
        <v>0.096</v>
      </c>
      <c r="E26" s="1268">
        <v>0.093</v>
      </c>
      <c r="F26" s="1276"/>
    </row>
    <row r="27" ht="14.25" spans="1:6">
      <c r="A27" s="1263" t="s">
        <v>253</v>
      </c>
      <c r="B27" s="1270" t="s">
        <v>1967</v>
      </c>
      <c r="C27" s="1277"/>
      <c r="D27" s="1268">
        <v>0.076</v>
      </c>
      <c r="E27" s="1268">
        <v>0.092</v>
      </c>
      <c r="F27" s="1276"/>
    </row>
    <row r="28" ht="14.25" spans="1:6">
      <c r="A28" s="1271" t="s">
        <v>253</v>
      </c>
      <c r="B28" s="1272" t="s">
        <v>1977</v>
      </c>
      <c r="C28" s="1274"/>
      <c r="D28" s="1273">
        <v>0.076</v>
      </c>
      <c r="E28" s="1273">
        <v>0.092</v>
      </c>
      <c r="F28" s="1275"/>
    </row>
    <row r="29" ht="14.25" spans="1:6">
      <c r="A29" s="1263" t="s">
        <v>265</v>
      </c>
      <c r="B29" s="1264" t="s">
        <v>1786</v>
      </c>
      <c r="C29" s="1265">
        <v>0.064</v>
      </c>
      <c r="D29" s="1265">
        <v>0.065</v>
      </c>
      <c r="E29" s="1265">
        <v>0.069</v>
      </c>
      <c r="F29" s="1266">
        <v>0.1</v>
      </c>
    </row>
    <row r="30" ht="14.25" spans="1:6">
      <c r="A30" s="1263" t="s">
        <v>265</v>
      </c>
      <c r="B30" s="1270" t="s">
        <v>1799</v>
      </c>
      <c r="C30" s="1268">
        <v>0.064</v>
      </c>
      <c r="D30" s="1268">
        <v>0.099</v>
      </c>
      <c r="E30" s="1268">
        <v>0.1</v>
      </c>
      <c r="F30" s="1269">
        <v>0.1</v>
      </c>
    </row>
    <row r="31" ht="14.25" spans="1:6">
      <c r="A31" s="1263" t="s">
        <v>265</v>
      </c>
      <c r="B31" s="1270" t="s">
        <v>1811</v>
      </c>
      <c r="C31" s="1268">
        <v>0.1</v>
      </c>
      <c r="D31" s="1268">
        <v>0.095</v>
      </c>
      <c r="E31" s="1268">
        <v>0.089</v>
      </c>
      <c r="F31" s="1269">
        <v>0.1</v>
      </c>
    </row>
    <row r="32" ht="14.25" spans="1:6">
      <c r="A32" s="1263" t="s">
        <v>265</v>
      </c>
      <c r="B32" s="1270" t="s">
        <v>1823</v>
      </c>
      <c r="C32" s="1268">
        <v>0.05</v>
      </c>
      <c r="D32" s="1268">
        <v>0.05</v>
      </c>
      <c r="E32" s="1268">
        <v>0.088</v>
      </c>
      <c r="F32" s="1269">
        <v>0.1</v>
      </c>
    </row>
    <row r="33" ht="14.25" spans="1:6">
      <c r="A33" s="1263" t="s">
        <v>265</v>
      </c>
      <c r="B33" s="1270" t="s">
        <v>1835</v>
      </c>
      <c r="C33" s="1268">
        <v>0.075</v>
      </c>
      <c r="D33" s="1268">
        <v>0.094</v>
      </c>
      <c r="E33" s="1268">
        <v>0.097</v>
      </c>
      <c r="F33" s="1269">
        <v>0.1</v>
      </c>
    </row>
    <row r="34" ht="14.25" spans="1:6">
      <c r="A34" s="1263" t="s">
        <v>265</v>
      </c>
      <c r="B34" s="1270" t="s">
        <v>1846</v>
      </c>
      <c r="C34" s="1268">
        <v>0.098</v>
      </c>
      <c r="D34" s="1268">
        <v>0.086</v>
      </c>
      <c r="E34" s="1268">
        <v>0.097</v>
      </c>
      <c r="F34" s="1269">
        <v>0.1</v>
      </c>
    </row>
    <row r="35" ht="14.25" spans="1:6">
      <c r="A35" s="1263" t="s">
        <v>265</v>
      </c>
      <c r="B35" s="1270" t="s">
        <v>1857</v>
      </c>
      <c r="C35" s="1268">
        <v>0.059</v>
      </c>
      <c r="D35" s="1268">
        <v>0.065</v>
      </c>
      <c r="E35" s="1268">
        <v>0.07</v>
      </c>
      <c r="F35" s="1269">
        <v>0.1</v>
      </c>
    </row>
    <row r="36" ht="14.25" spans="1:6">
      <c r="A36" s="1263" t="s">
        <v>265</v>
      </c>
      <c r="B36" s="1270" t="s">
        <v>1868</v>
      </c>
      <c r="C36" s="1268">
        <v>0.063</v>
      </c>
      <c r="D36" s="1268">
        <v>0.1</v>
      </c>
      <c r="E36" s="1268">
        <v>0.1</v>
      </c>
      <c r="F36" s="1269">
        <v>0.1</v>
      </c>
    </row>
    <row r="37" ht="14.25" spans="1:6">
      <c r="A37" s="1263" t="s">
        <v>265</v>
      </c>
      <c r="B37" s="1270" t="s">
        <v>1878</v>
      </c>
      <c r="C37" s="1268">
        <v>0.074</v>
      </c>
      <c r="D37" s="1268">
        <v>0.1</v>
      </c>
      <c r="E37" s="1268">
        <v>0.1</v>
      </c>
      <c r="F37" s="1269">
        <v>0.1</v>
      </c>
    </row>
    <row r="38" ht="14.25" spans="1:6">
      <c r="A38" s="1263" t="s">
        <v>265</v>
      </c>
      <c r="B38" s="1270" t="s">
        <v>1888</v>
      </c>
      <c r="C38" s="1268">
        <v>0.1</v>
      </c>
      <c r="D38" s="1268">
        <v>0.096</v>
      </c>
      <c r="E38" s="1268">
        <v>0.096</v>
      </c>
      <c r="F38" s="1276"/>
    </row>
    <row r="39" ht="14.25" spans="1:6">
      <c r="A39" s="1263" t="s">
        <v>265</v>
      </c>
      <c r="B39" s="1270" t="s">
        <v>1898</v>
      </c>
      <c r="C39" s="1268">
        <v>0.1</v>
      </c>
      <c r="D39" s="1268">
        <v>0.096</v>
      </c>
      <c r="E39" s="1268">
        <v>0.096</v>
      </c>
      <c r="F39" s="1276"/>
    </row>
    <row r="40" ht="14.25" spans="1:6">
      <c r="A40" s="1263" t="s">
        <v>265</v>
      </c>
      <c r="B40" s="1270" t="s">
        <v>1908</v>
      </c>
      <c r="C40" s="1268">
        <v>0.096</v>
      </c>
      <c r="D40" s="1268">
        <v>0.1</v>
      </c>
      <c r="E40" s="1268">
        <v>0.099</v>
      </c>
      <c r="F40" s="1276"/>
    </row>
    <row r="41" ht="14.25" spans="1:6">
      <c r="A41" s="1263" t="s">
        <v>265</v>
      </c>
      <c r="B41" s="1270" t="s">
        <v>1918</v>
      </c>
      <c r="C41" s="1268">
        <v>0.096</v>
      </c>
      <c r="D41" s="1268">
        <v>0.098</v>
      </c>
      <c r="E41" s="1268">
        <v>0.098</v>
      </c>
      <c r="F41" s="1276"/>
    </row>
    <row r="42" ht="14.25" spans="1:6">
      <c r="A42" s="1263" t="s">
        <v>265</v>
      </c>
      <c r="B42" s="1270" t="s">
        <v>1928</v>
      </c>
      <c r="C42" s="1268">
        <v>0.1</v>
      </c>
      <c r="D42" s="1268">
        <v>0.088</v>
      </c>
      <c r="E42" s="1268">
        <v>0.1</v>
      </c>
      <c r="F42" s="1276"/>
    </row>
    <row r="43" ht="14.25" spans="1:6">
      <c r="A43" s="1263" t="s">
        <v>265</v>
      </c>
      <c r="B43" s="1270" t="s">
        <v>1938</v>
      </c>
      <c r="C43" s="1268">
        <v>0.098</v>
      </c>
      <c r="D43" s="1268">
        <v>0.097</v>
      </c>
      <c r="E43" s="1268">
        <v>0.096</v>
      </c>
      <c r="F43" s="1276"/>
    </row>
    <row r="44" ht="14.25" spans="1:6">
      <c r="A44" s="1263" t="s">
        <v>265</v>
      </c>
      <c r="B44" s="1270" t="s">
        <v>1948</v>
      </c>
      <c r="C44" s="1268">
        <v>0.086</v>
      </c>
      <c r="D44" s="1268">
        <v>0.079</v>
      </c>
      <c r="E44" s="1268">
        <v>0.071</v>
      </c>
      <c r="F44" s="1276"/>
    </row>
    <row r="45" ht="14.25" spans="1:6">
      <c r="A45" s="1263" t="s">
        <v>265</v>
      </c>
      <c r="B45" s="1270" t="s">
        <v>1958</v>
      </c>
      <c r="C45" s="1268">
        <v>0.098</v>
      </c>
      <c r="D45" s="1268">
        <v>0.096</v>
      </c>
      <c r="E45" s="1268">
        <v>0.096</v>
      </c>
      <c r="F45" s="1276"/>
    </row>
    <row r="46" ht="14.25" spans="1:6">
      <c r="A46" s="1263" t="s">
        <v>265</v>
      </c>
      <c r="B46" s="1270" t="s">
        <v>1968</v>
      </c>
      <c r="C46" s="1268">
        <v>0.086</v>
      </c>
      <c r="D46" s="1268">
        <v>0.098</v>
      </c>
      <c r="E46" s="1268">
        <v>0.088</v>
      </c>
      <c r="F46" s="1276"/>
    </row>
    <row r="47" ht="14.25" spans="1:6">
      <c r="A47" s="1263" t="s">
        <v>265</v>
      </c>
      <c r="B47" s="1270" t="s">
        <v>1978</v>
      </c>
      <c r="C47" s="1268">
        <v>0.096</v>
      </c>
      <c r="D47" s="1277"/>
      <c r="E47" s="1268">
        <v>0.069</v>
      </c>
      <c r="F47" s="1276"/>
    </row>
    <row r="48" ht="14.25" spans="1:6">
      <c r="A48" s="1271" t="s">
        <v>265</v>
      </c>
      <c r="B48" s="1272" t="s">
        <v>1987</v>
      </c>
      <c r="C48" s="1273">
        <v>0.098</v>
      </c>
      <c r="D48" s="1274"/>
      <c r="E48" s="1273">
        <v>0.095</v>
      </c>
      <c r="F48" s="1275"/>
    </row>
    <row r="49" ht="14.25" spans="1:6">
      <c r="A49" s="1263" t="s">
        <v>275</v>
      </c>
      <c r="B49" s="1264" t="s">
        <v>1787</v>
      </c>
      <c r="C49" s="1265">
        <v>0.097</v>
      </c>
      <c r="D49" s="1265">
        <v>0.095</v>
      </c>
      <c r="E49" s="1265">
        <v>0.097</v>
      </c>
      <c r="F49" s="1266">
        <v>0.1</v>
      </c>
    </row>
    <row r="50" ht="14.25" spans="1:6">
      <c r="A50" s="1263" t="s">
        <v>275</v>
      </c>
      <c r="B50" s="1267" t="s">
        <v>1800</v>
      </c>
      <c r="C50" s="1268">
        <v>0.075</v>
      </c>
      <c r="D50" s="1268">
        <v>0.095</v>
      </c>
      <c r="E50" s="1268">
        <v>0.1</v>
      </c>
      <c r="F50" s="1269">
        <v>0.1</v>
      </c>
    </row>
    <row r="51" ht="14.25" spans="1:6">
      <c r="A51" s="1263" t="s">
        <v>275</v>
      </c>
      <c r="B51" s="1267" t="s">
        <v>1812</v>
      </c>
      <c r="C51" s="1268">
        <v>0.098</v>
      </c>
      <c r="D51" s="1268">
        <v>0.089</v>
      </c>
      <c r="E51" s="1268">
        <v>0.1</v>
      </c>
      <c r="F51" s="1269">
        <v>0.1</v>
      </c>
    </row>
    <row r="52" ht="14.25" spans="1:6">
      <c r="A52" s="1263" t="s">
        <v>275</v>
      </c>
      <c r="B52" s="1267" t="s">
        <v>1824</v>
      </c>
      <c r="C52" s="1268">
        <v>0.098</v>
      </c>
      <c r="D52" s="1268">
        <v>0.097</v>
      </c>
      <c r="E52" s="1268">
        <v>0.081</v>
      </c>
      <c r="F52" s="1269">
        <v>0.1</v>
      </c>
    </row>
    <row r="53" ht="14.25" spans="1:6">
      <c r="A53" s="1263" t="s">
        <v>275</v>
      </c>
      <c r="B53" s="1267" t="s">
        <v>1836</v>
      </c>
      <c r="C53" s="1268">
        <v>0.097</v>
      </c>
      <c r="D53" s="1268">
        <v>0.076</v>
      </c>
      <c r="E53" s="1268">
        <v>0.071</v>
      </c>
      <c r="F53" s="1269">
        <v>0.1</v>
      </c>
    </row>
    <row r="54" ht="14.25" spans="1:6">
      <c r="A54" s="1263" t="s">
        <v>275</v>
      </c>
      <c r="B54" s="1267" t="s">
        <v>1847</v>
      </c>
      <c r="C54" s="1268">
        <v>0.076</v>
      </c>
      <c r="D54" s="1268">
        <v>0.1</v>
      </c>
      <c r="E54" s="1268">
        <v>0.099</v>
      </c>
      <c r="F54" s="1269">
        <v>0.1</v>
      </c>
    </row>
    <row r="55" ht="14.25" spans="1:6">
      <c r="A55" s="1263" t="s">
        <v>275</v>
      </c>
      <c r="B55" s="1267" t="s">
        <v>1858</v>
      </c>
      <c r="C55" s="1268">
        <v>0.1</v>
      </c>
      <c r="D55" s="1268">
        <v>0.1</v>
      </c>
      <c r="E55" s="1268">
        <v>0.096</v>
      </c>
      <c r="F55" s="1269">
        <v>0.1</v>
      </c>
    </row>
    <row r="56" ht="14.25" spans="1:6">
      <c r="A56" s="1263" t="s">
        <v>275</v>
      </c>
      <c r="B56" s="1267" t="s">
        <v>1869</v>
      </c>
      <c r="C56" s="1268">
        <v>0.1</v>
      </c>
      <c r="D56" s="1268">
        <v>0.096</v>
      </c>
      <c r="E56" s="1268">
        <v>0.052</v>
      </c>
      <c r="F56" s="1269">
        <v>0.1</v>
      </c>
    </row>
    <row r="57" ht="14.25" spans="1:6">
      <c r="A57" s="1263" t="s">
        <v>275</v>
      </c>
      <c r="B57" s="1267" t="s">
        <v>1879</v>
      </c>
      <c r="C57" s="1268">
        <v>0.097</v>
      </c>
      <c r="D57" s="1268">
        <v>0.096</v>
      </c>
      <c r="E57" s="1268">
        <v>0.096</v>
      </c>
      <c r="F57" s="1269">
        <v>0.1</v>
      </c>
    </row>
    <row r="58" ht="14.25" spans="1:6">
      <c r="A58" s="1263" t="s">
        <v>275</v>
      </c>
      <c r="B58" s="1267" t="s">
        <v>1889</v>
      </c>
      <c r="C58" s="1268">
        <v>0.096</v>
      </c>
      <c r="D58" s="1268">
        <v>0.099</v>
      </c>
      <c r="E58" s="1268">
        <v>0.096</v>
      </c>
      <c r="F58" s="1269">
        <v>0.1</v>
      </c>
    </row>
    <row r="59" ht="14.25" spans="1:6">
      <c r="A59" s="1263" t="s">
        <v>275</v>
      </c>
      <c r="B59" s="1267" t="s">
        <v>1899</v>
      </c>
      <c r="C59" s="1268">
        <v>0.072</v>
      </c>
      <c r="D59" s="1268">
        <v>0.096</v>
      </c>
      <c r="E59" s="1268">
        <v>0.071</v>
      </c>
      <c r="F59" s="1269">
        <v>0.1</v>
      </c>
    </row>
    <row r="60" ht="14.25" spans="1:6">
      <c r="A60" s="1263" t="s">
        <v>275</v>
      </c>
      <c r="B60" s="1267" t="s">
        <v>1909</v>
      </c>
      <c r="C60" s="1268">
        <v>0.096</v>
      </c>
      <c r="D60" s="1268">
        <v>0.089</v>
      </c>
      <c r="E60" s="1268">
        <v>0.096</v>
      </c>
      <c r="F60" s="1269">
        <v>0.1</v>
      </c>
    </row>
    <row r="61" ht="14.25" spans="1:6">
      <c r="A61" s="1263" t="s">
        <v>275</v>
      </c>
      <c r="B61" s="1267" t="s">
        <v>1919</v>
      </c>
      <c r="C61" s="1268">
        <v>0.089</v>
      </c>
      <c r="D61" s="1268">
        <v>0.098</v>
      </c>
      <c r="E61" s="1268">
        <v>0.088</v>
      </c>
      <c r="F61" s="1276"/>
    </row>
    <row r="62" ht="14.25" spans="1:6">
      <c r="A62" s="1263" t="s">
        <v>275</v>
      </c>
      <c r="B62" s="1267" t="s">
        <v>1929</v>
      </c>
      <c r="C62" s="1268">
        <v>0.098</v>
      </c>
      <c r="D62" s="1268">
        <v>0.093</v>
      </c>
      <c r="E62" s="1268">
        <v>0.097</v>
      </c>
      <c r="F62" s="1276"/>
    </row>
    <row r="63" ht="14.25" spans="1:6">
      <c r="A63" s="1263" t="s">
        <v>275</v>
      </c>
      <c r="B63" s="1267" t="s">
        <v>1939</v>
      </c>
      <c r="C63" s="1268">
        <v>0.096</v>
      </c>
      <c r="D63" s="1268">
        <v>0.098</v>
      </c>
      <c r="E63" s="1268">
        <v>0.09</v>
      </c>
      <c r="F63" s="1276"/>
    </row>
    <row r="64" ht="14.25" spans="1:6">
      <c r="A64" s="1263" t="s">
        <v>275</v>
      </c>
      <c r="B64" s="1267" t="s">
        <v>1949</v>
      </c>
      <c r="C64" s="1268">
        <v>0.099</v>
      </c>
      <c r="D64" s="1268">
        <v>0.097</v>
      </c>
      <c r="E64" s="1268">
        <v>0.099</v>
      </c>
      <c r="F64" s="1276"/>
    </row>
    <row r="65" ht="14.25" spans="1:6">
      <c r="A65" s="1263" t="s">
        <v>275</v>
      </c>
      <c r="B65" s="1267" t="s">
        <v>1959</v>
      </c>
      <c r="C65" s="1268">
        <v>0.098</v>
      </c>
      <c r="D65" s="1268">
        <v>0.096</v>
      </c>
      <c r="E65" s="1268">
        <v>0.096</v>
      </c>
      <c r="F65" s="1276"/>
    </row>
    <row r="66" ht="14.25" spans="1:6">
      <c r="A66" s="1263" t="s">
        <v>275</v>
      </c>
      <c r="B66" s="1267" t="s">
        <v>1969</v>
      </c>
      <c r="C66" s="1268">
        <v>0.096</v>
      </c>
      <c r="D66" s="1268">
        <v>0.092</v>
      </c>
      <c r="E66" s="1268">
        <v>0.096</v>
      </c>
      <c r="F66" s="1276"/>
    </row>
    <row r="67" ht="14.25" spans="1:6">
      <c r="A67" s="1263" t="s">
        <v>275</v>
      </c>
      <c r="B67" s="1267" t="s">
        <v>1979</v>
      </c>
      <c r="C67" s="1268">
        <v>0.094</v>
      </c>
      <c r="D67" s="1268">
        <v>0.1</v>
      </c>
      <c r="E67" s="1268">
        <v>0.088</v>
      </c>
      <c r="F67" s="1276"/>
    </row>
    <row r="68" ht="14.25" spans="1:6">
      <c r="A68" s="1263" t="s">
        <v>275</v>
      </c>
      <c r="B68" s="1267" t="s">
        <v>1988</v>
      </c>
      <c r="C68" s="1268">
        <v>0.1</v>
      </c>
      <c r="D68" s="1268">
        <v>0.088</v>
      </c>
      <c r="E68" s="1268">
        <v>0.097</v>
      </c>
      <c r="F68" s="1276"/>
    </row>
    <row r="69" ht="14.25" spans="1:6">
      <c r="A69" s="1263" t="s">
        <v>275</v>
      </c>
      <c r="B69" s="1267" t="s">
        <v>1996</v>
      </c>
      <c r="C69" s="1268">
        <v>0.064</v>
      </c>
      <c r="D69" s="1268">
        <v>0.1</v>
      </c>
      <c r="E69" s="1268">
        <v>0.1</v>
      </c>
      <c r="F69" s="1276"/>
    </row>
    <row r="70" ht="14.25" spans="1:6">
      <c r="A70" s="1263" t="s">
        <v>275</v>
      </c>
      <c r="B70" s="1267" t="s">
        <v>2004</v>
      </c>
      <c r="C70" s="1268">
        <v>0.091</v>
      </c>
      <c r="D70" s="1277"/>
      <c r="E70" s="1277"/>
      <c r="F70" s="1276"/>
    </row>
    <row r="71" ht="14.25" spans="1:6">
      <c r="A71" s="1263" t="s">
        <v>275</v>
      </c>
      <c r="B71" s="1267" t="s">
        <v>2011</v>
      </c>
      <c r="C71" s="1268">
        <v>0.1</v>
      </c>
      <c r="D71" s="1277"/>
      <c r="E71" s="1277"/>
      <c r="F71" s="1276"/>
    </row>
    <row r="72" ht="14.25" spans="1:6">
      <c r="A72" s="1263" t="s">
        <v>275</v>
      </c>
      <c r="B72" s="1267" t="s">
        <v>2018</v>
      </c>
      <c r="C72" s="1277"/>
      <c r="D72" s="1277"/>
      <c r="E72" s="1277"/>
      <c r="F72" s="1269">
        <v>0.05</v>
      </c>
    </row>
    <row r="73" ht="14.25" spans="1:6">
      <c r="A73" s="1263" t="s">
        <v>275</v>
      </c>
      <c r="B73" s="1267" t="s">
        <v>2025</v>
      </c>
      <c r="C73" s="1277"/>
      <c r="D73" s="1277"/>
      <c r="E73" s="1277"/>
      <c r="F73" s="1269">
        <v>0.05</v>
      </c>
    </row>
    <row r="74" ht="14.25" spans="1:6">
      <c r="A74" s="1263" t="s">
        <v>275</v>
      </c>
      <c r="B74" s="1267" t="s">
        <v>2032</v>
      </c>
      <c r="C74" s="1277"/>
      <c r="D74" s="1277"/>
      <c r="E74" s="1277"/>
      <c r="F74" s="1269">
        <v>0.05</v>
      </c>
    </row>
    <row r="75" ht="14.25" spans="1:6">
      <c r="A75" s="1271" t="s">
        <v>275</v>
      </c>
      <c r="B75" s="1278" t="s">
        <v>2039</v>
      </c>
      <c r="C75" s="1274"/>
      <c r="D75" s="1274"/>
      <c r="E75" s="1274"/>
      <c r="F75" s="1279">
        <v>0.05</v>
      </c>
    </row>
    <row r="76" ht="14.25" spans="1:6">
      <c r="A76" s="1263" t="s">
        <v>284</v>
      </c>
      <c r="B76" s="1264" t="s">
        <v>1788</v>
      </c>
      <c r="C76" s="1265">
        <v>0.1</v>
      </c>
      <c r="D76" s="1265">
        <v>0.1</v>
      </c>
      <c r="E76" s="1265">
        <v>0.1</v>
      </c>
      <c r="F76" s="1266">
        <v>0.1</v>
      </c>
    </row>
    <row r="77" ht="14.25" spans="1:6">
      <c r="A77" s="1263" t="s">
        <v>284</v>
      </c>
      <c r="B77" s="1267" t="s">
        <v>1801</v>
      </c>
      <c r="C77" s="1268">
        <v>0.088</v>
      </c>
      <c r="D77" s="1268">
        <v>0.087</v>
      </c>
      <c r="E77" s="1268">
        <v>0.079</v>
      </c>
      <c r="F77" s="1269">
        <v>0.1</v>
      </c>
    </row>
    <row r="78" ht="14.25" spans="1:6">
      <c r="A78" s="1263" t="s">
        <v>284</v>
      </c>
      <c r="B78" s="1267" t="s">
        <v>1813</v>
      </c>
      <c r="C78" s="1268">
        <v>0.087</v>
      </c>
      <c r="D78" s="1268">
        <v>0.084</v>
      </c>
      <c r="E78" s="1268">
        <v>0.096</v>
      </c>
      <c r="F78" s="1269">
        <v>0.1</v>
      </c>
    </row>
    <row r="79" ht="14.25" spans="1:6">
      <c r="A79" s="1263" t="s">
        <v>284</v>
      </c>
      <c r="B79" s="1267" t="s">
        <v>1825</v>
      </c>
      <c r="C79" s="1268">
        <v>0.098</v>
      </c>
      <c r="D79" s="1268">
        <v>0.098</v>
      </c>
      <c r="E79" s="1268">
        <v>0.091</v>
      </c>
      <c r="F79" s="1269">
        <v>0.1</v>
      </c>
    </row>
    <row r="80" ht="14.25" spans="1:6">
      <c r="A80" s="1263" t="s">
        <v>284</v>
      </c>
      <c r="B80" s="1267" t="s">
        <v>1837</v>
      </c>
      <c r="C80" s="1268">
        <v>0.096</v>
      </c>
      <c r="D80" s="1268">
        <v>0.096</v>
      </c>
      <c r="E80" s="1268">
        <v>0.1</v>
      </c>
      <c r="F80" s="1269">
        <v>0.1</v>
      </c>
    </row>
    <row r="81" ht="14.25" spans="1:6">
      <c r="A81" s="1263" t="s">
        <v>284</v>
      </c>
      <c r="B81" s="1267" t="s">
        <v>1848</v>
      </c>
      <c r="C81" s="1268">
        <v>0.099</v>
      </c>
      <c r="D81" s="1268">
        <v>0.099</v>
      </c>
      <c r="E81" s="1268">
        <v>0.098</v>
      </c>
      <c r="F81" s="1269">
        <v>0.1</v>
      </c>
    </row>
    <row r="82" ht="14.25" spans="1:6">
      <c r="A82" s="1263" t="s">
        <v>284</v>
      </c>
      <c r="B82" s="1267" t="s">
        <v>1859</v>
      </c>
      <c r="C82" s="1268">
        <v>0.099</v>
      </c>
      <c r="D82" s="1268">
        <v>0.099</v>
      </c>
      <c r="E82" s="1268">
        <v>0.097</v>
      </c>
      <c r="F82" s="1269">
        <v>0.1</v>
      </c>
    </row>
    <row r="83" ht="14.25" spans="1:6">
      <c r="A83" s="1263" t="s">
        <v>284</v>
      </c>
      <c r="B83" s="1267" t="s">
        <v>1870</v>
      </c>
      <c r="C83" s="1268">
        <v>0.098</v>
      </c>
      <c r="D83" s="1268">
        <v>0.098</v>
      </c>
      <c r="E83" s="1268">
        <v>0.098</v>
      </c>
      <c r="F83" s="1269">
        <v>0.1</v>
      </c>
    </row>
    <row r="84" ht="14.25" spans="1:6">
      <c r="A84" s="1263" t="s">
        <v>284</v>
      </c>
      <c r="B84" s="1267" t="s">
        <v>1880</v>
      </c>
      <c r="C84" s="1268">
        <v>0.099</v>
      </c>
      <c r="D84" s="1268">
        <v>0.099</v>
      </c>
      <c r="E84" s="1268">
        <v>0.099</v>
      </c>
      <c r="F84" s="1269">
        <v>0.1</v>
      </c>
    </row>
    <row r="85" ht="14.25" spans="1:6">
      <c r="A85" s="1263" t="s">
        <v>284</v>
      </c>
      <c r="B85" s="1267" t="s">
        <v>1890</v>
      </c>
      <c r="C85" s="1268">
        <v>0.099</v>
      </c>
      <c r="D85" s="1268">
        <v>0.099</v>
      </c>
      <c r="E85" s="1268">
        <v>0.099</v>
      </c>
      <c r="F85" s="1269">
        <v>0.1</v>
      </c>
    </row>
    <row r="86" ht="14.25" spans="1:6">
      <c r="A86" s="1263" t="s">
        <v>284</v>
      </c>
      <c r="B86" s="1267" t="s">
        <v>1900</v>
      </c>
      <c r="C86" s="1268">
        <v>0.1</v>
      </c>
      <c r="D86" s="1268">
        <v>0.1</v>
      </c>
      <c r="E86" s="1268">
        <v>0.077</v>
      </c>
      <c r="F86" s="1269">
        <v>0.1</v>
      </c>
    </row>
    <row r="87" ht="14.25" spans="1:6">
      <c r="A87" s="1263" t="s">
        <v>284</v>
      </c>
      <c r="B87" s="1267" t="s">
        <v>1910</v>
      </c>
      <c r="C87" s="1268">
        <v>0.1</v>
      </c>
      <c r="D87" s="1268">
        <v>0.1</v>
      </c>
      <c r="E87" s="1268">
        <v>0.098</v>
      </c>
      <c r="F87" s="1276"/>
    </row>
    <row r="88" ht="14.25" spans="1:6">
      <c r="A88" s="1263" t="s">
        <v>284</v>
      </c>
      <c r="B88" s="1267" t="s">
        <v>1920</v>
      </c>
      <c r="C88" s="1268">
        <v>0.092</v>
      </c>
      <c r="D88" s="1268">
        <v>0.085</v>
      </c>
      <c r="E88" s="1268">
        <v>0.096</v>
      </c>
      <c r="F88" s="1276"/>
    </row>
    <row r="89" ht="14.25" spans="1:6">
      <c r="A89" s="1263" t="s">
        <v>284</v>
      </c>
      <c r="B89" s="1267" t="s">
        <v>1930</v>
      </c>
      <c r="C89" s="1268">
        <v>0.1</v>
      </c>
      <c r="D89" s="1268">
        <v>0.1</v>
      </c>
      <c r="E89" s="1268">
        <v>0.097</v>
      </c>
      <c r="F89" s="1276"/>
    </row>
    <row r="90" ht="14.25" spans="1:6">
      <c r="A90" s="1263" t="s">
        <v>284</v>
      </c>
      <c r="B90" s="1267" t="s">
        <v>1940</v>
      </c>
      <c r="C90" s="1268">
        <v>0.098</v>
      </c>
      <c r="D90" s="1268">
        <v>0.098</v>
      </c>
      <c r="E90" s="1268">
        <v>0.088</v>
      </c>
      <c r="F90" s="1276"/>
    </row>
    <row r="91" ht="14.25" spans="1:6">
      <c r="A91" s="1263" t="s">
        <v>284</v>
      </c>
      <c r="B91" s="1267" t="s">
        <v>1950</v>
      </c>
      <c r="C91" s="1268">
        <v>0.099</v>
      </c>
      <c r="D91" s="1268">
        <v>0.099</v>
      </c>
      <c r="E91" s="1268">
        <v>0.091</v>
      </c>
      <c r="F91" s="1276"/>
    </row>
    <row r="92" ht="14.25" spans="1:6">
      <c r="A92" s="1263" t="s">
        <v>284</v>
      </c>
      <c r="B92" s="1267" t="s">
        <v>1960</v>
      </c>
      <c r="C92" s="1268">
        <v>0.096</v>
      </c>
      <c r="D92" s="1268">
        <v>0.096</v>
      </c>
      <c r="E92" s="1268">
        <v>0.073</v>
      </c>
      <c r="F92" s="1276"/>
    </row>
    <row r="93" ht="14.25" spans="1:6">
      <c r="A93" s="1263" t="s">
        <v>284</v>
      </c>
      <c r="B93" s="1267" t="s">
        <v>1970</v>
      </c>
      <c r="C93" s="1268">
        <v>0.096</v>
      </c>
      <c r="D93" s="1268">
        <v>0.096</v>
      </c>
      <c r="E93" s="1268">
        <v>0.099</v>
      </c>
      <c r="F93" s="1276"/>
    </row>
    <row r="94" ht="14.25" spans="1:6">
      <c r="A94" s="1263" t="s">
        <v>284</v>
      </c>
      <c r="B94" s="1267" t="s">
        <v>1980</v>
      </c>
      <c r="C94" s="1268">
        <v>0.076</v>
      </c>
      <c r="D94" s="1268">
        <v>0.074</v>
      </c>
      <c r="E94" s="1268">
        <v>0.097</v>
      </c>
      <c r="F94" s="1276"/>
    </row>
    <row r="95" ht="14.25" spans="1:6">
      <c r="A95" s="1263" t="s">
        <v>284</v>
      </c>
      <c r="B95" s="1267" t="s">
        <v>1989</v>
      </c>
      <c r="C95" s="1268">
        <v>0.099</v>
      </c>
      <c r="D95" s="1268">
        <v>0.094</v>
      </c>
      <c r="E95" s="1268">
        <v>0.096</v>
      </c>
      <c r="F95" s="1276"/>
    </row>
    <row r="96" ht="14.25" spans="1:6">
      <c r="A96" s="1263" t="s">
        <v>284</v>
      </c>
      <c r="B96" s="1267" t="s">
        <v>1997</v>
      </c>
      <c r="C96" s="1268">
        <v>0.099</v>
      </c>
      <c r="D96" s="1268">
        <v>0.099</v>
      </c>
      <c r="E96" s="1268">
        <v>0.099</v>
      </c>
      <c r="F96" s="1276"/>
    </row>
    <row r="97" ht="14.25" spans="1:6">
      <c r="A97" s="1263" t="s">
        <v>284</v>
      </c>
      <c r="B97" s="1267" t="s">
        <v>2005</v>
      </c>
      <c r="C97" s="1268">
        <v>0.098</v>
      </c>
      <c r="D97" s="1268">
        <v>0.098</v>
      </c>
      <c r="E97" s="1268">
        <v>0.097</v>
      </c>
      <c r="F97" s="1276"/>
    </row>
    <row r="98" ht="14.25" spans="1:6">
      <c r="A98" s="1263" t="s">
        <v>284</v>
      </c>
      <c r="B98" s="1267" t="s">
        <v>2012</v>
      </c>
      <c r="C98" s="1268">
        <v>0.1</v>
      </c>
      <c r="D98" s="1268">
        <v>0.1</v>
      </c>
      <c r="E98" s="1268">
        <v>0.097</v>
      </c>
      <c r="F98" s="1276"/>
    </row>
    <row r="99" ht="14.25" spans="1:6">
      <c r="A99" s="1263" t="s">
        <v>284</v>
      </c>
      <c r="B99" s="1267" t="s">
        <v>2019</v>
      </c>
      <c r="C99" s="1268">
        <v>0.1</v>
      </c>
      <c r="D99" s="1268">
        <v>0.1</v>
      </c>
      <c r="E99" s="1277"/>
      <c r="F99" s="1276"/>
    </row>
    <row r="100" ht="14.25" spans="1:6">
      <c r="A100" s="1263" t="s">
        <v>284</v>
      </c>
      <c r="B100" s="1267" t="s">
        <v>2026</v>
      </c>
      <c r="C100" s="1268">
        <v>0.09</v>
      </c>
      <c r="D100" s="1268">
        <v>0.089</v>
      </c>
      <c r="E100" s="1277"/>
      <c r="F100" s="1276"/>
    </row>
    <row r="101" ht="14.25" spans="1:6">
      <c r="A101" s="1263" t="s">
        <v>284</v>
      </c>
      <c r="B101" s="1267" t="s">
        <v>2033</v>
      </c>
      <c r="C101" s="1268">
        <v>0.098</v>
      </c>
      <c r="D101" s="1268">
        <v>0.097</v>
      </c>
      <c r="E101" s="1277"/>
      <c r="F101" s="1276"/>
    </row>
    <row r="102" ht="14.25" spans="1:6">
      <c r="A102" s="1263" t="s">
        <v>284</v>
      </c>
      <c r="B102" s="1267" t="s">
        <v>2040</v>
      </c>
      <c r="C102" s="1277"/>
      <c r="D102" s="1277"/>
      <c r="E102" s="1277"/>
      <c r="F102" s="1269">
        <v>0.05</v>
      </c>
    </row>
    <row r="103" ht="24.75" spans="1:6">
      <c r="A103" s="1263" t="s">
        <v>284</v>
      </c>
      <c r="B103" s="1267" t="s">
        <v>2045</v>
      </c>
      <c r="C103" s="1277"/>
      <c r="D103" s="1277"/>
      <c r="E103" s="1277"/>
      <c r="F103" s="1269">
        <v>0.05</v>
      </c>
    </row>
    <row r="104" ht="14.25" spans="1:6">
      <c r="A104" s="1263" t="s">
        <v>284</v>
      </c>
      <c r="B104" s="1267" t="s">
        <v>2050</v>
      </c>
      <c r="C104" s="1277"/>
      <c r="D104" s="1277"/>
      <c r="E104" s="1277"/>
      <c r="F104" s="1269">
        <v>0.05</v>
      </c>
    </row>
    <row r="105" ht="14.25" spans="1:6">
      <c r="A105" s="1263" t="s">
        <v>284</v>
      </c>
      <c r="B105" s="1267" t="s">
        <v>2055</v>
      </c>
      <c r="C105" s="1277"/>
      <c r="D105" s="1277"/>
      <c r="E105" s="1277"/>
      <c r="F105" s="1269">
        <v>0.05</v>
      </c>
    </row>
    <row r="106" ht="14.25" spans="1:6">
      <c r="A106" s="1263" t="s">
        <v>284</v>
      </c>
      <c r="B106" s="1267" t="s">
        <v>2060</v>
      </c>
      <c r="C106" s="1277"/>
      <c r="D106" s="1277"/>
      <c r="E106" s="1277"/>
      <c r="F106" s="1269">
        <v>0.05</v>
      </c>
    </row>
    <row r="107" ht="24.75" spans="1:6">
      <c r="A107" s="1263" t="s">
        <v>284</v>
      </c>
      <c r="B107" s="1267" t="s">
        <v>2065</v>
      </c>
      <c r="C107" s="1277"/>
      <c r="D107" s="1277"/>
      <c r="E107" s="1277"/>
      <c r="F107" s="1269">
        <v>0.05</v>
      </c>
    </row>
    <row r="108" ht="24.75" spans="1:6">
      <c r="A108" s="1263" t="s">
        <v>284</v>
      </c>
      <c r="B108" s="1267" t="s">
        <v>2070</v>
      </c>
      <c r="C108" s="1277"/>
      <c r="D108" s="1277"/>
      <c r="E108" s="1277"/>
      <c r="F108" s="1269">
        <v>0.05</v>
      </c>
    </row>
    <row r="109" ht="24.75" spans="1:6">
      <c r="A109" s="1271" t="s">
        <v>284</v>
      </c>
      <c r="B109" s="1278" t="s">
        <v>2075</v>
      </c>
      <c r="C109" s="1274"/>
      <c r="D109" s="1274"/>
      <c r="E109" s="1274"/>
      <c r="F109" s="1279">
        <v>0.05</v>
      </c>
    </row>
    <row r="110" ht="14.25" spans="1:6">
      <c r="A110" s="1263" t="s">
        <v>292</v>
      </c>
      <c r="B110" s="1264" t="s">
        <v>1789</v>
      </c>
      <c r="C110" s="1265">
        <v>0.129</v>
      </c>
      <c r="D110" s="1265">
        <v>0.129</v>
      </c>
      <c r="E110" s="1265">
        <v>0.126</v>
      </c>
      <c r="F110" s="1266">
        <v>0.13</v>
      </c>
    </row>
    <row r="111" ht="14.25" spans="1:6">
      <c r="A111" s="1263" t="s">
        <v>292</v>
      </c>
      <c r="B111" s="1267" t="s">
        <v>1802</v>
      </c>
      <c r="C111" s="1268">
        <v>0.11</v>
      </c>
      <c r="D111" s="1268">
        <v>0.11</v>
      </c>
      <c r="E111" s="1268">
        <v>0.099</v>
      </c>
      <c r="F111" s="1269">
        <v>0.128</v>
      </c>
    </row>
    <row r="112" ht="14.25" spans="1:6">
      <c r="A112" s="1263" t="s">
        <v>292</v>
      </c>
      <c r="B112" s="1267" t="s">
        <v>1814</v>
      </c>
      <c r="C112" s="1268">
        <v>0.125</v>
      </c>
      <c r="D112" s="1268">
        <v>0.125</v>
      </c>
      <c r="E112" s="1268">
        <v>0.12</v>
      </c>
      <c r="F112" s="1269">
        <v>0.125</v>
      </c>
    </row>
    <row r="113" ht="14.25" spans="1:6">
      <c r="A113" s="1263" t="s">
        <v>292</v>
      </c>
      <c r="B113" s="1267" t="s">
        <v>1826</v>
      </c>
      <c r="C113" s="1268">
        <v>0.13</v>
      </c>
      <c r="D113" s="1268">
        <v>0.13</v>
      </c>
      <c r="E113" s="1268">
        <v>0.13</v>
      </c>
      <c r="F113" s="1269">
        <v>0.13</v>
      </c>
    </row>
    <row r="114" ht="14.25" spans="1:6">
      <c r="A114" s="1263" t="s">
        <v>292</v>
      </c>
      <c r="B114" s="1267" t="s">
        <v>1838</v>
      </c>
      <c r="C114" s="1268">
        <v>0.123</v>
      </c>
      <c r="D114" s="1268">
        <v>0.123</v>
      </c>
      <c r="E114" s="1268">
        <v>0.12</v>
      </c>
      <c r="F114" s="1269">
        <v>0.13</v>
      </c>
    </row>
    <row r="115" ht="14.25" spans="1:6">
      <c r="A115" s="1263" t="s">
        <v>292</v>
      </c>
      <c r="B115" s="1267" t="s">
        <v>1849</v>
      </c>
      <c r="C115" s="1268">
        <v>0.125</v>
      </c>
      <c r="D115" s="1268">
        <v>0.125</v>
      </c>
      <c r="E115" s="1268">
        <v>0.117</v>
      </c>
      <c r="F115" s="1269">
        <v>0.13</v>
      </c>
    </row>
    <row r="116" ht="14.25" spans="1:6">
      <c r="A116" s="1263" t="s">
        <v>292</v>
      </c>
      <c r="B116" s="1267" t="s">
        <v>1860</v>
      </c>
      <c r="C116" s="1268">
        <v>0.117</v>
      </c>
      <c r="D116" s="1268">
        <v>0.117</v>
      </c>
      <c r="E116" s="1268">
        <v>0.088</v>
      </c>
      <c r="F116" s="1269">
        <v>0.13</v>
      </c>
    </row>
    <row r="117" ht="14.25" spans="1:6">
      <c r="A117" s="1263" t="s">
        <v>292</v>
      </c>
      <c r="B117" s="1267" t="s">
        <v>1871</v>
      </c>
      <c r="C117" s="1268">
        <v>0.13</v>
      </c>
      <c r="D117" s="1268">
        <v>0.13</v>
      </c>
      <c r="E117" s="1268">
        <v>0.129</v>
      </c>
      <c r="F117" s="1269">
        <v>0.13</v>
      </c>
    </row>
    <row r="118" ht="14.25" spans="1:6">
      <c r="A118" s="1263" t="s">
        <v>292</v>
      </c>
      <c r="B118" s="1267" t="s">
        <v>1881</v>
      </c>
      <c r="C118" s="1268">
        <v>0.123</v>
      </c>
      <c r="D118" s="1268">
        <v>0.123</v>
      </c>
      <c r="E118" s="1268">
        <v>0.116</v>
      </c>
      <c r="F118" s="1269">
        <v>0.13</v>
      </c>
    </row>
    <row r="119" ht="14.25" spans="1:6">
      <c r="A119" s="1263" t="s">
        <v>292</v>
      </c>
      <c r="B119" s="1267" t="s">
        <v>1891</v>
      </c>
      <c r="C119" s="1268">
        <v>0.127</v>
      </c>
      <c r="D119" s="1268">
        <v>0.127</v>
      </c>
      <c r="E119" s="1268">
        <v>0.124</v>
      </c>
      <c r="F119" s="1269">
        <v>0.13</v>
      </c>
    </row>
    <row r="120" ht="14.25" spans="1:6">
      <c r="A120" s="1263" t="s">
        <v>292</v>
      </c>
      <c r="B120" s="1267" t="s">
        <v>1901</v>
      </c>
      <c r="C120" s="1268">
        <v>0.125</v>
      </c>
      <c r="D120" s="1268">
        <v>0.125</v>
      </c>
      <c r="E120" s="1268">
        <v>0.122</v>
      </c>
      <c r="F120" s="1269">
        <v>0.13</v>
      </c>
    </row>
    <row r="121" ht="14.25" spans="1:6">
      <c r="A121" s="1263" t="s">
        <v>292</v>
      </c>
      <c r="B121" s="1267" t="s">
        <v>1911</v>
      </c>
      <c r="C121" s="1268">
        <v>0.13</v>
      </c>
      <c r="D121" s="1268">
        <v>0.13</v>
      </c>
      <c r="E121" s="1268">
        <v>0.13</v>
      </c>
      <c r="F121" s="1269">
        <v>0.13</v>
      </c>
    </row>
    <row r="122" ht="14.25" spans="1:6">
      <c r="A122" s="1263" t="s">
        <v>292</v>
      </c>
      <c r="B122" s="1267" t="s">
        <v>1921</v>
      </c>
      <c r="C122" s="1268">
        <v>0.13</v>
      </c>
      <c r="D122" s="1268">
        <v>0.13</v>
      </c>
      <c r="E122" s="1268">
        <v>0.125</v>
      </c>
      <c r="F122" s="1269">
        <v>0.13</v>
      </c>
    </row>
    <row r="123" ht="14.25" spans="1:6">
      <c r="A123" s="1263" t="s">
        <v>292</v>
      </c>
      <c r="B123" s="1267" t="s">
        <v>1931</v>
      </c>
      <c r="C123" s="1268">
        <v>0.129</v>
      </c>
      <c r="D123" s="1268">
        <v>0.129</v>
      </c>
      <c r="E123" s="1268">
        <v>0.123</v>
      </c>
      <c r="F123" s="1269">
        <v>0.13</v>
      </c>
    </row>
    <row r="124" ht="14.25" spans="1:6">
      <c r="A124" s="1263" t="s">
        <v>292</v>
      </c>
      <c r="B124" s="1267" t="s">
        <v>1941</v>
      </c>
      <c r="C124" s="1268">
        <v>0.102</v>
      </c>
      <c r="D124" s="1268">
        <v>0.101</v>
      </c>
      <c r="E124" s="1268">
        <v>0.08</v>
      </c>
      <c r="F124" s="1276"/>
    </row>
    <row r="125" ht="14.25" spans="1:6">
      <c r="A125" s="1263" t="s">
        <v>292</v>
      </c>
      <c r="B125" s="1267" t="s">
        <v>1951</v>
      </c>
      <c r="C125" s="1268">
        <v>0.13</v>
      </c>
      <c r="D125" s="1268">
        <v>0.13</v>
      </c>
      <c r="E125" s="1268">
        <v>0.129</v>
      </c>
      <c r="F125" s="1276"/>
    </row>
    <row r="126" ht="14.25" spans="1:6">
      <c r="A126" s="1263" t="s">
        <v>292</v>
      </c>
      <c r="B126" s="1267" t="s">
        <v>1961</v>
      </c>
      <c r="C126" s="1268">
        <v>0.13</v>
      </c>
      <c r="D126" s="1268">
        <v>0.13</v>
      </c>
      <c r="E126" s="1268">
        <v>0.126</v>
      </c>
      <c r="F126" s="1276"/>
    </row>
    <row r="127" ht="14.25" spans="1:6">
      <c r="A127" s="1263" t="s">
        <v>292</v>
      </c>
      <c r="B127" s="1267" t="s">
        <v>1971</v>
      </c>
      <c r="C127" s="1268">
        <v>0.125</v>
      </c>
      <c r="D127" s="1268">
        <v>0.125</v>
      </c>
      <c r="E127" s="1268">
        <v>0.121</v>
      </c>
      <c r="F127" s="1276"/>
    </row>
    <row r="128" ht="14.25" spans="1:6">
      <c r="A128" s="1263" t="s">
        <v>292</v>
      </c>
      <c r="B128" s="1267" t="s">
        <v>1981</v>
      </c>
      <c r="C128" s="1268">
        <v>0.12</v>
      </c>
      <c r="D128" s="1268">
        <v>0.12</v>
      </c>
      <c r="E128" s="1268">
        <v>0.105</v>
      </c>
      <c r="F128" s="1276"/>
    </row>
    <row r="129" ht="14.25" spans="1:6">
      <c r="A129" s="1263" t="s">
        <v>292</v>
      </c>
      <c r="B129" s="1267" t="s">
        <v>1990</v>
      </c>
      <c r="C129" s="1268">
        <v>0.13</v>
      </c>
      <c r="D129" s="1268">
        <v>0.13</v>
      </c>
      <c r="E129" s="1268">
        <v>0.126</v>
      </c>
      <c r="F129" s="1276"/>
    </row>
    <row r="130" ht="14.25" spans="1:6">
      <c r="A130" s="1263" t="s">
        <v>292</v>
      </c>
      <c r="B130" s="1267" t="s">
        <v>1998</v>
      </c>
      <c r="C130" s="1268">
        <v>0.125</v>
      </c>
      <c r="D130" s="1268">
        <v>0.125</v>
      </c>
      <c r="E130" s="1268">
        <v>0.122</v>
      </c>
      <c r="F130" s="1276"/>
    </row>
    <row r="131" ht="14.25" spans="1:6">
      <c r="A131" s="1263" t="s">
        <v>292</v>
      </c>
      <c r="B131" s="1267" t="s">
        <v>2006</v>
      </c>
      <c r="C131" s="1268">
        <v>0.127</v>
      </c>
      <c r="D131" s="1268">
        <v>0.126</v>
      </c>
      <c r="E131" s="1268">
        <v>0.123</v>
      </c>
      <c r="F131" s="1276"/>
    </row>
    <row r="132" ht="14.25" spans="1:6">
      <c r="A132" s="1263" t="s">
        <v>292</v>
      </c>
      <c r="B132" s="1267" t="s">
        <v>2013</v>
      </c>
      <c r="C132" s="1268">
        <v>0.091</v>
      </c>
      <c r="D132" s="1268">
        <v>0.121</v>
      </c>
      <c r="E132" s="1268">
        <v>0.099</v>
      </c>
      <c r="F132" s="1276"/>
    </row>
    <row r="133" ht="14.25" spans="1:6">
      <c r="A133" s="1263" t="s">
        <v>292</v>
      </c>
      <c r="B133" s="1267" t="s">
        <v>2020</v>
      </c>
      <c r="C133" s="1268">
        <v>0.13</v>
      </c>
      <c r="D133" s="1268">
        <v>0.13</v>
      </c>
      <c r="E133" s="1268">
        <v>0.129</v>
      </c>
      <c r="F133" s="1276"/>
    </row>
    <row r="134" ht="14.25" spans="1:6">
      <c r="A134" s="1263" t="s">
        <v>292</v>
      </c>
      <c r="B134" s="1267" t="s">
        <v>2027</v>
      </c>
      <c r="C134" s="1268">
        <v>0.068</v>
      </c>
      <c r="D134" s="1268">
        <v>0.065</v>
      </c>
      <c r="E134" s="1268">
        <v>0.065</v>
      </c>
      <c r="F134" s="1269">
        <v>0.13</v>
      </c>
    </row>
    <row r="135" ht="14.25" spans="1:6">
      <c r="A135" s="1263" t="s">
        <v>292</v>
      </c>
      <c r="B135" s="1267" t="s">
        <v>2034</v>
      </c>
      <c r="C135" s="1268">
        <v>0.123</v>
      </c>
      <c r="D135" s="1268">
        <v>0.123</v>
      </c>
      <c r="E135" s="1268">
        <v>0.11</v>
      </c>
      <c r="F135" s="1276"/>
    </row>
    <row r="136" ht="14.25" spans="1:6">
      <c r="A136" s="1263" t="s">
        <v>292</v>
      </c>
      <c r="B136" s="1267" t="s">
        <v>2041</v>
      </c>
      <c r="C136" s="1268">
        <v>0.13</v>
      </c>
      <c r="D136" s="1268">
        <v>0.13</v>
      </c>
      <c r="E136" s="1268">
        <v>0.125</v>
      </c>
      <c r="F136" s="1276"/>
    </row>
    <row r="137" ht="14.25" spans="1:6">
      <c r="A137" s="1263" t="s">
        <v>292</v>
      </c>
      <c r="B137" s="1267" t="s">
        <v>2046</v>
      </c>
      <c r="C137" s="1268">
        <v>0.121</v>
      </c>
      <c r="D137" s="1268">
        <v>0.122</v>
      </c>
      <c r="E137" s="1268">
        <v>0.115</v>
      </c>
      <c r="F137" s="1276"/>
    </row>
    <row r="138" ht="14.25" spans="1:6">
      <c r="A138" s="1263" t="s">
        <v>292</v>
      </c>
      <c r="B138" s="1267" t="s">
        <v>2051</v>
      </c>
      <c r="C138" s="1268">
        <v>0.105</v>
      </c>
      <c r="D138" s="1268">
        <v>0.125</v>
      </c>
      <c r="E138" s="1268">
        <v>0.112</v>
      </c>
      <c r="F138" s="1276"/>
    </row>
    <row r="139" ht="14.25" spans="1:6">
      <c r="A139" s="1263" t="s">
        <v>292</v>
      </c>
      <c r="B139" s="1267" t="s">
        <v>2056</v>
      </c>
      <c r="C139" s="1268">
        <v>0.127</v>
      </c>
      <c r="D139" s="1268">
        <v>0.127</v>
      </c>
      <c r="E139" s="1268">
        <v>0.122</v>
      </c>
      <c r="F139" s="1269">
        <v>0.13</v>
      </c>
    </row>
    <row r="140" ht="14.25" spans="1:6">
      <c r="A140" s="1263" t="s">
        <v>292</v>
      </c>
      <c r="B140" s="1267" t="s">
        <v>2061</v>
      </c>
      <c r="C140" s="1268">
        <v>0.125</v>
      </c>
      <c r="D140" s="1268">
        <v>0.125</v>
      </c>
      <c r="E140" s="1268">
        <v>0.119</v>
      </c>
      <c r="F140" s="1269">
        <v>0.13</v>
      </c>
    </row>
    <row r="141" ht="14.25" spans="1:6">
      <c r="A141" s="1263" t="s">
        <v>292</v>
      </c>
      <c r="B141" s="1267" t="s">
        <v>2066</v>
      </c>
      <c r="C141" s="1268">
        <v>0.125</v>
      </c>
      <c r="D141" s="1268">
        <v>0.125</v>
      </c>
      <c r="E141" s="1268">
        <v>0.117</v>
      </c>
      <c r="F141" s="1276"/>
    </row>
    <row r="142" ht="14.25" spans="1:6">
      <c r="A142" s="1263" t="s">
        <v>292</v>
      </c>
      <c r="B142" s="1267" t="s">
        <v>2071</v>
      </c>
      <c r="C142" s="1268">
        <v>0.125</v>
      </c>
      <c r="D142" s="1268">
        <v>0.125</v>
      </c>
      <c r="E142" s="1268">
        <v>0.115</v>
      </c>
      <c r="F142" s="1276"/>
    </row>
    <row r="143" ht="14.25" spans="1:6">
      <c r="A143" s="1263" t="s">
        <v>292</v>
      </c>
      <c r="B143" s="1267" t="s">
        <v>2076</v>
      </c>
      <c r="C143" s="1268">
        <v>0.121</v>
      </c>
      <c r="D143" s="1268">
        <v>0.121</v>
      </c>
      <c r="E143" s="1268">
        <v>0.108</v>
      </c>
      <c r="F143" s="1276"/>
    </row>
    <row r="144" ht="14.25" spans="1:6">
      <c r="A144" s="1263" t="s">
        <v>292</v>
      </c>
      <c r="B144" s="1280" t="s">
        <v>2080</v>
      </c>
      <c r="C144" s="1281">
        <v>0.126</v>
      </c>
      <c r="D144" s="1281">
        <v>0.126</v>
      </c>
      <c r="E144" s="1281">
        <v>0.121</v>
      </c>
      <c r="F144" s="1276"/>
    </row>
    <row r="145" ht="14.25" spans="1:6">
      <c r="A145" s="1271" t="s">
        <v>292</v>
      </c>
      <c r="B145" s="1282" t="s">
        <v>2084</v>
      </c>
      <c r="C145" s="1283"/>
      <c r="D145" s="1283"/>
      <c r="E145" s="1283"/>
      <c r="F145" s="1284">
        <v>0.05</v>
      </c>
    </row>
    <row r="146" ht="24.75" spans="1:6">
      <c r="A146" s="1285" t="s">
        <v>292</v>
      </c>
      <c r="B146" s="1270" t="s">
        <v>2088</v>
      </c>
      <c r="C146" s="1277"/>
      <c r="D146" s="1277"/>
      <c r="E146" s="1277"/>
      <c r="F146" s="1286">
        <v>0.05</v>
      </c>
    </row>
    <row r="147" ht="24.75" spans="1:6">
      <c r="A147" s="1263" t="s">
        <v>292</v>
      </c>
      <c r="B147" s="1267" t="s">
        <v>2092</v>
      </c>
      <c r="C147" s="1277"/>
      <c r="D147" s="1277"/>
      <c r="E147" s="1277"/>
      <c r="F147" s="1269">
        <v>0.05</v>
      </c>
    </row>
    <row r="148" ht="24.75" spans="1:6">
      <c r="A148" s="1263" t="s">
        <v>292</v>
      </c>
      <c r="B148" s="1267" t="s">
        <v>2096</v>
      </c>
      <c r="C148" s="1277"/>
      <c r="D148" s="1277"/>
      <c r="E148" s="1277"/>
      <c r="F148" s="1269">
        <v>0.05</v>
      </c>
    </row>
    <row r="149" ht="24.75" spans="1:6">
      <c r="A149" s="1263" t="s">
        <v>292</v>
      </c>
      <c r="B149" s="1267" t="s">
        <v>2100</v>
      </c>
      <c r="C149" s="1277"/>
      <c r="D149" s="1277"/>
      <c r="E149" s="1277"/>
      <c r="F149" s="1269">
        <v>0.05</v>
      </c>
    </row>
    <row r="150" ht="24.75" spans="1:6">
      <c r="A150" s="1263" t="s">
        <v>292</v>
      </c>
      <c r="B150" s="1267" t="s">
        <v>2103</v>
      </c>
      <c r="C150" s="1277"/>
      <c r="D150" s="1277"/>
      <c r="E150" s="1277"/>
      <c r="F150" s="1269">
        <v>0.05</v>
      </c>
    </row>
    <row r="151" ht="24.75" spans="1:6">
      <c r="A151" s="1263" t="s">
        <v>292</v>
      </c>
      <c r="B151" s="1267" t="s">
        <v>2106</v>
      </c>
      <c r="C151" s="1277"/>
      <c r="D151" s="1277"/>
      <c r="E151" s="1277"/>
      <c r="F151" s="1269">
        <v>0.05</v>
      </c>
    </row>
    <row r="152" ht="24.75" spans="1:6">
      <c r="A152" s="1263" t="s">
        <v>292</v>
      </c>
      <c r="B152" s="1267" t="s">
        <v>2109</v>
      </c>
      <c r="C152" s="1277"/>
      <c r="D152" s="1277"/>
      <c r="E152" s="1277"/>
      <c r="F152" s="1269">
        <v>0.05</v>
      </c>
    </row>
    <row r="153" ht="14.25" spans="1:6">
      <c r="A153" s="1263" t="s">
        <v>292</v>
      </c>
      <c r="B153" s="1267" t="s">
        <v>2112</v>
      </c>
      <c r="C153" s="1277"/>
      <c r="D153" s="1277"/>
      <c r="E153" s="1277"/>
      <c r="F153" s="1269">
        <v>0.05</v>
      </c>
    </row>
    <row r="154" ht="14.25" spans="1:6">
      <c r="A154" s="1263" t="s">
        <v>292</v>
      </c>
      <c r="B154" s="1267" t="s">
        <v>2115</v>
      </c>
      <c r="C154" s="1277"/>
      <c r="D154" s="1277"/>
      <c r="E154" s="1277"/>
      <c r="F154" s="1269">
        <v>0.05</v>
      </c>
    </row>
    <row r="155" ht="24.75" spans="1:6">
      <c r="A155" s="1263" t="s">
        <v>292</v>
      </c>
      <c r="B155" s="1267" t="s">
        <v>2118</v>
      </c>
      <c r="C155" s="1277"/>
      <c r="D155" s="1277"/>
      <c r="E155" s="1277"/>
      <c r="F155" s="1269">
        <v>0.05</v>
      </c>
    </row>
    <row r="156" ht="24.75" spans="1:6">
      <c r="A156" s="1263" t="s">
        <v>292</v>
      </c>
      <c r="B156" s="1267" t="s">
        <v>2120</v>
      </c>
      <c r="C156" s="1277"/>
      <c r="D156" s="1277"/>
      <c r="E156" s="1277"/>
      <c r="F156" s="1269">
        <v>0.05</v>
      </c>
    </row>
    <row r="157" ht="14.25" spans="1:6">
      <c r="A157" s="1271" t="s">
        <v>292</v>
      </c>
      <c r="B157" s="1278" t="s">
        <v>2122</v>
      </c>
      <c r="C157" s="1274"/>
      <c r="D157" s="1274"/>
      <c r="E157" s="1274"/>
      <c r="F157" s="1279">
        <v>0.05</v>
      </c>
    </row>
    <row r="158" ht="14.25" spans="1:6">
      <c r="A158" s="1263" t="s">
        <v>297</v>
      </c>
      <c r="B158" s="1264" t="s">
        <v>1790</v>
      </c>
      <c r="C158" s="1265">
        <v>0.13</v>
      </c>
      <c r="D158" s="1265">
        <v>0.13</v>
      </c>
      <c r="E158" s="1265">
        <v>0.13</v>
      </c>
      <c r="F158" s="1266">
        <v>0.13</v>
      </c>
    </row>
    <row r="159" ht="14.25" spans="1:6">
      <c r="A159" s="1263" t="s">
        <v>297</v>
      </c>
      <c r="B159" s="1267" t="s">
        <v>1803</v>
      </c>
      <c r="C159" s="1268">
        <v>0.13</v>
      </c>
      <c r="D159" s="1268">
        <v>0.13</v>
      </c>
      <c r="E159" s="1268">
        <v>0.13</v>
      </c>
      <c r="F159" s="1269">
        <v>0.13</v>
      </c>
    </row>
    <row r="160" ht="14.25" spans="1:6">
      <c r="A160" s="1263" t="s">
        <v>297</v>
      </c>
      <c r="B160" s="1267" t="s">
        <v>1815</v>
      </c>
      <c r="C160" s="1268">
        <v>0.13</v>
      </c>
      <c r="D160" s="1268">
        <v>0.13</v>
      </c>
      <c r="E160" s="1268">
        <v>0.129</v>
      </c>
      <c r="F160" s="1269">
        <v>0.13</v>
      </c>
    </row>
    <row r="161" ht="14.25" spans="1:6">
      <c r="A161" s="1263" t="s">
        <v>297</v>
      </c>
      <c r="B161" s="1267" t="s">
        <v>1827</v>
      </c>
      <c r="C161" s="1268">
        <v>0.128</v>
      </c>
      <c r="D161" s="1268">
        <v>0.128</v>
      </c>
      <c r="E161" s="1268">
        <v>0.125</v>
      </c>
      <c r="F161" s="1269">
        <v>0.13</v>
      </c>
    </row>
    <row r="162" ht="14.25" spans="1:6">
      <c r="A162" s="1263" t="s">
        <v>297</v>
      </c>
      <c r="B162" s="1267" t="s">
        <v>1839</v>
      </c>
      <c r="C162" s="1268">
        <v>0.122</v>
      </c>
      <c r="D162" s="1268">
        <v>0.122</v>
      </c>
      <c r="E162" s="1268">
        <v>0.126</v>
      </c>
      <c r="F162" s="1269">
        <v>0.122</v>
      </c>
    </row>
    <row r="163" ht="14.25" spans="1:6">
      <c r="A163" s="1263" t="s">
        <v>297</v>
      </c>
      <c r="B163" s="1267" t="s">
        <v>1850</v>
      </c>
      <c r="C163" s="1268">
        <v>0.13</v>
      </c>
      <c r="D163" s="1268">
        <v>0.13</v>
      </c>
      <c r="E163" s="1268">
        <v>0.125</v>
      </c>
      <c r="F163" s="1269">
        <v>0.13</v>
      </c>
    </row>
    <row r="164" ht="14.25" spans="1:6">
      <c r="A164" s="1263" t="s">
        <v>297</v>
      </c>
      <c r="B164" s="1267" t="s">
        <v>1861</v>
      </c>
      <c r="C164" s="1268">
        <v>0.13</v>
      </c>
      <c r="D164" s="1268">
        <v>0.13</v>
      </c>
      <c r="E164" s="1268">
        <v>0.13</v>
      </c>
      <c r="F164" s="1269">
        <v>0.13</v>
      </c>
    </row>
    <row r="165" ht="14.25" spans="1:6">
      <c r="A165" s="1263" t="s">
        <v>297</v>
      </c>
      <c r="B165" s="1267" t="s">
        <v>1872</v>
      </c>
      <c r="C165" s="1268">
        <v>0.13</v>
      </c>
      <c r="D165" s="1268">
        <v>0.13</v>
      </c>
      <c r="E165" s="1268">
        <v>0.124</v>
      </c>
      <c r="F165" s="1269">
        <v>0.13</v>
      </c>
    </row>
    <row r="166" ht="14.25" spans="1:6">
      <c r="A166" s="1263" t="s">
        <v>297</v>
      </c>
      <c r="B166" s="1267" t="s">
        <v>1882</v>
      </c>
      <c r="C166" s="1268">
        <v>0.13</v>
      </c>
      <c r="D166" s="1268">
        <v>0.13</v>
      </c>
      <c r="E166" s="1268">
        <v>0.13</v>
      </c>
      <c r="F166" s="1269">
        <v>0.13</v>
      </c>
    </row>
    <row r="167" ht="14.25" spans="1:6">
      <c r="A167" s="1263" t="s">
        <v>297</v>
      </c>
      <c r="B167" s="1267" t="s">
        <v>1892</v>
      </c>
      <c r="C167" s="1268">
        <v>0.125</v>
      </c>
      <c r="D167" s="1268">
        <v>0.125</v>
      </c>
      <c r="E167" s="1268">
        <v>0.121</v>
      </c>
      <c r="F167" s="1276"/>
    </row>
    <row r="168" ht="14.25" spans="1:6">
      <c r="A168" s="1263" t="s">
        <v>297</v>
      </c>
      <c r="B168" s="1267" t="s">
        <v>1902</v>
      </c>
      <c r="C168" s="1268">
        <v>0.13</v>
      </c>
      <c r="D168" s="1268">
        <v>0.13</v>
      </c>
      <c r="E168" s="1268">
        <v>0.126</v>
      </c>
      <c r="F168" s="1276"/>
    </row>
    <row r="169" ht="14.25" spans="1:6">
      <c r="A169" s="1263" t="s">
        <v>297</v>
      </c>
      <c r="B169" s="1267" t="s">
        <v>1912</v>
      </c>
      <c r="C169" s="1268">
        <v>0.128</v>
      </c>
      <c r="D169" s="1268">
        <v>0.129</v>
      </c>
      <c r="E169" s="1268">
        <v>0.13</v>
      </c>
      <c r="F169" s="1276"/>
    </row>
    <row r="170" ht="14.25" spans="1:6">
      <c r="A170" s="1263" t="s">
        <v>297</v>
      </c>
      <c r="B170" s="1267" t="s">
        <v>1922</v>
      </c>
      <c r="C170" s="1268">
        <v>0.141</v>
      </c>
      <c r="D170" s="1268">
        <v>0.13</v>
      </c>
      <c r="E170" s="1268">
        <v>0.125</v>
      </c>
      <c r="F170" s="1276"/>
    </row>
    <row r="171" ht="14.25" spans="1:6">
      <c r="A171" s="1263" t="s">
        <v>297</v>
      </c>
      <c r="B171" s="1267" t="s">
        <v>1932</v>
      </c>
      <c r="C171" s="1268">
        <v>0.127</v>
      </c>
      <c r="D171" s="1268">
        <v>0.126</v>
      </c>
      <c r="E171" s="1268">
        <v>0.126</v>
      </c>
      <c r="F171" s="1269">
        <v>0.118</v>
      </c>
    </row>
    <row r="172" ht="14.25" spans="1:6">
      <c r="A172" s="1263" t="s">
        <v>297</v>
      </c>
      <c r="B172" s="1267" t="s">
        <v>1942</v>
      </c>
      <c r="C172" s="1268">
        <v>0.13</v>
      </c>
      <c r="D172" s="1268">
        <v>0.13</v>
      </c>
      <c r="E172" s="1268">
        <v>0.13</v>
      </c>
      <c r="F172" s="1276"/>
    </row>
    <row r="173" ht="14.25" spans="1:6">
      <c r="A173" s="1263" t="s">
        <v>297</v>
      </c>
      <c r="B173" s="1267" t="s">
        <v>1952</v>
      </c>
      <c r="C173" s="1268">
        <v>0.13</v>
      </c>
      <c r="D173" s="1268">
        <v>0.13</v>
      </c>
      <c r="E173" s="1268">
        <v>0.13</v>
      </c>
      <c r="F173" s="1276"/>
    </row>
    <row r="174" ht="14.25" spans="1:6">
      <c r="A174" s="1263" t="s">
        <v>297</v>
      </c>
      <c r="B174" s="1267" t="s">
        <v>1962</v>
      </c>
      <c r="C174" s="1268">
        <v>0.13</v>
      </c>
      <c r="D174" s="1268">
        <v>0.13</v>
      </c>
      <c r="E174" s="1268">
        <v>0.13</v>
      </c>
      <c r="F174" s="1269">
        <v>0.13</v>
      </c>
    </row>
    <row r="175" ht="14.25" spans="1:6">
      <c r="A175" s="1263" t="s">
        <v>297</v>
      </c>
      <c r="B175" s="1267" t="s">
        <v>1972</v>
      </c>
      <c r="C175" s="1268">
        <v>0.13</v>
      </c>
      <c r="D175" s="1268">
        <v>0.13</v>
      </c>
      <c r="E175" s="1268">
        <v>0.13</v>
      </c>
      <c r="F175" s="1269">
        <v>0.13</v>
      </c>
    </row>
    <row r="176" ht="14.25" spans="1:6">
      <c r="A176" s="1263" t="s">
        <v>297</v>
      </c>
      <c r="B176" s="1267" t="s">
        <v>1982</v>
      </c>
      <c r="C176" s="1268">
        <v>0.13</v>
      </c>
      <c r="D176" s="1268">
        <v>0.13</v>
      </c>
      <c r="E176" s="1268">
        <v>0.13</v>
      </c>
      <c r="F176" s="1269">
        <v>0.13</v>
      </c>
    </row>
    <row r="177" ht="14.25" spans="1:6">
      <c r="A177" s="1263" t="s">
        <v>297</v>
      </c>
      <c r="B177" s="1267" t="s">
        <v>1991</v>
      </c>
      <c r="C177" s="1268">
        <v>0.13</v>
      </c>
      <c r="D177" s="1268">
        <v>0.13</v>
      </c>
      <c r="E177" s="1268">
        <v>0.13</v>
      </c>
      <c r="F177" s="1269">
        <v>0.13</v>
      </c>
    </row>
    <row r="178" ht="14.25" spans="1:6">
      <c r="A178" s="1263" t="s">
        <v>297</v>
      </c>
      <c r="B178" s="1267" t="s">
        <v>1999</v>
      </c>
      <c r="C178" s="1268">
        <v>0.13</v>
      </c>
      <c r="D178" s="1268">
        <v>0.13</v>
      </c>
      <c r="E178" s="1268">
        <v>0.13</v>
      </c>
      <c r="F178" s="1269">
        <v>0.127</v>
      </c>
    </row>
    <row r="179" ht="14.25" spans="1:6">
      <c r="A179" s="1263" t="s">
        <v>297</v>
      </c>
      <c r="B179" s="1267" t="s">
        <v>2007</v>
      </c>
      <c r="C179" s="1268">
        <v>0.13</v>
      </c>
      <c r="D179" s="1268">
        <v>0.13</v>
      </c>
      <c r="E179" s="1268">
        <v>0.13</v>
      </c>
      <c r="F179" s="1276"/>
    </row>
    <row r="180" ht="14.25" spans="1:6">
      <c r="A180" s="1263" t="s">
        <v>297</v>
      </c>
      <c r="B180" s="1267" t="s">
        <v>2014</v>
      </c>
      <c r="C180" s="1268">
        <v>0.13</v>
      </c>
      <c r="D180" s="1268">
        <v>0.13</v>
      </c>
      <c r="E180" s="1268">
        <v>0.125</v>
      </c>
      <c r="F180" s="1269">
        <v>0.13</v>
      </c>
    </row>
    <row r="181" ht="14.25" spans="1:6">
      <c r="A181" s="1263" t="s">
        <v>297</v>
      </c>
      <c r="B181" s="1267" t="s">
        <v>2021</v>
      </c>
      <c r="C181" s="1268">
        <v>0.122</v>
      </c>
      <c r="D181" s="1268">
        <v>0.123</v>
      </c>
      <c r="E181" s="1268">
        <v>0.126</v>
      </c>
      <c r="F181" s="1269">
        <v>0.121</v>
      </c>
    </row>
    <row r="182" ht="14.25" spans="1:6">
      <c r="A182" s="1263" t="s">
        <v>297</v>
      </c>
      <c r="B182" s="1267" t="s">
        <v>2028</v>
      </c>
      <c r="C182" s="1268">
        <v>0.125</v>
      </c>
      <c r="D182" s="1268">
        <v>0.125</v>
      </c>
      <c r="E182" s="1268">
        <v>0.117</v>
      </c>
      <c r="F182" s="1269">
        <v>0.13</v>
      </c>
    </row>
    <row r="183" ht="14.25" spans="1:6">
      <c r="A183" s="1263" t="s">
        <v>297</v>
      </c>
      <c r="B183" s="1267" t="s">
        <v>2035</v>
      </c>
      <c r="C183" s="1268">
        <v>0.127</v>
      </c>
      <c r="D183" s="1268">
        <v>0.127</v>
      </c>
      <c r="E183" s="1268">
        <v>0.128</v>
      </c>
      <c r="F183" s="1276"/>
    </row>
    <row r="184" ht="14.25" spans="1:6">
      <c r="A184" s="1263" t="s">
        <v>297</v>
      </c>
      <c r="B184" s="1267" t="s">
        <v>2042</v>
      </c>
      <c r="C184" s="1268">
        <v>0.125</v>
      </c>
      <c r="D184" s="1268">
        <v>0.125</v>
      </c>
      <c r="E184" s="1268">
        <v>0.127</v>
      </c>
      <c r="F184" s="1276"/>
    </row>
    <row r="185" ht="14.25" spans="1:6">
      <c r="A185" s="1263" t="s">
        <v>297</v>
      </c>
      <c r="B185" s="1267" t="s">
        <v>2047</v>
      </c>
      <c r="C185" s="1268">
        <v>0.127</v>
      </c>
      <c r="D185" s="1268">
        <v>0.127</v>
      </c>
      <c r="E185" s="1268">
        <v>0.128</v>
      </c>
      <c r="F185" s="1269">
        <v>0.13</v>
      </c>
    </row>
    <row r="186" ht="24.75" spans="1:6">
      <c r="A186" s="1263" t="s">
        <v>297</v>
      </c>
      <c r="B186" s="1267" t="s">
        <v>2052</v>
      </c>
      <c r="C186" s="1277"/>
      <c r="D186" s="1277"/>
      <c r="E186" s="1277"/>
      <c r="F186" s="1269">
        <v>0.05</v>
      </c>
    </row>
    <row r="187" ht="14.25" spans="1:6">
      <c r="A187" s="1263" t="s">
        <v>297</v>
      </c>
      <c r="B187" s="1267" t="s">
        <v>2057</v>
      </c>
      <c r="C187" s="1277"/>
      <c r="D187" s="1277"/>
      <c r="E187" s="1277"/>
      <c r="F187" s="1269">
        <v>0.05</v>
      </c>
    </row>
    <row r="188" ht="14.25" spans="1:6">
      <c r="A188" s="1263" t="s">
        <v>297</v>
      </c>
      <c r="B188" s="1267" t="s">
        <v>2062</v>
      </c>
      <c r="C188" s="1277"/>
      <c r="D188" s="1277"/>
      <c r="E188" s="1277"/>
      <c r="F188" s="1269">
        <v>0.05</v>
      </c>
    </row>
    <row r="189" ht="24.75" spans="1:6">
      <c r="A189" s="1263" t="s">
        <v>297</v>
      </c>
      <c r="B189" s="1267" t="s">
        <v>2067</v>
      </c>
      <c r="C189" s="1277"/>
      <c r="D189" s="1277"/>
      <c r="E189" s="1277"/>
      <c r="F189" s="1269">
        <v>0.05</v>
      </c>
    </row>
    <row r="190" ht="24.75" spans="1:6">
      <c r="A190" s="1263" t="s">
        <v>297</v>
      </c>
      <c r="B190" s="1267" t="s">
        <v>2072</v>
      </c>
      <c r="C190" s="1277"/>
      <c r="D190" s="1277"/>
      <c r="E190" s="1277"/>
      <c r="F190" s="1269">
        <v>0.05</v>
      </c>
    </row>
    <row r="191" ht="24.75" spans="1:6">
      <c r="A191" s="1263" t="s">
        <v>297</v>
      </c>
      <c r="B191" s="1267" t="s">
        <v>2077</v>
      </c>
      <c r="C191" s="1277"/>
      <c r="D191" s="1277"/>
      <c r="E191" s="1277"/>
      <c r="F191" s="1269">
        <v>0.05</v>
      </c>
    </row>
    <row r="192" ht="24.75" spans="1:6">
      <c r="A192" s="1263" t="s">
        <v>297</v>
      </c>
      <c r="B192" s="1267" t="s">
        <v>2081</v>
      </c>
      <c r="C192" s="1277"/>
      <c r="D192" s="1277"/>
      <c r="E192" s="1277"/>
      <c r="F192" s="1269">
        <v>0.05</v>
      </c>
    </row>
    <row r="193" ht="24.75" spans="1:6">
      <c r="A193" s="1263" t="s">
        <v>297</v>
      </c>
      <c r="B193" s="1267" t="s">
        <v>2085</v>
      </c>
      <c r="C193" s="1277"/>
      <c r="D193" s="1277"/>
      <c r="E193" s="1277"/>
      <c r="F193" s="1269">
        <v>0.05</v>
      </c>
    </row>
    <row r="194" ht="24.75" spans="1:6">
      <c r="A194" s="1263" t="s">
        <v>297</v>
      </c>
      <c r="B194" s="1267" t="s">
        <v>2089</v>
      </c>
      <c r="C194" s="1277"/>
      <c r="D194" s="1277"/>
      <c r="E194" s="1277"/>
      <c r="F194" s="1269">
        <v>0.05</v>
      </c>
    </row>
    <row r="195" ht="14.25" spans="1:6">
      <c r="A195" s="1263" t="s">
        <v>297</v>
      </c>
      <c r="B195" s="1267" t="s">
        <v>2093</v>
      </c>
      <c r="C195" s="1277"/>
      <c r="D195" s="1277"/>
      <c r="E195" s="1277"/>
      <c r="F195" s="1269">
        <v>0.05</v>
      </c>
    </row>
    <row r="196" ht="24.75" spans="1:6">
      <c r="A196" s="1263" t="s">
        <v>297</v>
      </c>
      <c r="B196" s="1267" t="s">
        <v>2097</v>
      </c>
      <c r="C196" s="1277"/>
      <c r="D196" s="1277"/>
      <c r="E196" s="1277"/>
      <c r="F196" s="1269">
        <v>0.05</v>
      </c>
    </row>
    <row r="197" ht="24.75" spans="1:6">
      <c r="A197" s="1263" t="s">
        <v>297</v>
      </c>
      <c r="B197" s="1267" t="s">
        <v>2101</v>
      </c>
      <c r="C197" s="1277"/>
      <c r="D197" s="1277"/>
      <c r="E197" s="1277"/>
      <c r="F197" s="1269">
        <v>0.05</v>
      </c>
    </row>
    <row r="198" ht="24.75" spans="1:6">
      <c r="A198" s="1263" t="s">
        <v>297</v>
      </c>
      <c r="B198" s="1267" t="s">
        <v>2104</v>
      </c>
      <c r="C198" s="1277"/>
      <c r="D198" s="1277"/>
      <c r="E198" s="1277"/>
      <c r="F198" s="1269">
        <v>0.05</v>
      </c>
    </row>
    <row r="199" ht="24.75" spans="1:6">
      <c r="A199" s="1263" t="s">
        <v>297</v>
      </c>
      <c r="B199" s="1267" t="s">
        <v>2107</v>
      </c>
      <c r="C199" s="1277"/>
      <c r="D199" s="1277"/>
      <c r="E199" s="1277"/>
      <c r="F199" s="1269">
        <v>0.05</v>
      </c>
    </row>
    <row r="200" ht="24.75" spans="1:6">
      <c r="A200" s="1263" t="s">
        <v>297</v>
      </c>
      <c r="B200" s="1267" t="s">
        <v>2110</v>
      </c>
      <c r="C200" s="1277"/>
      <c r="D200" s="1277"/>
      <c r="E200" s="1277"/>
      <c r="F200" s="1269">
        <v>0.05</v>
      </c>
    </row>
    <row r="201" ht="24.75" spans="1:6">
      <c r="A201" s="1263" t="s">
        <v>297</v>
      </c>
      <c r="B201" s="1267" t="s">
        <v>2113</v>
      </c>
      <c r="C201" s="1277"/>
      <c r="D201" s="1277"/>
      <c r="E201" s="1277"/>
      <c r="F201" s="1269">
        <v>0.05</v>
      </c>
    </row>
    <row r="202" ht="24.75" spans="1:6">
      <c r="A202" s="1263" t="s">
        <v>297</v>
      </c>
      <c r="B202" s="1267" t="s">
        <v>2116</v>
      </c>
      <c r="C202" s="1277"/>
      <c r="D202" s="1277"/>
      <c r="E202" s="1277"/>
      <c r="F202" s="1269">
        <v>0.05</v>
      </c>
    </row>
    <row r="203" ht="24.75" spans="1:6">
      <c r="A203" s="1263" t="s">
        <v>297</v>
      </c>
      <c r="B203" s="1267" t="s">
        <v>2119</v>
      </c>
      <c r="C203" s="1277"/>
      <c r="D203" s="1277"/>
      <c r="E203" s="1277"/>
      <c r="F203" s="1269">
        <v>0.05</v>
      </c>
    </row>
    <row r="204" ht="14.25" spans="1:6">
      <c r="A204" s="1263" t="s">
        <v>297</v>
      </c>
      <c r="B204" s="1267" t="s">
        <v>2121</v>
      </c>
      <c r="C204" s="1277"/>
      <c r="D204" s="1277"/>
      <c r="E204" s="1277"/>
      <c r="F204" s="1269">
        <v>0.05</v>
      </c>
    </row>
    <row r="205" ht="14.25" spans="1:6">
      <c r="A205" s="1271" t="s">
        <v>297</v>
      </c>
      <c r="B205" s="1278" t="s">
        <v>2123</v>
      </c>
      <c r="C205" s="1274"/>
      <c r="D205" s="1274"/>
      <c r="E205" s="1274"/>
      <c r="F205" s="1279">
        <v>0.05</v>
      </c>
    </row>
    <row r="206" ht="14.25" spans="1:6">
      <c r="A206" s="1263" t="s">
        <v>302</v>
      </c>
      <c r="B206" s="1264" t="s">
        <v>1791</v>
      </c>
      <c r="C206" s="1265">
        <v>0.15</v>
      </c>
      <c r="D206" s="1265">
        <v>0.15</v>
      </c>
      <c r="E206" s="1265">
        <v>0.15</v>
      </c>
      <c r="F206" s="1266">
        <v>0.15</v>
      </c>
    </row>
    <row r="207" ht="14.25" spans="1:6">
      <c r="A207" s="1263" t="s">
        <v>302</v>
      </c>
      <c r="B207" s="1267" t="s">
        <v>425</v>
      </c>
      <c r="C207" s="1268">
        <v>0.15</v>
      </c>
      <c r="D207" s="1268">
        <v>0.15</v>
      </c>
      <c r="E207" s="1268">
        <v>0.15</v>
      </c>
      <c r="F207" s="1269">
        <v>0.144</v>
      </c>
    </row>
    <row r="208" ht="14.25" spans="1:6">
      <c r="A208" s="1263" t="s">
        <v>302</v>
      </c>
      <c r="B208" s="1267" t="s">
        <v>1816</v>
      </c>
      <c r="C208" s="1268">
        <v>0.15</v>
      </c>
      <c r="D208" s="1268">
        <v>0.15</v>
      </c>
      <c r="E208" s="1268">
        <v>0.15</v>
      </c>
      <c r="F208" s="1269">
        <v>0.15</v>
      </c>
    </row>
    <row r="209" ht="14.25" spans="1:6">
      <c r="A209" s="1263" t="s">
        <v>302</v>
      </c>
      <c r="B209" s="1267" t="s">
        <v>1828</v>
      </c>
      <c r="C209" s="1268">
        <v>0.137</v>
      </c>
      <c r="D209" s="1268">
        <v>0.137</v>
      </c>
      <c r="E209" s="1268">
        <v>0.14</v>
      </c>
      <c r="F209" s="1269">
        <v>0.117</v>
      </c>
    </row>
    <row r="210" ht="14.25" spans="1:6">
      <c r="A210" s="1263" t="s">
        <v>302</v>
      </c>
      <c r="B210" s="1267" t="s">
        <v>1840</v>
      </c>
      <c r="C210" s="1268">
        <v>0.15</v>
      </c>
      <c r="D210" s="1268">
        <v>0.15</v>
      </c>
      <c r="E210" s="1268">
        <v>0.15</v>
      </c>
      <c r="F210" s="1269">
        <v>0.138</v>
      </c>
    </row>
    <row r="211" ht="14.25" spans="1:6">
      <c r="A211" s="1263" t="s">
        <v>302</v>
      </c>
      <c r="B211" s="1267" t="s">
        <v>1851</v>
      </c>
      <c r="C211" s="1268">
        <v>0.137</v>
      </c>
      <c r="D211" s="1268">
        <v>0.135</v>
      </c>
      <c r="E211" s="1268">
        <v>0.136</v>
      </c>
      <c r="F211" s="1269">
        <v>0.1</v>
      </c>
    </row>
    <row r="212" ht="14.25" spans="1:6">
      <c r="A212" s="1263" t="s">
        <v>302</v>
      </c>
      <c r="B212" s="1267" t="s">
        <v>1862</v>
      </c>
      <c r="C212" s="1268">
        <v>0.15</v>
      </c>
      <c r="D212" s="1268">
        <v>0.15</v>
      </c>
      <c r="E212" s="1268">
        <v>0.148</v>
      </c>
      <c r="F212" s="1269">
        <v>0.136</v>
      </c>
    </row>
    <row r="213" ht="14.25" spans="1:6">
      <c r="A213" s="1263" t="s">
        <v>302</v>
      </c>
      <c r="B213" s="1267" t="s">
        <v>1873</v>
      </c>
      <c r="C213" s="1268">
        <v>0.15</v>
      </c>
      <c r="D213" s="1268">
        <v>0.15</v>
      </c>
      <c r="E213" s="1268">
        <v>0.15</v>
      </c>
      <c r="F213" s="1269">
        <v>0.138</v>
      </c>
    </row>
    <row r="214" ht="14.25" spans="1:6">
      <c r="A214" s="1263" t="s">
        <v>302</v>
      </c>
      <c r="B214" s="1267" t="s">
        <v>1883</v>
      </c>
      <c r="C214" s="1268">
        <v>0.091</v>
      </c>
      <c r="D214" s="1268">
        <v>0.09</v>
      </c>
      <c r="E214" s="1268">
        <v>0.092</v>
      </c>
      <c r="F214" s="1276"/>
    </row>
    <row r="215" ht="14.25" spans="1:6">
      <c r="A215" s="1263" t="s">
        <v>302</v>
      </c>
      <c r="B215" s="1267" t="s">
        <v>1893</v>
      </c>
      <c r="C215" s="1268">
        <v>0.15</v>
      </c>
      <c r="D215" s="1268">
        <v>0.15</v>
      </c>
      <c r="E215" s="1268">
        <v>0.15</v>
      </c>
      <c r="F215" s="1269">
        <v>0.15</v>
      </c>
    </row>
    <row r="216" ht="14.25" spans="1:6">
      <c r="A216" s="1263" t="s">
        <v>302</v>
      </c>
      <c r="B216" s="1267" t="s">
        <v>1903</v>
      </c>
      <c r="C216" s="1268">
        <v>0.147</v>
      </c>
      <c r="D216" s="1268">
        <v>0.147</v>
      </c>
      <c r="E216" s="1268">
        <v>0.15</v>
      </c>
      <c r="F216" s="1269">
        <v>0.14</v>
      </c>
    </row>
    <row r="217" ht="14.25" spans="1:6">
      <c r="A217" s="1263" t="s">
        <v>302</v>
      </c>
      <c r="B217" s="1267" t="s">
        <v>1913</v>
      </c>
      <c r="C217" s="1268">
        <v>0.15</v>
      </c>
      <c r="D217" s="1268">
        <v>0.15</v>
      </c>
      <c r="E217" s="1268">
        <v>0.15</v>
      </c>
      <c r="F217" s="1269">
        <v>0.15</v>
      </c>
    </row>
    <row r="218" ht="14.25" spans="1:6">
      <c r="A218" s="1263" t="s">
        <v>302</v>
      </c>
      <c r="B218" s="1267" t="s">
        <v>1923</v>
      </c>
      <c r="C218" s="1268">
        <v>0.15</v>
      </c>
      <c r="D218" s="1268">
        <v>0.15</v>
      </c>
      <c r="E218" s="1268">
        <v>0.15</v>
      </c>
      <c r="F218" s="1269">
        <v>0.15</v>
      </c>
    </row>
    <row r="219" ht="14.25" spans="1:6">
      <c r="A219" s="1263" t="s">
        <v>302</v>
      </c>
      <c r="B219" s="1267" t="s">
        <v>1933</v>
      </c>
      <c r="C219" s="1268">
        <v>0.15</v>
      </c>
      <c r="D219" s="1268">
        <v>0.15</v>
      </c>
      <c r="E219" s="1268">
        <v>0.15</v>
      </c>
      <c r="F219" s="1269">
        <v>0.148</v>
      </c>
    </row>
    <row r="220" ht="14.25" spans="1:6">
      <c r="A220" s="1263" t="s">
        <v>302</v>
      </c>
      <c r="B220" s="1267" t="s">
        <v>1943</v>
      </c>
      <c r="C220" s="1268">
        <v>0.15</v>
      </c>
      <c r="D220" s="1268">
        <v>0.15</v>
      </c>
      <c r="E220" s="1268">
        <v>0.15</v>
      </c>
      <c r="F220" s="1269">
        <v>0.15</v>
      </c>
    </row>
    <row r="221" ht="14.25" spans="1:6">
      <c r="A221" s="1263" t="s">
        <v>302</v>
      </c>
      <c r="B221" s="1267" t="s">
        <v>1953</v>
      </c>
      <c r="C221" s="1268"/>
      <c r="D221" s="1277"/>
      <c r="E221" s="1277"/>
      <c r="F221" s="1269">
        <v>0.148</v>
      </c>
    </row>
    <row r="222" ht="14.25" spans="1:6">
      <c r="A222" s="1263" t="s">
        <v>302</v>
      </c>
      <c r="B222" s="1267" t="s">
        <v>1963</v>
      </c>
      <c r="C222" s="1268"/>
      <c r="D222" s="1277"/>
      <c r="E222" s="1277"/>
      <c r="F222" s="1269">
        <v>0.1</v>
      </c>
    </row>
    <row r="223" ht="14.25" spans="1:6">
      <c r="A223" s="1263" t="s">
        <v>302</v>
      </c>
      <c r="B223" s="1267" t="s">
        <v>1973</v>
      </c>
      <c r="C223" s="1268"/>
      <c r="D223" s="1277"/>
      <c r="E223" s="1277"/>
      <c r="F223" s="1269">
        <v>0.15</v>
      </c>
    </row>
    <row r="224" ht="14.25" spans="1:6">
      <c r="A224" s="1263" t="s">
        <v>302</v>
      </c>
      <c r="B224" s="1267" t="s">
        <v>1983</v>
      </c>
      <c r="C224" s="1268"/>
      <c r="D224" s="1277"/>
      <c r="E224" s="1277"/>
      <c r="F224" s="1269">
        <v>0.15</v>
      </c>
    </row>
    <row r="225" ht="14.25" spans="1:6">
      <c r="A225" s="1263" t="s">
        <v>302</v>
      </c>
      <c r="B225" s="1267" t="s">
        <v>1992</v>
      </c>
      <c r="C225" s="1268">
        <v>0.15</v>
      </c>
      <c r="D225" s="1268">
        <v>0.15</v>
      </c>
      <c r="E225" s="1268">
        <v>0.15</v>
      </c>
      <c r="F225" s="1269">
        <v>0.15</v>
      </c>
    </row>
    <row r="226" ht="14.25" spans="1:6">
      <c r="A226" s="1263" t="s">
        <v>302</v>
      </c>
      <c r="B226" s="1267" t="s">
        <v>2000</v>
      </c>
      <c r="C226" s="1268">
        <v>0.15</v>
      </c>
      <c r="D226" s="1268">
        <v>0.15</v>
      </c>
      <c r="E226" s="1268">
        <v>0.15</v>
      </c>
      <c r="F226" s="1269">
        <v>0.148</v>
      </c>
    </row>
    <row r="227" ht="14.25" spans="1:6">
      <c r="A227" s="1263" t="s">
        <v>302</v>
      </c>
      <c r="B227" s="1267" t="s">
        <v>2008</v>
      </c>
      <c r="C227" s="1268">
        <v>0.15</v>
      </c>
      <c r="D227" s="1268">
        <v>0.15</v>
      </c>
      <c r="E227" s="1268">
        <v>0.15</v>
      </c>
      <c r="F227" s="1269">
        <v>0.15</v>
      </c>
    </row>
    <row r="228" ht="14.25" spans="1:6">
      <c r="A228" s="1263" t="s">
        <v>302</v>
      </c>
      <c r="B228" s="1267" t="s">
        <v>2015</v>
      </c>
      <c r="C228" s="1268">
        <v>0.15</v>
      </c>
      <c r="D228" s="1268">
        <v>0.15</v>
      </c>
      <c r="E228" s="1268">
        <v>0.15</v>
      </c>
      <c r="F228" s="1269">
        <v>0.15</v>
      </c>
    </row>
    <row r="229" ht="14.25" spans="1:6">
      <c r="A229" s="1263" t="s">
        <v>302</v>
      </c>
      <c r="B229" s="1267" t="s">
        <v>2022</v>
      </c>
      <c r="C229" s="1268">
        <v>0.15</v>
      </c>
      <c r="D229" s="1268">
        <v>0.15</v>
      </c>
      <c r="E229" s="1268">
        <v>0.15</v>
      </c>
      <c r="F229" s="1276"/>
    </row>
    <row r="230" ht="14.25" spans="1:6">
      <c r="A230" s="1263" t="s">
        <v>302</v>
      </c>
      <c r="B230" s="1267" t="s">
        <v>2029</v>
      </c>
      <c r="C230" s="1268">
        <v>0.145</v>
      </c>
      <c r="D230" s="1268">
        <v>0.145</v>
      </c>
      <c r="E230" s="1268">
        <v>0.144</v>
      </c>
      <c r="F230" s="1276"/>
    </row>
    <row r="231" ht="14.25" spans="1:6">
      <c r="A231" s="1263" t="s">
        <v>302</v>
      </c>
      <c r="B231" s="1267" t="s">
        <v>2036</v>
      </c>
      <c r="C231" s="1268">
        <v>0.128</v>
      </c>
      <c r="D231" s="1268">
        <v>0.125</v>
      </c>
      <c r="E231" s="1268">
        <v>0.132</v>
      </c>
      <c r="F231" s="1276"/>
    </row>
    <row r="232" ht="14.25" spans="1:6">
      <c r="A232" s="1263" t="s">
        <v>302</v>
      </c>
      <c r="B232" s="1267" t="s">
        <v>2043</v>
      </c>
      <c r="C232" s="1268">
        <v>0.145</v>
      </c>
      <c r="D232" s="1268">
        <v>0.144</v>
      </c>
      <c r="E232" s="1268">
        <v>0.146</v>
      </c>
      <c r="F232" s="1269">
        <v>0.138</v>
      </c>
    </row>
    <row r="233" ht="14.25" spans="1:6">
      <c r="A233" s="1263" t="s">
        <v>302</v>
      </c>
      <c r="B233" s="1267" t="s">
        <v>2048</v>
      </c>
      <c r="C233" s="1268">
        <v>0.145</v>
      </c>
      <c r="D233" s="1268">
        <v>0.143</v>
      </c>
      <c r="E233" s="1268">
        <v>0.142</v>
      </c>
      <c r="F233" s="1276"/>
    </row>
    <row r="234" ht="14.25" spans="1:6">
      <c r="A234" s="1263" t="s">
        <v>302</v>
      </c>
      <c r="B234" s="1267" t="s">
        <v>2130</v>
      </c>
      <c r="C234" s="1268">
        <v>0.14</v>
      </c>
      <c r="D234" s="1268">
        <v>0.14</v>
      </c>
      <c r="E234" s="1268">
        <v>0.144</v>
      </c>
      <c r="F234" s="1276"/>
    </row>
    <row r="235" ht="14.25" spans="1:6">
      <c r="A235" s="1263" t="s">
        <v>302</v>
      </c>
      <c r="B235" s="1267" t="s">
        <v>2058</v>
      </c>
      <c r="C235" s="1268">
        <v>0.141</v>
      </c>
      <c r="D235" s="1268">
        <v>0.142</v>
      </c>
      <c r="E235" s="1268">
        <v>0.145</v>
      </c>
      <c r="F235" s="1269">
        <v>0.15</v>
      </c>
    </row>
    <row r="236" ht="14.25" spans="1:6">
      <c r="A236" s="1263" t="s">
        <v>302</v>
      </c>
      <c r="B236" s="1267" t="s">
        <v>2063</v>
      </c>
      <c r="C236" s="1277"/>
      <c r="D236" s="1277"/>
      <c r="E236" s="1277"/>
      <c r="F236" s="1269">
        <v>0.143</v>
      </c>
    </row>
    <row r="237" ht="24.75" spans="1:6">
      <c r="A237" s="1263" t="s">
        <v>302</v>
      </c>
      <c r="B237" s="1267" t="s">
        <v>2068</v>
      </c>
      <c r="C237" s="1277"/>
      <c r="D237" s="1277"/>
      <c r="E237" s="1277"/>
      <c r="F237" s="1269">
        <v>0.05</v>
      </c>
    </row>
    <row r="238" ht="24.75" spans="1:6">
      <c r="A238" s="1263" t="s">
        <v>302</v>
      </c>
      <c r="B238" s="1267" t="s">
        <v>2073</v>
      </c>
      <c r="C238" s="1277"/>
      <c r="D238" s="1277"/>
      <c r="E238" s="1277"/>
      <c r="F238" s="1269">
        <v>0.05</v>
      </c>
    </row>
    <row r="239" ht="24.75" spans="1:6">
      <c r="A239" s="1263" t="s">
        <v>302</v>
      </c>
      <c r="B239" s="1267" t="s">
        <v>2078</v>
      </c>
      <c r="C239" s="1277"/>
      <c r="D239" s="1277"/>
      <c r="E239" s="1277"/>
      <c r="F239" s="1269">
        <v>0.05</v>
      </c>
    </row>
    <row r="240" ht="24.75" spans="1:6">
      <c r="A240" s="1263" t="s">
        <v>302</v>
      </c>
      <c r="B240" s="1267" t="s">
        <v>2082</v>
      </c>
      <c r="C240" s="1277"/>
      <c r="D240" s="1277"/>
      <c r="E240" s="1277"/>
      <c r="F240" s="1269">
        <v>0.05</v>
      </c>
    </row>
    <row r="241" ht="24.75" spans="1:6">
      <c r="A241" s="1263" t="s">
        <v>302</v>
      </c>
      <c r="B241" s="1267" t="s">
        <v>2086</v>
      </c>
      <c r="C241" s="1277"/>
      <c r="D241" s="1277"/>
      <c r="E241" s="1277"/>
      <c r="F241" s="1269">
        <v>0.05</v>
      </c>
    </row>
    <row r="242" ht="24.75" spans="1:6">
      <c r="A242" s="1263" t="s">
        <v>302</v>
      </c>
      <c r="B242" s="1267" t="s">
        <v>2090</v>
      </c>
      <c r="C242" s="1277"/>
      <c r="D242" s="1277"/>
      <c r="E242" s="1277"/>
      <c r="F242" s="1269">
        <v>0.05</v>
      </c>
    </row>
    <row r="243" ht="24.75" spans="1:6">
      <c r="A243" s="1263" t="s">
        <v>302</v>
      </c>
      <c r="B243" s="1267" t="s">
        <v>2094</v>
      </c>
      <c r="C243" s="1277"/>
      <c r="D243" s="1277"/>
      <c r="E243" s="1277"/>
      <c r="F243" s="1269">
        <v>0.05</v>
      </c>
    </row>
    <row r="244" ht="24.75" spans="1:6">
      <c r="A244" s="1271" t="s">
        <v>302</v>
      </c>
      <c r="B244" s="1278" t="s">
        <v>2098</v>
      </c>
      <c r="C244" s="1274"/>
      <c r="D244" s="1274"/>
      <c r="E244" s="1274"/>
      <c r="F244" s="1279">
        <v>0.05</v>
      </c>
    </row>
    <row r="245" ht="14.25" spans="1:6">
      <c r="A245" s="1263" t="s">
        <v>305</v>
      </c>
      <c r="B245" s="1264" t="s">
        <v>1792</v>
      </c>
      <c r="C245" s="1265">
        <v>0.15</v>
      </c>
      <c r="D245" s="1265">
        <v>0.15</v>
      </c>
      <c r="E245" s="1265">
        <v>0.15</v>
      </c>
      <c r="F245" s="1266">
        <v>0.143</v>
      </c>
    </row>
    <row r="246" ht="14.25" spans="1:6">
      <c r="A246" s="1263" t="s">
        <v>305</v>
      </c>
      <c r="B246" s="1267" t="s">
        <v>1804</v>
      </c>
      <c r="C246" s="1268">
        <v>0.15</v>
      </c>
      <c r="D246" s="1268">
        <v>0.15</v>
      </c>
      <c r="E246" s="1268">
        <v>0.15</v>
      </c>
      <c r="F246" s="1269">
        <v>0.114</v>
      </c>
    </row>
    <row r="247" ht="14.25" spans="1:6">
      <c r="A247" s="1263" t="s">
        <v>305</v>
      </c>
      <c r="B247" s="1267" t="s">
        <v>1817</v>
      </c>
      <c r="C247" s="1268">
        <v>0.15</v>
      </c>
      <c r="D247" s="1268">
        <v>0.15</v>
      </c>
      <c r="E247" s="1268">
        <v>0.15</v>
      </c>
      <c r="F247" s="1269">
        <v>0.15</v>
      </c>
    </row>
    <row r="248" ht="14.25" spans="1:6">
      <c r="A248" s="1263" t="s">
        <v>305</v>
      </c>
      <c r="B248" s="1267" t="s">
        <v>1829</v>
      </c>
      <c r="C248" s="1268">
        <v>0.15</v>
      </c>
      <c r="D248" s="1268">
        <v>0.15</v>
      </c>
      <c r="E248" s="1268">
        <v>0.15</v>
      </c>
      <c r="F248" s="1269">
        <v>0.14</v>
      </c>
    </row>
    <row r="249" ht="14.25" spans="1:6">
      <c r="A249" s="1263" t="s">
        <v>305</v>
      </c>
      <c r="B249" s="1267" t="s">
        <v>1841</v>
      </c>
      <c r="C249" s="1268">
        <v>0.15</v>
      </c>
      <c r="D249" s="1268">
        <v>0.149</v>
      </c>
      <c r="E249" s="1268">
        <v>0.15</v>
      </c>
      <c r="F249" s="1269">
        <v>0.1</v>
      </c>
    </row>
    <row r="250" ht="14.25" spans="1:6">
      <c r="A250" s="1263" t="s">
        <v>305</v>
      </c>
      <c r="B250" s="1267" t="s">
        <v>1852</v>
      </c>
      <c r="C250" s="1268">
        <v>0.15</v>
      </c>
      <c r="D250" s="1268">
        <v>0.15</v>
      </c>
      <c r="E250" s="1268">
        <v>0.15</v>
      </c>
      <c r="F250" s="1269">
        <v>0.144</v>
      </c>
    </row>
    <row r="251" ht="14.25" spans="1:6">
      <c r="A251" s="1263" t="s">
        <v>305</v>
      </c>
      <c r="B251" s="1267" t="s">
        <v>1863</v>
      </c>
      <c r="C251" s="1268">
        <v>0.15</v>
      </c>
      <c r="D251" s="1268">
        <v>0.15</v>
      </c>
      <c r="E251" s="1268">
        <v>0.15</v>
      </c>
      <c r="F251" s="1269">
        <v>0.143</v>
      </c>
    </row>
    <row r="252" ht="14.25" spans="1:6">
      <c r="A252" s="1263" t="s">
        <v>305</v>
      </c>
      <c r="B252" s="1267" t="s">
        <v>1874</v>
      </c>
      <c r="C252" s="1268">
        <v>0.15</v>
      </c>
      <c r="D252" s="1268">
        <v>0.15</v>
      </c>
      <c r="E252" s="1268">
        <v>0.15</v>
      </c>
      <c r="F252" s="1269">
        <v>0.1</v>
      </c>
    </row>
    <row r="253" ht="14.25" spans="1:6">
      <c r="A253" s="1263" t="s">
        <v>305</v>
      </c>
      <c r="B253" s="1267" t="s">
        <v>1884</v>
      </c>
      <c r="C253" s="1268">
        <v>0.15</v>
      </c>
      <c r="D253" s="1268">
        <v>0.15</v>
      </c>
      <c r="E253" s="1268">
        <v>0.15</v>
      </c>
      <c r="F253" s="1269">
        <v>0.1</v>
      </c>
    </row>
    <row r="254" ht="14.25" spans="1:6">
      <c r="A254" s="1263" t="s">
        <v>305</v>
      </c>
      <c r="B254" s="1267" t="s">
        <v>1894</v>
      </c>
      <c r="C254" s="1277"/>
      <c r="D254" s="1277"/>
      <c r="E254" s="1277"/>
      <c r="F254" s="1269">
        <v>0.15</v>
      </c>
    </row>
    <row r="255" ht="14.25" spans="1:6">
      <c r="A255" s="1263" t="s">
        <v>305</v>
      </c>
      <c r="B255" s="1267" t="s">
        <v>1904</v>
      </c>
      <c r="C255" s="1277"/>
      <c r="D255" s="1277"/>
      <c r="E255" s="1277"/>
      <c r="F255" s="1269">
        <v>0.143</v>
      </c>
    </row>
    <row r="256" ht="14.25" spans="1:6">
      <c r="A256" s="1263" t="s">
        <v>305</v>
      </c>
      <c r="B256" s="1267" t="s">
        <v>1914</v>
      </c>
      <c r="C256" s="1268">
        <v>0.146</v>
      </c>
      <c r="D256" s="1268">
        <v>0.147</v>
      </c>
      <c r="E256" s="1268">
        <v>0.15</v>
      </c>
      <c r="F256" s="1269">
        <v>0.132</v>
      </c>
    </row>
    <row r="257" ht="14.25" spans="1:6">
      <c r="A257" s="1263" t="s">
        <v>305</v>
      </c>
      <c r="B257" s="1267" t="s">
        <v>1924</v>
      </c>
      <c r="C257" s="1268">
        <v>0.15</v>
      </c>
      <c r="D257" s="1268">
        <v>0.15</v>
      </c>
      <c r="E257" s="1268">
        <v>0.15</v>
      </c>
      <c r="F257" s="1269">
        <v>0.139</v>
      </c>
    </row>
    <row r="258" ht="14.25" spans="1:6">
      <c r="A258" s="1263" t="s">
        <v>305</v>
      </c>
      <c r="B258" s="1267" t="s">
        <v>1934</v>
      </c>
      <c r="C258" s="1268">
        <v>0.15</v>
      </c>
      <c r="D258" s="1268">
        <v>0.15</v>
      </c>
      <c r="E258" s="1268">
        <v>0.15</v>
      </c>
      <c r="F258" s="1269">
        <v>0.13</v>
      </c>
    </row>
    <row r="259" ht="14.25" spans="1:6">
      <c r="A259" s="1263" t="s">
        <v>305</v>
      </c>
      <c r="B259" s="1267" t="s">
        <v>1944</v>
      </c>
      <c r="C259" s="1268">
        <v>0.148</v>
      </c>
      <c r="D259" s="1268">
        <v>0.149</v>
      </c>
      <c r="E259" s="1268">
        <v>0.15</v>
      </c>
      <c r="F259" s="1269">
        <v>0.137</v>
      </c>
    </row>
    <row r="260" ht="14.25" spans="1:6">
      <c r="A260" s="1263" t="s">
        <v>305</v>
      </c>
      <c r="B260" s="1267" t="s">
        <v>1954</v>
      </c>
      <c r="C260" s="1268">
        <v>0.15</v>
      </c>
      <c r="D260" s="1268">
        <v>0.15</v>
      </c>
      <c r="E260" s="1268">
        <v>0.15</v>
      </c>
      <c r="F260" s="1269">
        <v>0.142</v>
      </c>
    </row>
    <row r="261" ht="14.25" spans="1:6">
      <c r="A261" s="1263" t="s">
        <v>305</v>
      </c>
      <c r="B261" s="1267" t="s">
        <v>1964</v>
      </c>
      <c r="C261" s="1268">
        <v>0.15</v>
      </c>
      <c r="D261" s="1268">
        <v>0.15</v>
      </c>
      <c r="E261" s="1268">
        <v>0.149</v>
      </c>
      <c r="F261" s="1269">
        <v>0.148</v>
      </c>
    </row>
    <row r="262" ht="14.25" spans="1:6">
      <c r="A262" s="1263" t="s">
        <v>305</v>
      </c>
      <c r="B262" s="1267" t="s">
        <v>1974</v>
      </c>
      <c r="C262" s="1268">
        <v>0.15</v>
      </c>
      <c r="D262" s="1268">
        <v>0.15</v>
      </c>
      <c r="E262" s="1268">
        <v>0.15</v>
      </c>
      <c r="F262" s="1276"/>
    </row>
    <row r="263" ht="14.25" spans="1:6">
      <c r="A263" s="1263" t="s">
        <v>305</v>
      </c>
      <c r="B263" s="1267" t="s">
        <v>1984</v>
      </c>
      <c r="C263" s="1268">
        <v>0.149</v>
      </c>
      <c r="D263" s="1268">
        <v>0.149</v>
      </c>
      <c r="E263" s="1268">
        <v>0.15</v>
      </c>
      <c r="F263" s="1269">
        <v>0.13</v>
      </c>
    </row>
    <row r="264" ht="14.25" spans="1:6">
      <c r="A264" s="1263" t="s">
        <v>305</v>
      </c>
      <c r="B264" s="1267" t="s">
        <v>1993</v>
      </c>
      <c r="C264" s="1268">
        <v>0.148</v>
      </c>
      <c r="D264" s="1268">
        <v>0.147</v>
      </c>
      <c r="E264" s="1268">
        <v>0.15</v>
      </c>
      <c r="F264" s="1269">
        <v>0.078</v>
      </c>
    </row>
    <row r="265" ht="14.25" spans="1:6">
      <c r="A265" s="1263" t="s">
        <v>305</v>
      </c>
      <c r="B265" s="1267" t="s">
        <v>2001</v>
      </c>
      <c r="C265" s="1268">
        <v>0.15</v>
      </c>
      <c r="D265" s="1268">
        <v>0.15</v>
      </c>
      <c r="E265" s="1268">
        <v>0.15</v>
      </c>
      <c r="F265" s="1269">
        <v>0.074</v>
      </c>
    </row>
    <row r="266" ht="14.25" spans="1:6">
      <c r="A266" s="1263" t="s">
        <v>305</v>
      </c>
      <c r="B266" s="1267" t="s">
        <v>2009</v>
      </c>
      <c r="C266" s="1268">
        <v>0.147</v>
      </c>
      <c r="D266" s="1268">
        <v>0.147</v>
      </c>
      <c r="E266" s="1268">
        <v>0.15</v>
      </c>
      <c r="F266" s="1269">
        <v>0.143</v>
      </c>
    </row>
    <row r="267" ht="14.25" spans="1:6">
      <c r="A267" s="1263" t="s">
        <v>305</v>
      </c>
      <c r="B267" s="1267" t="s">
        <v>2016</v>
      </c>
      <c r="C267" s="1268">
        <v>0.142</v>
      </c>
      <c r="D267" s="1268">
        <v>0.143</v>
      </c>
      <c r="E267" s="1268">
        <v>0.15</v>
      </c>
      <c r="F267" s="1276"/>
    </row>
    <row r="268" ht="14.25" spans="1:6">
      <c r="A268" s="1263" t="s">
        <v>305</v>
      </c>
      <c r="B268" s="1267" t="s">
        <v>2023</v>
      </c>
      <c r="C268" s="1268">
        <v>0.15</v>
      </c>
      <c r="D268" s="1268">
        <v>0.15</v>
      </c>
      <c r="E268" s="1268">
        <v>0.15</v>
      </c>
      <c r="F268" s="1269">
        <v>0.13</v>
      </c>
    </row>
    <row r="269" ht="14.25" spans="1:6">
      <c r="A269" s="1263" t="s">
        <v>305</v>
      </c>
      <c r="B269" s="1267" t="s">
        <v>2030</v>
      </c>
      <c r="C269" s="1268">
        <v>0.15</v>
      </c>
      <c r="D269" s="1268">
        <v>0.15</v>
      </c>
      <c r="E269" s="1268">
        <v>0.15</v>
      </c>
      <c r="F269" s="1269">
        <v>0.143</v>
      </c>
    </row>
    <row r="270" ht="14.25" spans="1:6">
      <c r="A270" s="1263" t="s">
        <v>305</v>
      </c>
      <c r="B270" s="1267" t="s">
        <v>2037</v>
      </c>
      <c r="C270" s="1268">
        <v>0.145</v>
      </c>
      <c r="D270" s="1268">
        <v>0.145</v>
      </c>
      <c r="E270" s="1268">
        <v>0.15</v>
      </c>
      <c r="F270" s="1269">
        <v>0.147</v>
      </c>
    </row>
    <row r="271" ht="14.25" spans="1:6">
      <c r="A271" s="1263" t="s">
        <v>305</v>
      </c>
      <c r="B271" s="1267" t="s">
        <v>2044</v>
      </c>
      <c r="C271" s="1268">
        <v>0.15</v>
      </c>
      <c r="D271" s="1268">
        <v>0.15</v>
      </c>
      <c r="E271" s="1268">
        <v>0.15</v>
      </c>
      <c r="F271" s="1269">
        <v>0.138</v>
      </c>
    </row>
    <row r="272" ht="14.25" spans="1:6">
      <c r="A272" s="1263" t="s">
        <v>305</v>
      </c>
      <c r="B272" s="1267" t="s">
        <v>2049</v>
      </c>
      <c r="C272" s="1277"/>
      <c r="D272" s="1277"/>
      <c r="E272" s="1277"/>
      <c r="F272" s="1269">
        <v>0.14</v>
      </c>
    </row>
    <row r="273" ht="14.25" spans="1:6">
      <c r="A273" s="1263" t="s">
        <v>305</v>
      </c>
      <c r="B273" s="1267" t="s">
        <v>2054</v>
      </c>
      <c r="C273" s="1268">
        <v>0.142</v>
      </c>
      <c r="D273" s="1268">
        <v>0.143</v>
      </c>
      <c r="E273" s="1268">
        <v>0.15</v>
      </c>
      <c r="F273" s="1269">
        <v>0.1</v>
      </c>
    </row>
    <row r="274" ht="14.25" spans="1:6">
      <c r="A274" s="1263" t="s">
        <v>305</v>
      </c>
      <c r="B274" s="1267" t="s">
        <v>2059</v>
      </c>
      <c r="C274" s="1268">
        <v>0.148</v>
      </c>
      <c r="D274" s="1268">
        <v>0.148</v>
      </c>
      <c r="E274" s="1268">
        <v>0.15</v>
      </c>
      <c r="F274" s="1269">
        <v>0.067</v>
      </c>
    </row>
    <row r="275" ht="14.25" spans="1:6">
      <c r="A275" s="1263" t="s">
        <v>305</v>
      </c>
      <c r="B275" s="1267" t="s">
        <v>2064</v>
      </c>
      <c r="C275" s="1268">
        <v>0.15</v>
      </c>
      <c r="D275" s="1268">
        <v>0.15</v>
      </c>
      <c r="E275" s="1268">
        <v>0.15</v>
      </c>
      <c r="F275" s="1269">
        <v>0.15</v>
      </c>
    </row>
    <row r="276" ht="14.25" spans="1:6">
      <c r="A276" s="1263" t="s">
        <v>305</v>
      </c>
      <c r="B276" s="1267" t="s">
        <v>2069</v>
      </c>
      <c r="C276" s="1268">
        <v>0.145</v>
      </c>
      <c r="D276" s="1268">
        <v>0.143</v>
      </c>
      <c r="E276" s="1268">
        <v>0.15</v>
      </c>
      <c r="F276" s="1269">
        <v>0.059</v>
      </c>
    </row>
    <row r="277" ht="14.25" spans="1:6">
      <c r="A277" s="1263" t="s">
        <v>305</v>
      </c>
      <c r="B277" s="1267" t="s">
        <v>2074</v>
      </c>
      <c r="C277" s="1268">
        <v>0.15</v>
      </c>
      <c r="D277" s="1268">
        <v>0.15</v>
      </c>
      <c r="E277" s="1268">
        <v>0.15</v>
      </c>
      <c r="F277" s="1269">
        <v>0.121</v>
      </c>
    </row>
    <row r="278" ht="14.25" spans="1:6">
      <c r="A278" s="1263" t="s">
        <v>305</v>
      </c>
      <c r="B278" s="1267" t="s">
        <v>2079</v>
      </c>
      <c r="C278" s="1268">
        <v>0.15</v>
      </c>
      <c r="D278" s="1268">
        <v>0.15</v>
      </c>
      <c r="E278" s="1268">
        <v>0.15</v>
      </c>
      <c r="F278" s="1269">
        <v>0.138</v>
      </c>
    </row>
    <row r="279" ht="24.75" spans="1:6">
      <c r="A279" s="1263" t="s">
        <v>305</v>
      </c>
      <c r="B279" s="1267" t="s">
        <v>2083</v>
      </c>
      <c r="C279" s="1277"/>
      <c r="D279" s="1277"/>
      <c r="E279" s="1277"/>
      <c r="F279" s="1269">
        <v>0.05</v>
      </c>
    </row>
    <row r="280" ht="24.75" spans="1:6">
      <c r="A280" s="1263" t="s">
        <v>305</v>
      </c>
      <c r="B280" s="1267" t="s">
        <v>2087</v>
      </c>
      <c r="C280" s="1277"/>
      <c r="D280" s="1277"/>
      <c r="E280" s="1277"/>
      <c r="F280" s="1269">
        <v>0.05</v>
      </c>
    </row>
    <row r="281" ht="24.75" spans="1:6">
      <c r="A281" s="1263" t="s">
        <v>305</v>
      </c>
      <c r="B281" s="1267" t="s">
        <v>2091</v>
      </c>
      <c r="C281" s="1277"/>
      <c r="D281" s="1277"/>
      <c r="E281" s="1277"/>
      <c r="F281" s="1269">
        <v>0.05</v>
      </c>
    </row>
    <row r="282" ht="24.75" spans="1:6">
      <c r="A282" s="1263" t="s">
        <v>305</v>
      </c>
      <c r="B282" s="1267" t="s">
        <v>2095</v>
      </c>
      <c r="C282" s="1277"/>
      <c r="D282" s="1277"/>
      <c r="E282" s="1277"/>
      <c r="F282" s="1269">
        <v>0.05</v>
      </c>
    </row>
    <row r="283" ht="24.75" spans="1:6">
      <c r="A283" s="1263" t="s">
        <v>305</v>
      </c>
      <c r="B283" s="1267" t="s">
        <v>2099</v>
      </c>
      <c r="C283" s="1277"/>
      <c r="D283" s="1277"/>
      <c r="E283" s="1277"/>
      <c r="F283" s="1269">
        <v>0.05</v>
      </c>
    </row>
    <row r="284" ht="24.75" spans="1:6">
      <c r="A284" s="1263" t="s">
        <v>305</v>
      </c>
      <c r="B284" s="1267" t="s">
        <v>2102</v>
      </c>
      <c r="C284" s="1277"/>
      <c r="D284" s="1277"/>
      <c r="E284" s="1277"/>
      <c r="F284" s="1269">
        <v>0.05</v>
      </c>
    </row>
    <row r="285" ht="24.75" spans="1:6">
      <c r="A285" s="1263" t="s">
        <v>305</v>
      </c>
      <c r="B285" s="1267" t="s">
        <v>2105</v>
      </c>
      <c r="C285" s="1277"/>
      <c r="D285" s="1277"/>
      <c r="E285" s="1277"/>
      <c r="F285" s="1269">
        <v>0.05</v>
      </c>
    </row>
    <row r="286" ht="24.75" spans="1:6">
      <c r="A286" s="1263" t="s">
        <v>305</v>
      </c>
      <c r="B286" s="1267" t="s">
        <v>2108</v>
      </c>
      <c r="C286" s="1277"/>
      <c r="D286" s="1277"/>
      <c r="E286" s="1277"/>
      <c r="F286" s="1269">
        <v>0.05</v>
      </c>
    </row>
    <row r="287" ht="24.75" spans="1:6">
      <c r="A287" s="1263" t="s">
        <v>305</v>
      </c>
      <c r="B287" s="1267" t="s">
        <v>2111</v>
      </c>
      <c r="C287" s="1277"/>
      <c r="D287" s="1277"/>
      <c r="E287" s="1277"/>
      <c r="F287" s="1269">
        <v>0.05</v>
      </c>
    </row>
    <row r="288" ht="24.75" spans="1:6">
      <c r="A288" s="1263" t="s">
        <v>305</v>
      </c>
      <c r="B288" s="1267" t="s">
        <v>2114</v>
      </c>
      <c r="C288" s="1277"/>
      <c r="D288" s="1277"/>
      <c r="E288" s="1277"/>
      <c r="F288" s="1269">
        <v>0.05</v>
      </c>
    </row>
    <row r="289" ht="24.75" spans="1:6">
      <c r="A289" s="1271" t="s">
        <v>305</v>
      </c>
      <c r="B289" s="1278" t="s">
        <v>2117</v>
      </c>
      <c r="C289" s="1274"/>
      <c r="D289" s="1274"/>
      <c r="E289" s="1274"/>
      <c r="F289" s="1279">
        <v>0.05</v>
      </c>
    </row>
    <row r="290" ht="14.25" spans="1:6">
      <c r="A290" s="1263" t="s">
        <v>308</v>
      </c>
      <c r="B290" s="1264" t="s">
        <v>1793</v>
      </c>
      <c r="C290" s="1265">
        <v>0.15</v>
      </c>
      <c r="D290" s="1265">
        <v>0.15</v>
      </c>
      <c r="E290" s="1265">
        <v>0.15</v>
      </c>
      <c r="F290" s="1287"/>
    </row>
    <row r="291" ht="14.25" spans="1:6">
      <c r="A291" s="1263" t="s">
        <v>308</v>
      </c>
      <c r="B291" s="1267" t="s">
        <v>1805</v>
      </c>
      <c r="C291" s="1268">
        <v>0.15</v>
      </c>
      <c r="D291" s="1268">
        <v>0.15</v>
      </c>
      <c r="E291" s="1268">
        <v>0.15</v>
      </c>
      <c r="F291" s="1276"/>
    </row>
    <row r="292" ht="14.25" spans="1:6">
      <c r="A292" s="1263" t="s">
        <v>308</v>
      </c>
      <c r="B292" s="1267" t="s">
        <v>1818</v>
      </c>
      <c r="C292" s="1268">
        <v>0.15</v>
      </c>
      <c r="D292" s="1268">
        <v>0.15</v>
      </c>
      <c r="E292" s="1268">
        <v>0.15</v>
      </c>
      <c r="F292" s="1269">
        <v>0.147</v>
      </c>
    </row>
    <row r="293" ht="14.25" spans="1:6">
      <c r="A293" s="1263" t="s">
        <v>308</v>
      </c>
      <c r="B293" s="1267" t="s">
        <v>2124</v>
      </c>
      <c r="C293" s="1277"/>
      <c r="D293" s="1277"/>
      <c r="E293" s="1277"/>
      <c r="F293" s="1269">
        <v>0.1</v>
      </c>
    </row>
    <row r="294" ht="14.25" spans="1:6">
      <c r="A294" s="1263" t="s">
        <v>308</v>
      </c>
      <c r="B294" s="1267" t="s">
        <v>1830</v>
      </c>
      <c r="C294" s="1268">
        <v>0.15</v>
      </c>
      <c r="D294" s="1268">
        <v>0.15</v>
      </c>
      <c r="E294" s="1268">
        <v>0.15</v>
      </c>
      <c r="F294" s="1269">
        <v>0.15</v>
      </c>
    </row>
    <row r="295" ht="14.25" spans="1:6">
      <c r="A295" s="1263" t="s">
        <v>308</v>
      </c>
      <c r="B295" s="1267" t="s">
        <v>1842</v>
      </c>
      <c r="C295" s="1268">
        <v>0.15</v>
      </c>
      <c r="D295" s="1268">
        <v>0.15</v>
      </c>
      <c r="E295" s="1268">
        <v>0.15</v>
      </c>
      <c r="F295" s="1269">
        <v>0.15</v>
      </c>
    </row>
    <row r="296" ht="14.25" spans="1:6">
      <c r="A296" s="1263" t="s">
        <v>308</v>
      </c>
      <c r="B296" s="1267" t="s">
        <v>1853</v>
      </c>
      <c r="C296" s="1268">
        <v>0.15</v>
      </c>
      <c r="D296" s="1268">
        <v>0.15</v>
      </c>
      <c r="E296" s="1268">
        <v>0.15</v>
      </c>
      <c r="F296" s="1269">
        <v>0.15</v>
      </c>
    </row>
    <row r="297" ht="14.25" spans="1:6">
      <c r="A297" s="1263" t="s">
        <v>308</v>
      </c>
      <c r="B297" s="1267" t="s">
        <v>1864</v>
      </c>
      <c r="C297" s="1268">
        <v>0.148</v>
      </c>
      <c r="D297" s="1268">
        <v>0.149</v>
      </c>
      <c r="E297" s="1268">
        <v>0.15</v>
      </c>
      <c r="F297" s="1269">
        <v>0.137</v>
      </c>
    </row>
    <row r="298" ht="14.25" spans="1:6">
      <c r="A298" s="1263" t="s">
        <v>308</v>
      </c>
      <c r="B298" s="1267" t="s">
        <v>1875</v>
      </c>
      <c r="C298" s="1268">
        <v>0.134</v>
      </c>
      <c r="D298" s="1268">
        <v>0.134</v>
      </c>
      <c r="E298" s="1268">
        <v>0.145</v>
      </c>
      <c r="F298" s="1269">
        <v>0.148</v>
      </c>
    </row>
    <row r="299" ht="14.25" spans="1:6">
      <c r="A299" s="1263" t="s">
        <v>308</v>
      </c>
      <c r="B299" s="1267" t="s">
        <v>1885</v>
      </c>
      <c r="C299" s="1268">
        <v>0.15</v>
      </c>
      <c r="D299" s="1268">
        <v>0.15</v>
      </c>
      <c r="E299" s="1268">
        <v>0.15</v>
      </c>
      <c r="F299" s="1276"/>
    </row>
    <row r="300" ht="14.25" spans="1:6">
      <c r="A300" s="1263" t="s">
        <v>308</v>
      </c>
      <c r="B300" s="1267" t="s">
        <v>1895</v>
      </c>
      <c r="C300" s="1268">
        <v>0.15</v>
      </c>
      <c r="D300" s="1268">
        <v>0.15</v>
      </c>
      <c r="E300" s="1268">
        <v>0.15</v>
      </c>
      <c r="F300" s="1269">
        <v>0.15</v>
      </c>
    </row>
    <row r="301" ht="14.25" spans="1:6">
      <c r="A301" s="1263" t="s">
        <v>308</v>
      </c>
      <c r="B301" s="1267" t="s">
        <v>1905</v>
      </c>
      <c r="C301" s="1268">
        <v>0.15</v>
      </c>
      <c r="D301" s="1268">
        <v>0.15</v>
      </c>
      <c r="E301" s="1268">
        <v>0.15</v>
      </c>
      <c r="F301" s="1276"/>
    </row>
    <row r="302" ht="14.25" spans="1:6">
      <c r="A302" s="1263" t="s">
        <v>308</v>
      </c>
      <c r="B302" s="1267" t="s">
        <v>1915</v>
      </c>
      <c r="C302" s="1268">
        <v>0.15</v>
      </c>
      <c r="D302" s="1268">
        <v>0.15</v>
      </c>
      <c r="E302" s="1268">
        <v>0.15</v>
      </c>
      <c r="F302" s="1269">
        <v>0.15</v>
      </c>
    </row>
    <row r="303" ht="14.25" spans="1:6">
      <c r="A303" s="1263" t="s">
        <v>308</v>
      </c>
      <c r="B303" s="1267" t="s">
        <v>1925</v>
      </c>
      <c r="C303" s="1268">
        <v>0.15</v>
      </c>
      <c r="D303" s="1268">
        <v>0.15</v>
      </c>
      <c r="E303" s="1268">
        <v>0.15</v>
      </c>
      <c r="F303" s="1269">
        <v>0.15</v>
      </c>
    </row>
    <row r="304" ht="14.25" spans="1:6">
      <c r="A304" s="1263" t="s">
        <v>308</v>
      </c>
      <c r="B304" s="1267" t="s">
        <v>1935</v>
      </c>
      <c r="C304" s="1268">
        <v>0.15</v>
      </c>
      <c r="D304" s="1268">
        <v>0.15</v>
      </c>
      <c r="E304" s="1268">
        <v>0.15</v>
      </c>
      <c r="F304" s="1276"/>
    </row>
    <row r="305" ht="14.25" spans="1:6">
      <c r="A305" s="1263" t="s">
        <v>308</v>
      </c>
      <c r="B305" s="1267" t="s">
        <v>1945</v>
      </c>
      <c r="C305" s="1268">
        <v>0.15</v>
      </c>
      <c r="D305" s="1268">
        <v>0.15</v>
      </c>
      <c r="E305" s="1268">
        <v>0.15</v>
      </c>
      <c r="F305" s="1269">
        <v>0.14</v>
      </c>
    </row>
    <row r="306" ht="14.25" spans="1:6">
      <c r="A306" s="1263" t="s">
        <v>308</v>
      </c>
      <c r="B306" s="1267" t="s">
        <v>1955</v>
      </c>
      <c r="C306" s="1268">
        <v>0.15</v>
      </c>
      <c r="D306" s="1268">
        <v>0.15</v>
      </c>
      <c r="E306" s="1268">
        <v>0.15</v>
      </c>
      <c r="F306" s="1276"/>
    </row>
    <row r="307" ht="14.25" spans="1:6">
      <c r="A307" s="1263" t="s">
        <v>308</v>
      </c>
      <c r="B307" s="1267" t="s">
        <v>1965</v>
      </c>
      <c r="C307" s="1268">
        <v>0.15</v>
      </c>
      <c r="D307" s="1268">
        <v>0.15</v>
      </c>
      <c r="E307" s="1268">
        <v>0.15</v>
      </c>
      <c r="F307" s="1269">
        <v>0.143</v>
      </c>
    </row>
    <row r="308" ht="14.25" spans="1:6">
      <c r="A308" s="1263" t="s">
        <v>308</v>
      </c>
      <c r="B308" s="1267" t="s">
        <v>1975</v>
      </c>
      <c r="C308" s="1268">
        <v>0.15</v>
      </c>
      <c r="D308" s="1268">
        <v>0.15</v>
      </c>
      <c r="E308" s="1268">
        <v>0.15</v>
      </c>
      <c r="F308" s="1269">
        <v>0.15</v>
      </c>
    </row>
    <row r="309" ht="14.25" spans="1:6">
      <c r="A309" s="1263" t="s">
        <v>308</v>
      </c>
      <c r="B309" s="1267" t="s">
        <v>1985</v>
      </c>
      <c r="C309" s="1268">
        <v>0.15</v>
      </c>
      <c r="D309" s="1268">
        <v>0.15</v>
      </c>
      <c r="E309" s="1268">
        <v>0.15</v>
      </c>
      <c r="F309" s="1276"/>
    </row>
    <row r="310" ht="14.25" spans="1:6">
      <c r="A310" s="1263" t="s">
        <v>308</v>
      </c>
      <c r="B310" s="1267" t="s">
        <v>1994</v>
      </c>
      <c r="C310" s="1268">
        <v>0.15</v>
      </c>
      <c r="D310" s="1268">
        <v>0.15</v>
      </c>
      <c r="E310" s="1268">
        <v>0.15</v>
      </c>
      <c r="F310" s="1269">
        <v>0.137</v>
      </c>
    </row>
    <row r="311" ht="14.25" spans="1:6">
      <c r="A311" s="1263" t="s">
        <v>308</v>
      </c>
      <c r="B311" s="1267" t="s">
        <v>2002</v>
      </c>
      <c r="C311" s="1268">
        <v>0.15</v>
      </c>
      <c r="D311" s="1268">
        <v>0.15</v>
      </c>
      <c r="E311" s="1268">
        <v>0.15</v>
      </c>
      <c r="F311" s="1269">
        <v>0.15</v>
      </c>
    </row>
    <row r="312" ht="14.25" spans="1:6">
      <c r="A312" s="1263" t="s">
        <v>308</v>
      </c>
      <c r="B312" s="1267" t="s">
        <v>2010</v>
      </c>
      <c r="C312" s="1268">
        <v>0.15</v>
      </c>
      <c r="D312" s="1268">
        <v>0.15</v>
      </c>
      <c r="E312" s="1268">
        <v>0.15</v>
      </c>
      <c r="F312" s="1269">
        <v>0.1</v>
      </c>
    </row>
    <row r="313" ht="14.25" spans="1:6">
      <c r="A313" s="1263" t="s">
        <v>308</v>
      </c>
      <c r="B313" s="1267" t="s">
        <v>2017</v>
      </c>
      <c r="C313" s="1268">
        <v>0.15</v>
      </c>
      <c r="D313" s="1268">
        <v>0.15</v>
      </c>
      <c r="E313" s="1268">
        <v>0.15</v>
      </c>
      <c r="F313" s="1269">
        <v>0.15</v>
      </c>
    </row>
    <row r="314" ht="24.75" spans="1:6">
      <c r="A314" s="1263" t="s">
        <v>308</v>
      </c>
      <c r="B314" s="1267" t="s">
        <v>2024</v>
      </c>
      <c r="C314" s="1277"/>
      <c r="D314" s="1277"/>
      <c r="E314" s="1277"/>
      <c r="F314" s="1269">
        <v>0.05</v>
      </c>
    </row>
    <row r="315" ht="24.75" spans="1:6">
      <c r="A315" s="1263" t="s">
        <v>308</v>
      </c>
      <c r="B315" s="1267" t="s">
        <v>2031</v>
      </c>
      <c r="C315" s="1277"/>
      <c r="D315" s="1277"/>
      <c r="E315" s="1277"/>
      <c r="F315" s="1269">
        <v>0.05</v>
      </c>
    </row>
    <row r="316" ht="24.75" spans="1:6">
      <c r="A316" s="1271" t="s">
        <v>308</v>
      </c>
      <c r="B316" s="1278" t="s">
        <v>2038</v>
      </c>
      <c r="C316" s="1274"/>
      <c r="D316" s="1274"/>
      <c r="E316" s="1274"/>
      <c r="F316" s="1279">
        <v>0.05</v>
      </c>
    </row>
    <row r="317" ht="14.25" spans="1:6">
      <c r="A317" s="1263" t="s">
        <v>311</v>
      </c>
      <c r="B317" s="1264" t="s">
        <v>1794</v>
      </c>
      <c r="C317" s="1265">
        <v>0.15</v>
      </c>
      <c r="D317" s="1265">
        <v>0.15</v>
      </c>
      <c r="E317" s="1265">
        <v>0.15</v>
      </c>
      <c r="F317" s="1266">
        <v>0.15</v>
      </c>
    </row>
    <row r="318" ht="14.25" spans="1:6">
      <c r="A318" s="1263" t="s">
        <v>311</v>
      </c>
      <c r="B318" s="1267" t="s">
        <v>1806</v>
      </c>
      <c r="C318" s="1268">
        <v>0.107</v>
      </c>
      <c r="D318" s="1268">
        <v>0.11</v>
      </c>
      <c r="E318" s="1268">
        <v>0.112</v>
      </c>
      <c r="F318" s="1276"/>
    </row>
    <row r="319" ht="14.25" spans="1:6">
      <c r="A319" s="1263" t="s">
        <v>311</v>
      </c>
      <c r="B319" s="1267" t="s">
        <v>1819</v>
      </c>
      <c r="C319" s="1268">
        <v>0.15</v>
      </c>
      <c r="D319" s="1268">
        <v>0.15</v>
      </c>
      <c r="E319" s="1268">
        <v>0.15</v>
      </c>
      <c r="F319" s="1269">
        <v>0.15</v>
      </c>
    </row>
    <row r="320" ht="14.25" spans="1:6">
      <c r="A320" s="1263" t="s">
        <v>311</v>
      </c>
      <c r="B320" s="1267" t="s">
        <v>1831</v>
      </c>
      <c r="C320" s="1268">
        <v>0.15</v>
      </c>
      <c r="D320" s="1268">
        <v>0.15</v>
      </c>
      <c r="E320" s="1268">
        <v>0.15</v>
      </c>
      <c r="F320" s="1276"/>
    </row>
    <row r="321" ht="14.25" spans="1:6">
      <c r="A321" s="1263" t="s">
        <v>311</v>
      </c>
      <c r="B321" s="1267" t="s">
        <v>1843</v>
      </c>
      <c r="C321" s="1268">
        <v>0.15</v>
      </c>
      <c r="D321" s="1268">
        <v>0.15</v>
      </c>
      <c r="E321" s="1268">
        <v>0.15</v>
      </c>
      <c r="F321" s="1276"/>
    </row>
    <row r="322" ht="14.25" spans="1:6">
      <c r="A322" s="1263" t="s">
        <v>311</v>
      </c>
      <c r="B322" s="1267" t="s">
        <v>1854</v>
      </c>
      <c r="C322" s="1268">
        <v>0.15</v>
      </c>
      <c r="D322" s="1268">
        <v>0.15</v>
      </c>
      <c r="E322" s="1268">
        <v>0.15</v>
      </c>
      <c r="F322" s="1269">
        <v>0.15</v>
      </c>
    </row>
    <row r="323" ht="14.25" spans="1:6">
      <c r="A323" s="1263" t="s">
        <v>311</v>
      </c>
      <c r="B323" s="1267" t="s">
        <v>1865</v>
      </c>
      <c r="C323" s="1268">
        <v>0.15</v>
      </c>
      <c r="D323" s="1268">
        <v>0.15</v>
      </c>
      <c r="E323" s="1268">
        <v>0.15</v>
      </c>
      <c r="F323" s="1276"/>
    </row>
    <row r="324" ht="14.25" spans="1:6">
      <c r="A324" s="1263" t="s">
        <v>311</v>
      </c>
      <c r="B324" s="1267" t="s">
        <v>1876</v>
      </c>
      <c r="C324" s="1268">
        <v>0.15</v>
      </c>
      <c r="D324" s="1268">
        <v>0.15</v>
      </c>
      <c r="E324" s="1268">
        <v>0.15</v>
      </c>
      <c r="F324" s="1276"/>
    </row>
    <row r="325" ht="14.25" spans="1:6">
      <c r="A325" s="1263" t="s">
        <v>311</v>
      </c>
      <c r="B325" s="1267" t="s">
        <v>1886</v>
      </c>
      <c r="C325" s="1268">
        <v>0.15</v>
      </c>
      <c r="D325" s="1268">
        <v>0.15</v>
      </c>
      <c r="E325" s="1268">
        <v>0.15</v>
      </c>
      <c r="F325" s="1269">
        <v>0.147</v>
      </c>
    </row>
    <row r="326" ht="14.25" spans="1:6">
      <c r="A326" s="1263" t="s">
        <v>311</v>
      </c>
      <c r="B326" s="1267" t="s">
        <v>1896</v>
      </c>
      <c r="C326" s="1268">
        <v>0.15</v>
      </c>
      <c r="D326" s="1268">
        <v>0.15</v>
      </c>
      <c r="E326" s="1268">
        <v>0.15</v>
      </c>
      <c r="F326" s="1276"/>
    </row>
    <row r="327" ht="14.25" spans="1:6">
      <c r="A327" s="1263" t="s">
        <v>311</v>
      </c>
      <c r="B327" s="1267" t="s">
        <v>1906</v>
      </c>
      <c r="C327" s="1268">
        <v>0.15</v>
      </c>
      <c r="D327" s="1268">
        <v>0.15</v>
      </c>
      <c r="E327" s="1268">
        <v>0.15</v>
      </c>
      <c r="F327" s="1269">
        <v>0.15</v>
      </c>
    </row>
    <row r="328" ht="14.25" spans="1:6">
      <c r="A328" s="1263" t="s">
        <v>311</v>
      </c>
      <c r="B328" s="1267" t="s">
        <v>1916</v>
      </c>
      <c r="C328" s="1268">
        <v>0.15</v>
      </c>
      <c r="D328" s="1268">
        <v>0.15</v>
      </c>
      <c r="E328" s="1268">
        <v>0.15</v>
      </c>
      <c r="F328" s="1269">
        <v>0.141</v>
      </c>
    </row>
    <row r="329" ht="14.25" spans="1:6">
      <c r="A329" s="1263" t="s">
        <v>311</v>
      </c>
      <c r="B329" s="1267" t="s">
        <v>1926</v>
      </c>
      <c r="C329" s="1268">
        <v>0.15</v>
      </c>
      <c r="D329" s="1268">
        <v>0.15</v>
      </c>
      <c r="E329" s="1268">
        <v>0.15</v>
      </c>
      <c r="F329" s="1269">
        <v>0.15</v>
      </c>
    </row>
    <row r="330" ht="14.25" spans="1:6">
      <c r="A330" s="1263" t="s">
        <v>311</v>
      </c>
      <c r="B330" s="1267" t="s">
        <v>1936</v>
      </c>
      <c r="C330" s="1268">
        <v>0.15</v>
      </c>
      <c r="D330" s="1268">
        <v>0.15</v>
      </c>
      <c r="E330" s="1268">
        <v>0.15</v>
      </c>
      <c r="F330" s="1276"/>
    </row>
    <row r="331" ht="14.25" spans="1:6">
      <c r="A331" s="1263" t="s">
        <v>311</v>
      </c>
      <c r="B331" s="1267" t="s">
        <v>1946</v>
      </c>
      <c r="C331" s="1268">
        <v>0.15</v>
      </c>
      <c r="D331" s="1268">
        <v>0.15</v>
      </c>
      <c r="E331" s="1268">
        <v>0.15</v>
      </c>
      <c r="F331" s="1269">
        <v>0.15</v>
      </c>
    </row>
    <row r="332" ht="14.25" spans="1:6">
      <c r="A332" s="1263" t="s">
        <v>311</v>
      </c>
      <c r="B332" s="1267" t="s">
        <v>1956</v>
      </c>
      <c r="C332" s="1268">
        <v>0.15</v>
      </c>
      <c r="D332" s="1268">
        <v>0.15</v>
      </c>
      <c r="E332" s="1268">
        <v>0.15</v>
      </c>
      <c r="F332" s="1269">
        <v>0.15</v>
      </c>
    </row>
    <row r="333" ht="14.25" spans="1:6">
      <c r="A333" s="1263" t="s">
        <v>311</v>
      </c>
      <c r="B333" s="1267" t="s">
        <v>1966</v>
      </c>
      <c r="C333" s="1268">
        <v>0.15</v>
      </c>
      <c r="D333" s="1268">
        <v>0.15</v>
      </c>
      <c r="E333" s="1268">
        <v>0.15</v>
      </c>
      <c r="F333" s="1269">
        <v>0.141</v>
      </c>
    </row>
    <row r="334" ht="14.25" spans="1:6">
      <c r="A334" s="1263" t="s">
        <v>311</v>
      </c>
      <c r="B334" s="1267" t="s">
        <v>1976</v>
      </c>
      <c r="C334" s="1268">
        <v>0.15</v>
      </c>
      <c r="D334" s="1268">
        <v>0.15</v>
      </c>
      <c r="E334" s="1268">
        <v>0.15</v>
      </c>
      <c r="F334" s="1269">
        <v>0.15</v>
      </c>
    </row>
    <row r="335" ht="14.25" spans="1:6">
      <c r="A335" s="1263" t="s">
        <v>311</v>
      </c>
      <c r="B335" s="1267" t="s">
        <v>1986</v>
      </c>
      <c r="C335" s="1268">
        <v>0.15</v>
      </c>
      <c r="D335" s="1268">
        <v>0.15</v>
      </c>
      <c r="E335" s="1268">
        <v>0.15</v>
      </c>
      <c r="F335" s="1276"/>
    </row>
    <row r="336" ht="14.25" spans="1:6">
      <c r="A336" s="1263" t="s">
        <v>311</v>
      </c>
      <c r="B336" s="1267" t="s">
        <v>1995</v>
      </c>
      <c r="C336" s="1268">
        <v>0.15</v>
      </c>
      <c r="D336" s="1268">
        <v>0.15</v>
      </c>
      <c r="E336" s="1268">
        <v>0.15</v>
      </c>
      <c r="F336" s="1269">
        <v>0.118</v>
      </c>
    </row>
    <row r="337" ht="14.25" spans="1:6">
      <c r="A337" s="1271" t="s">
        <v>311</v>
      </c>
      <c r="B337" s="1278" t="s">
        <v>2003</v>
      </c>
      <c r="C337" s="1274"/>
      <c r="D337" s="1274"/>
      <c r="E337" s="1274"/>
      <c r="F337" s="1279">
        <v>0.143</v>
      </c>
    </row>
    <row r="338" ht="14.25" spans="1:6">
      <c r="A338" s="1263" t="s">
        <v>314</v>
      </c>
      <c r="B338" s="1264" t="s">
        <v>1795</v>
      </c>
      <c r="C338" s="1265">
        <v>0.15</v>
      </c>
      <c r="D338" s="1265">
        <v>0.15</v>
      </c>
      <c r="E338" s="1265">
        <v>0.15</v>
      </c>
      <c r="F338" s="1287"/>
    </row>
    <row r="339" ht="14.25" spans="1:6">
      <c r="A339" s="1263" t="s">
        <v>314</v>
      </c>
      <c r="B339" s="1267" t="s">
        <v>1807</v>
      </c>
      <c r="C339" s="1268">
        <v>0.15</v>
      </c>
      <c r="D339" s="1268">
        <v>0.15</v>
      </c>
      <c r="E339" s="1268">
        <v>0.15</v>
      </c>
      <c r="F339" s="1276"/>
    </row>
    <row r="340" ht="14.25" spans="1:6">
      <c r="A340" s="1263" t="s">
        <v>314</v>
      </c>
      <c r="B340" s="1267" t="s">
        <v>1820</v>
      </c>
      <c r="C340" s="1268">
        <v>0.15</v>
      </c>
      <c r="D340" s="1268">
        <v>0.15</v>
      </c>
      <c r="E340" s="1268">
        <v>0.15</v>
      </c>
      <c r="F340" s="1276"/>
    </row>
    <row r="341" ht="14.25" spans="1:6">
      <c r="A341" s="1263" t="s">
        <v>314</v>
      </c>
      <c r="B341" s="1267" t="s">
        <v>1832</v>
      </c>
      <c r="C341" s="1268">
        <v>0.15</v>
      </c>
      <c r="D341" s="1268">
        <v>0.15</v>
      </c>
      <c r="E341" s="1268">
        <v>0.15</v>
      </c>
      <c r="F341" s="1269">
        <v>0.15</v>
      </c>
    </row>
    <row r="342" ht="14.25" spans="1:6">
      <c r="A342" s="1263" t="s">
        <v>314</v>
      </c>
      <c r="B342" s="1267" t="s">
        <v>1844</v>
      </c>
      <c r="C342" s="1268">
        <v>0.15</v>
      </c>
      <c r="D342" s="1268">
        <v>0.15</v>
      </c>
      <c r="E342" s="1268">
        <v>0.15</v>
      </c>
      <c r="F342" s="1269">
        <v>0.15</v>
      </c>
    </row>
    <row r="343" ht="14.25" spans="1:6">
      <c r="A343" s="1263" t="s">
        <v>314</v>
      </c>
      <c r="B343" s="1267" t="s">
        <v>1855</v>
      </c>
      <c r="C343" s="1268">
        <v>0.15</v>
      </c>
      <c r="D343" s="1268">
        <v>0.15</v>
      </c>
      <c r="E343" s="1268">
        <v>0.15</v>
      </c>
      <c r="F343" s="1269">
        <v>0.15</v>
      </c>
    </row>
    <row r="344" ht="14.25" spans="1:6">
      <c r="A344" s="1271" t="s">
        <v>314</v>
      </c>
      <c r="B344" s="1278" t="s">
        <v>1866</v>
      </c>
      <c r="C344" s="1273">
        <v>0.15</v>
      </c>
      <c r="D344" s="1273">
        <v>0.15</v>
      </c>
      <c r="E344" s="1273">
        <v>0.15</v>
      </c>
      <c r="F344" s="1279">
        <v>0.15</v>
      </c>
    </row>
  </sheetData>
  <sheetProtection password="C66D" sheet="1" objects="1" scenarios="1"/>
  <mergeCells count="1">
    <mergeCell ref="A1:B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topLeftCell="W1" workbookViewId="0">
      <selection activeCell="Y6" sqref="Y6"/>
    </sheetView>
  </sheetViews>
  <sheetFormatPr defaultColWidth="9" defaultRowHeight="12.75"/>
  <cols>
    <col min="1" max="1" width="9" style="1122"/>
    <col min="2" max="6" width="9" style="1122" customWidth="1"/>
    <col min="7" max="7" width="9" style="1123" customWidth="1"/>
    <col min="8" max="12" width="9" style="1122" customWidth="1"/>
    <col min="13" max="13" width="2.25" style="1122" customWidth="1"/>
    <col min="14" max="14" width="9" style="1123" customWidth="1"/>
    <col min="15" max="17" width="9" style="1122" customWidth="1"/>
    <col min="18" max="18" width="2.375" style="1122" customWidth="1"/>
    <col min="19" max="19" width="7.125" style="1123" customWidth="1"/>
    <col min="20" max="22" width="7.125" style="1122" customWidth="1"/>
    <col min="23" max="23" width="24" style="1122" customWidth="1"/>
    <col min="24" max="25" width="9" style="1122"/>
    <col min="26" max="27" width="11.625" style="1122" customWidth="1"/>
    <col min="28" max="28" width="9" style="1122"/>
    <col min="29" max="29" width="2" style="1122" customWidth="1"/>
    <col min="30" max="16384" width="9" style="1122"/>
  </cols>
  <sheetData>
    <row r="1" s="1113" customFormat="1" spans="2:30">
      <c r="B1" s="1124" t="s">
        <v>2131</v>
      </c>
      <c r="C1" s="1124"/>
      <c r="D1" s="1124"/>
      <c r="E1" s="1124"/>
      <c r="F1" s="1124"/>
      <c r="G1" s="1113" t="s">
        <v>2132</v>
      </c>
      <c r="N1" s="1113" t="s">
        <v>2133</v>
      </c>
      <c r="S1" s="1113" t="s">
        <v>2134</v>
      </c>
      <c r="X1" s="1205" t="s">
        <v>2135</v>
      </c>
      <c r="AD1" s="1205" t="s">
        <v>2136</v>
      </c>
    </row>
    <row r="2" s="1114" customFormat="1" ht="14.25" spans="2:34">
      <c r="B2" s="1125" t="s">
        <v>916</v>
      </c>
      <c r="C2" s="1125" t="s">
        <v>2137</v>
      </c>
      <c r="D2" s="1126" t="s">
        <v>377</v>
      </c>
      <c r="E2" s="1126" t="s">
        <v>375</v>
      </c>
      <c r="F2" s="1125" t="s">
        <v>2138</v>
      </c>
      <c r="G2" s="1127"/>
      <c r="I2" s="1125" t="s">
        <v>916</v>
      </c>
      <c r="J2" s="1126" t="s">
        <v>2139</v>
      </c>
      <c r="K2" s="1126" t="s">
        <v>375</v>
      </c>
      <c r="L2" s="1125" t="s">
        <v>2138</v>
      </c>
      <c r="N2" s="1125" t="s">
        <v>916</v>
      </c>
      <c r="O2" s="1126" t="s">
        <v>2139</v>
      </c>
      <c r="P2" s="1126" t="s">
        <v>375</v>
      </c>
      <c r="Q2" s="1125" t="s">
        <v>2138</v>
      </c>
      <c r="S2" s="1125" t="s">
        <v>916</v>
      </c>
      <c r="T2" s="1126" t="s">
        <v>2139</v>
      </c>
      <c r="U2" s="1126" t="s">
        <v>375</v>
      </c>
      <c r="V2" s="1125" t="s">
        <v>2138</v>
      </c>
      <c r="X2" s="1125" t="s">
        <v>916</v>
      </c>
      <c r="Y2" s="1125" t="s">
        <v>2137</v>
      </c>
      <c r="Z2" s="1126" t="s">
        <v>377</v>
      </c>
      <c r="AA2" s="1126" t="s">
        <v>375</v>
      </c>
      <c r="AB2" s="1125" t="s">
        <v>2138</v>
      </c>
      <c r="AD2" s="1125" t="s">
        <v>916</v>
      </c>
      <c r="AE2" s="1125" t="s">
        <v>2137</v>
      </c>
      <c r="AF2" s="1126" t="s">
        <v>377</v>
      </c>
      <c r="AG2" s="1126" t="s">
        <v>375</v>
      </c>
      <c r="AH2" s="1125" t="s">
        <v>2138</v>
      </c>
    </row>
    <row r="3" s="1115" customFormat="1" ht="14.25" spans="1:34">
      <c r="A3" s="1128" t="s">
        <v>2140</v>
      </c>
      <c r="B3" s="1129"/>
      <c r="C3" s="1129"/>
      <c r="D3" s="1130"/>
      <c r="E3" s="1130"/>
      <c r="F3" s="1129"/>
      <c r="G3" s="1131"/>
      <c r="H3" s="1132"/>
      <c r="I3" s="1174">
        <f>ROUND(AVERAGE($I4:$I36),2)</f>
        <v>1.66</v>
      </c>
      <c r="J3" s="1174">
        <f>ROUND(AVERAGE($J4:$J36),2)</f>
        <v>1.05</v>
      </c>
      <c r="K3" s="1174">
        <f>ROUND(AVERAGE($K4:$K36),2)</f>
        <v>1.83</v>
      </c>
      <c r="L3" s="1174">
        <f>ROUND(AVERAGE($L4:$L36),2)</f>
        <v>1.22</v>
      </c>
      <c r="N3" s="1131"/>
      <c r="S3" s="1131"/>
      <c r="W3" s="1206"/>
      <c r="X3" s="1207">
        <f>ROUND(SUMPRODUCT(PRODUCT(1+N3:N$35)),4)</f>
        <v>1.6416</v>
      </c>
      <c r="Y3" s="1207">
        <f>ROUND(SUMPRODUCT(PRODUCT(1+O3:O$35)),4)</f>
        <v>1.3644</v>
      </c>
      <c r="Z3" s="1207">
        <f t="shared" ref="Z3" si="0">Y3</f>
        <v>1.3644</v>
      </c>
      <c r="AA3" s="1207">
        <f>ROUND(SUMPRODUCT(PRODUCT(1+P3:P$35)),4)</f>
        <v>1.7232</v>
      </c>
      <c r="AB3" s="1207">
        <f>ROUND(SUMPRODUCT(PRODUCT(1+Q3:Q$35)),4)</f>
        <v>1.4529</v>
      </c>
      <c r="AD3" s="1224">
        <f>ROUND(AVERAGE(I3:I$36)/100,4)</f>
        <v>0.0166</v>
      </c>
      <c r="AE3" s="1224">
        <f>ROUND(AVERAGE(J3:J$36)/100,4)</f>
        <v>0.0105</v>
      </c>
      <c r="AF3" s="1224">
        <f t="shared" ref="AF3:AF34" si="1">AE3</f>
        <v>0.0105</v>
      </c>
      <c r="AG3" s="1224">
        <f>ROUND(AVERAGE(K3:K$36)/100,4)</f>
        <v>0.0183</v>
      </c>
      <c r="AH3" s="1224">
        <f>ROUND(AVERAGE(L3:L$36)/100,4)</f>
        <v>0.0122</v>
      </c>
    </row>
    <row r="4" s="1116" customFormat="1" ht="14.25" spans="2:34">
      <c r="B4" s="1133"/>
      <c r="C4" s="1133"/>
      <c r="D4" s="1134"/>
      <c r="E4" s="1134"/>
      <c r="F4" s="1133"/>
      <c r="G4" s="1135"/>
      <c r="H4" s="1136"/>
      <c r="I4" s="1175"/>
      <c r="J4" s="1175"/>
      <c r="K4" s="1175"/>
      <c r="L4" s="1175"/>
      <c r="N4" s="1135"/>
      <c r="S4" s="1135"/>
      <c r="W4" s="1208"/>
      <c r="X4" s="1122"/>
      <c r="Y4" s="1122"/>
      <c r="Z4" s="1122"/>
      <c r="AA4" s="1122"/>
      <c r="AB4" s="1122"/>
      <c r="AD4" s="1181"/>
      <c r="AE4" s="1181"/>
      <c r="AF4" s="1181"/>
      <c r="AG4" s="1181"/>
      <c r="AH4" s="1181"/>
    </row>
    <row r="5" s="1117" customFormat="1" spans="1:34">
      <c r="A5" s="1137" t="s">
        <v>2141</v>
      </c>
      <c r="B5" s="1138">
        <f t="shared" ref="B5" si="2">B6*(1+N5)</f>
        <v>504.870728096156</v>
      </c>
      <c r="C5" s="1138">
        <f t="shared" ref="C5" si="3">C6*(1+O5)</f>
        <v>351.71182348102</v>
      </c>
      <c r="D5" s="1138">
        <f t="shared" ref="D5" si="4">C5</f>
        <v>351.71182348102</v>
      </c>
      <c r="E5" s="1138">
        <f t="shared" ref="E5" si="5">E6*(1+P5)</f>
        <v>728.753508583608</v>
      </c>
      <c r="F5" s="1138">
        <f t="shared" ref="F5" si="6">F6*(1+Q5)</f>
        <v>334.045939316737</v>
      </c>
      <c r="G5" s="1135">
        <v>2021</v>
      </c>
      <c r="H5" s="1139">
        <v>4</v>
      </c>
      <c r="I5" s="1176">
        <v>0</v>
      </c>
      <c r="J5" s="1176">
        <v>0</v>
      </c>
      <c r="K5" s="1176">
        <v>0</v>
      </c>
      <c r="L5" s="1176">
        <v>0</v>
      </c>
      <c r="N5" s="1177">
        <f t="shared" ref="N5" si="7">I5/100</f>
        <v>0</v>
      </c>
      <c r="O5" s="1177">
        <f t="shared" ref="O5" si="8">J5/100</f>
        <v>0</v>
      </c>
      <c r="P5" s="1177">
        <f t="shared" ref="P5" si="9">K5/100</f>
        <v>0</v>
      </c>
      <c r="Q5" s="1177">
        <f t="shared" ref="Q5" si="10">L5/100</f>
        <v>0</v>
      </c>
      <c r="S5" s="1209"/>
      <c r="W5" s="1210" t="s">
        <v>2142</v>
      </c>
      <c r="X5" s="1211">
        <f>ROUND(SUMPRODUCT(PRODUCT(1+N5:N$36)),4)</f>
        <v>1.6904</v>
      </c>
      <c r="Y5" s="1211">
        <f>ROUND(SUMPRODUCT(PRODUCT(1+O5:O$36)),4)</f>
        <v>1.3963</v>
      </c>
      <c r="Z5" s="1211">
        <f t="shared" ref="Z5" si="11">Y5</f>
        <v>1.3963</v>
      </c>
      <c r="AA5" s="1211">
        <f>ROUND(SUMPRODUCT(PRODUCT(1+P5:P$36)),4)</f>
        <v>1.7797</v>
      </c>
      <c r="AB5" s="1211">
        <f>ROUND(SUMPRODUCT(PRODUCT(1+Q5:Q$36)),4)</f>
        <v>1.4727</v>
      </c>
      <c r="AD5" s="1225">
        <f>ROUND(AVERAGE(I5:I$36)/100,4)</f>
        <v>0.0166</v>
      </c>
      <c r="AE5" s="1225">
        <f>ROUND(AVERAGE(J5:J$36)/100,4)</f>
        <v>0.0105</v>
      </c>
      <c r="AF5" s="1225">
        <f t="shared" ref="AF5" si="12">AE5</f>
        <v>0.0105</v>
      </c>
      <c r="AG5" s="1225">
        <f>ROUND(AVERAGE(K5:K$36)/100,4)</f>
        <v>0.0183</v>
      </c>
      <c r="AH5" s="1225">
        <f>ROUND(AVERAGE(L5:L$36)/100,4)</f>
        <v>0.0122</v>
      </c>
    </row>
    <row r="6" s="1118" customFormat="1" spans="1:34">
      <c r="A6" s="1140" t="s">
        <v>2143</v>
      </c>
      <c r="B6" s="1141">
        <f t="shared" ref="B6" si="13">B7*(1+N6)</f>
        <v>504.870728096156</v>
      </c>
      <c r="C6" s="1141">
        <f t="shared" ref="C6" si="14">C7*(1+O6)</f>
        <v>351.71182348102</v>
      </c>
      <c r="D6" s="1141">
        <f t="shared" ref="D6" si="15">C6</f>
        <v>351.71182348102</v>
      </c>
      <c r="E6" s="1141">
        <f t="shared" ref="E6" si="16">E7*(1+P6)</f>
        <v>728.753508583608</v>
      </c>
      <c r="F6" s="1141">
        <f t="shared" ref="F6" si="17">F7*(1+Q6)</f>
        <v>334.045939316737</v>
      </c>
      <c r="G6" s="1135">
        <v>2021</v>
      </c>
      <c r="H6" s="1142">
        <v>3</v>
      </c>
      <c r="I6" s="1178">
        <v>0.47</v>
      </c>
      <c r="J6" s="1178">
        <v>0.41</v>
      </c>
      <c r="K6" s="1178">
        <v>0.48</v>
      </c>
      <c r="L6" s="1179">
        <v>0.48</v>
      </c>
      <c r="M6" s="1122"/>
      <c r="N6" s="1180">
        <f t="shared" ref="N6" si="18">I6/100</f>
        <v>0.0047</v>
      </c>
      <c r="O6" s="1181">
        <f t="shared" ref="O6" si="19">J6/100</f>
        <v>0.0041</v>
      </c>
      <c r="P6" s="1181">
        <f t="shared" ref="P6" si="20">K6/100</f>
        <v>0.0048</v>
      </c>
      <c r="Q6" s="1181">
        <f t="shared" ref="Q6" si="21">L6/100</f>
        <v>0.0048</v>
      </c>
      <c r="R6" s="1212"/>
      <c r="S6" s="1188"/>
      <c r="T6" s="1189"/>
      <c r="U6" s="1189"/>
      <c r="V6" s="1189"/>
      <c r="W6" s="1122"/>
      <c r="X6" s="1122">
        <f>ROUND(SUMPRODUCT(PRODUCT(1+N6:N$36)),4)</f>
        <v>1.6904</v>
      </c>
      <c r="Y6" s="1122">
        <f>ROUND(SUMPRODUCT(PRODUCT(1+O6:O$36)),4)</f>
        <v>1.3963</v>
      </c>
      <c r="Z6" s="1122">
        <f t="shared" ref="Z6" si="22">Y6</f>
        <v>1.3963</v>
      </c>
      <c r="AA6" s="1122">
        <f>ROUND(SUMPRODUCT(PRODUCT(1+P6:P$36)),4)</f>
        <v>1.7797</v>
      </c>
      <c r="AB6" s="1122">
        <f>ROUND(SUMPRODUCT(PRODUCT(1+Q6:Q$36)),4)</f>
        <v>1.4727</v>
      </c>
      <c r="AC6" s="1122"/>
      <c r="AD6" s="1181">
        <f>ROUND(AVERAGE(I6:I$36)/100,4)</f>
        <v>0.0172</v>
      </c>
      <c r="AE6" s="1181">
        <f>ROUND(AVERAGE(J6:J$36)/100,4)</f>
        <v>0.0109</v>
      </c>
      <c r="AF6" s="1181">
        <f t="shared" ref="AF6" si="23">AE6</f>
        <v>0.0109</v>
      </c>
      <c r="AG6" s="1181">
        <f>ROUND(AVERAGE(K6:K$36)/100,4)</f>
        <v>0.0189</v>
      </c>
      <c r="AH6" s="1181">
        <f>ROUND(AVERAGE(L6:L$36)/100,4)</f>
        <v>0.0126</v>
      </c>
    </row>
    <row r="7" s="1118" customFormat="1" spans="1:34">
      <c r="A7" s="1140" t="s">
        <v>2144</v>
      </c>
      <c r="B7" s="1141">
        <f t="shared" ref="B7" si="24">B8*(1+N7)</f>
        <v>502.508936096502</v>
      </c>
      <c r="C7" s="1141">
        <f t="shared" ref="C7" si="25">C8*(1+O7)</f>
        <v>350.275693139149</v>
      </c>
      <c r="D7" s="1141">
        <f t="shared" ref="D7" si="26">C7</f>
        <v>350.275693139149</v>
      </c>
      <c r="E7" s="1141">
        <f t="shared" ref="E7" si="27">E8*(1+P7)</f>
        <v>725.272202013941</v>
      </c>
      <c r="F7" s="1141">
        <f t="shared" ref="F7" si="28">F8*(1+Q7)</f>
        <v>332.450178460128</v>
      </c>
      <c r="G7" s="1135">
        <v>2021</v>
      </c>
      <c r="H7" s="1142">
        <v>2</v>
      </c>
      <c r="I7" s="1178">
        <v>0.92</v>
      </c>
      <c r="J7" s="1178">
        <v>0.72</v>
      </c>
      <c r="K7" s="1178">
        <v>0.95</v>
      </c>
      <c r="L7" s="1179">
        <v>1.01</v>
      </c>
      <c r="M7" s="1122"/>
      <c r="N7" s="1180">
        <f t="shared" ref="N7" si="29">I7/100</f>
        <v>0.0092</v>
      </c>
      <c r="O7" s="1181">
        <f t="shared" ref="O7" si="30">J7/100</f>
        <v>0.0072</v>
      </c>
      <c r="P7" s="1181">
        <f t="shared" ref="P7" si="31">K7/100</f>
        <v>0.0095</v>
      </c>
      <c r="Q7" s="1181">
        <f t="shared" ref="Q7" si="32">L7/100</f>
        <v>0.0101</v>
      </c>
      <c r="R7" s="1212"/>
      <c r="S7" s="1188"/>
      <c r="T7" s="1189"/>
      <c r="U7" s="1189"/>
      <c r="V7" s="1189"/>
      <c r="W7" s="1122"/>
      <c r="X7" s="1122">
        <f>ROUND(SUMPRODUCT(PRODUCT(1+N7:N$36)),4)</f>
        <v>1.6825</v>
      </c>
      <c r="Y7" s="1122">
        <f>ROUND(SUMPRODUCT(PRODUCT(1+O7:O$36)),4)</f>
        <v>1.3906</v>
      </c>
      <c r="Z7" s="1122">
        <f t="shared" ref="Z7" si="33">Y7</f>
        <v>1.3906</v>
      </c>
      <c r="AA7" s="1122">
        <f>ROUND(SUMPRODUCT(PRODUCT(1+P7:P$36)),4)</f>
        <v>1.7712</v>
      </c>
      <c r="AB7" s="1122">
        <f>ROUND(SUMPRODUCT(PRODUCT(1+Q7:Q$36)),4)</f>
        <v>1.4657</v>
      </c>
      <c r="AC7" s="1122"/>
      <c r="AD7" s="1181">
        <f>ROUND(AVERAGE(I7:I$36)/100,4)</f>
        <v>0.0176</v>
      </c>
      <c r="AE7" s="1181">
        <f>ROUND(AVERAGE(J7:J$36)/100,4)</f>
        <v>0.0111</v>
      </c>
      <c r="AF7" s="1181">
        <f t="shared" ref="AF7" si="34">AE7</f>
        <v>0.0111</v>
      </c>
      <c r="AG7" s="1181">
        <f>ROUND(AVERAGE(K7:K$36)/100,4)</f>
        <v>0.0194</v>
      </c>
      <c r="AH7" s="1181">
        <f>ROUND(AVERAGE(L7:L$36)/100,4)</f>
        <v>0.0128</v>
      </c>
    </row>
    <row r="8" s="1118" customFormat="1" spans="1:34">
      <c r="A8" s="1140" t="s">
        <v>2145</v>
      </c>
      <c r="B8" s="1141">
        <f t="shared" ref="B8" si="35">B9*(1+N8)</f>
        <v>497.927998510208</v>
      </c>
      <c r="C8" s="1141">
        <f t="shared" ref="C8" si="36">C9*(1+O8)</f>
        <v>347.771736635374</v>
      </c>
      <c r="D8" s="1141">
        <f t="shared" ref="D8" si="37">C8</f>
        <v>347.771736635374</v>
      </c>
      <c r="E8" s="1141">
        <f t="shared" ref="E8" si="38">E9*(1+P8)</f>
        <v>718.446955932582</v>
      </c>
      <c r="F8" s="1141">
        <f t="shared" ref="F8" si="39">F9*(1+Q8)</f>
        <v>329.126005801532</v>
      </c>
      <c r="G8" s="1135">
        <v>2021</v>
      </c>
      <c r="H8" s="1142">
        <v>1</v>
      </c>
      <c r="I8" s="1178">
        <v>0.97</v>
      </c>
      <c r="J8" s="1178">
        <v>0.16</v>
      </c>
      <c r="K8" s="1178">
        <v>1.11</v>
      </c>
      <c r="L8" s="1179">
        <v>0.36</v>
      </c>
      <c r="M8" s="1122"/>
      <c r="N8" s="1180">
        <f t="shared" ref="N8" si="40">I8/100</f>
        <v>0.0097</v>
      </c>
      <c r="O8" s="1181">
        <f t="shared" ref="O8" si="41">J8/100</f>
        <v>0.0016</v>
      </c>
      <c r="P8" s="1181">
        <f t="shared" ref="P8" si="42">K8/100</f>
        <v>0.0111</v>
      </c>
      <c r="Q8" s="1181">
        <f t="shared" ref="Q8" si="43">L8/100</f>
        <v>0.0036</v>
      </c>
      <c r="R8" s="1212"/>
      <c r="S8" s="1188">
        <f>B8/B9-1</f>
        <v>0.00970000000000004</v>
      </c>
      <c r="T8" s="1189">
        <f>C8/C9-1</f>
        <v>0.00160000000000005</v>
      </c>
      <c r="U8" s="1189">
        <f>E8/E9-1</f>
        <v>0.0111000000000001</v>
      </c>
      <c r="V8" s="1189">
        <f>F8/F9-1</f>
        <v>0.00360000000000005</v>
      </c>
      <c r="W8" s="1122"/>
      <c r="X8" s="1122">
        <f>ROUND(SUMPRODUCT(PRODUCT(1+N8:N$36)),4)</f>
        <v>1.6671</v>
      </c>
      <c r="Y8" s="1122">
        <f>ROUND(SUMPRODUCT(PRODUCT(1+O8:O$36)),4)</f>
        <v>1.3807</v>
      </c>
      <c r="Z8" s="1122">
        <f t="shared" ref="Z8" si="44">Y8</f>
        <v>1.3807</v>
      </c>
      <c r="AA8" s="1122">
        <f>ROUND(SUMPRODUCT(PRODUCT(1+P8:P$36)),4)</f>
        <v>1.7546</v>
      </c>
      <c r="AB8" s="1122">
        <f>ROUND(SUMPRODUCT(PRODUCT(1+Q8:Q$36)),4)</f>
        <v>1.451</v>
      </c>
      <c r="AC8" s="1122"/>
      <c r="AD8" s="1181">
        <f>ROUND(AVERAGE(I8:I$36)/100,4)</f>
        <v>0.0179</v>
      </c>
      <c r="AE8" s="1181">
        <f>ROUND(AVERAGE(J8:J$36)/100,4)</f>
        <v>0.0112</v>
      </c>
      <c r="AF8" s="1181">
        <f t="shared" ref="AF8" si="45">AE8</f>
        <v>0.0112</v>
      </c>
      <c r="AG8" s="1181">
        <f>ROUND(AVERAGE(K8:K$36)/100,4)</f>
        <v>0.0197</v>
      </c>
      <c r="AH8" s="1181">
        <f>ROUND(AVERAGE(L8:L$36)/100,4)</f>
        <v>0.0129</v>
      </c>
    </row>
    <row r="9" s="1118" customFormat="1" spans="1:34">
      <c r="A9" s="1140" t="s">
        <v>2146</v>
      </c>
      <c r="B9" s="1141">
        <f t="shared" ref="B9" si="46">B10*(1+N9)</f>
        <v>493.144496890372</v>
      </c>
      <c r="C9" s="1141">
        <f t="shared" ref="C9" si="47">C10*(1+O9)</f>
        <v>347.216190730206</v>
      </c>
      <c r="D9" s="1141">
        <f t="shared" ref="D9" si="48">C9</f>
        <v>347.216190730206</v>
      </c>
      <c r="E9" s="1141">
        <f t="shared" ref="E9" si="49">E10*(1+P9)</f>
        <v>710.559742787639</v>
      </c>
      <c r="F9" s="1141">
        <f t="shared" ref="F9" si="50">F10*(1+Q9)</f>
        <v>327.945402353061</v>
      </c>
      <c r="G9" s="1135">
        <v>2020</v>
      </c>
      <c r="H9" s="1142">
        <v>4</v>
      </c>
      <c r="I9" s="1178">
        <v>2.07</v>
      </c>
      <c r="J9" s="1178">
        <v>0.37</v>
      </c>
      <c r="K9" s="1178">
        <v>2.35</v>
      </c>
      <c r="L9" s="1179">
        <v>2.69</v>
      </c>
      <c r="M9" s="1122"/>
      <c r="N9" s="1180">
        <f t="shared" ref="N9" si="51">I9/100</f>
        <v>0.0207</v>
      </c>
      <c r="O9" s="1181">
        <f t="shared" ref="O9" si="52">J9/100</f>
        <v>0.0037</v>
      </c>
      <c r="P9" s="1181">
        <f t="shared" ref="P9" si="53">K9/100</f>
        <v>0.0235</v>
      </c>
      <c r="Q9" s="1181">
        <f t="shared" ref="Q9" si="54">L9/100</f>
        <v>0.0269</v>
      </c>
      <c r="R9" s="1212"/>
      <c r="S9" s="1188"/>
      <c r="T9" s="1189"/>
      <c r="U9" s="1189"/>
      <c r="V9" s="1189"/>
      <c r="W9" s="1122"/>
      <c r="X9" s="1122">
        <f>ROUND(SUMPRODUCT(PRODUCT(1+N9:N$36)),4)</f>
        <v>1.6511</v>
      </c>
      <c r="Y9" s="1122">
        <f>ROUND(SUMPRODUCT(PRODUCT(1+O9:O$36)),4)</f>
        <v>1.3785</v>
      </c>
      <c r="Z9" s="1122">
        <f t="shared" ref="Z9" si="55">Y9</f>
        <v>1.3785</v>
      </c>
      <c r="AA9" s="1122">
        <f>ROUND(SUMPRODUCT(PRODUCT(1+P9:P$36)),4)</f>
        <v>1.7353</v>
      </c>
      <c r="AB9" s="1122">
        <f>ROUND(SUMPRODUCT(PRODUCT(1+Q9:Q$36)),4)</f>
        <v>1.4458</v>
      </c>
      <c r="AC9" s="1122"/>
      <c r="AD9" s="1181">
        <f>ROUND(AVERAGE(I9:I$36)/100,4)</f>
        <v>0.0182</v>
      </c>
      <c r="AE9" s="1181">
        <f>ROUND(AVERAGE(J9:J$36)/100,4)</f>
        <v>0.0116</v>
      </c>
      <c r="AF9" s="1181">
        <f t="shared" ref="AF9" si="56">AE9</f>
        <v>0.0116</v>
      </c>
      <c r="AG9" s="1181">
        <f>ROUND(AVERAGE(K9:K$36)/100,4)</f>
        <v>0.02</v>
      </c>
      <c r="AH9" s="1181">
        <f>ROUND(AVERAGE(L9:L$36)/100,4)</f>
        <v>0.0133</v>
      </c>
    </row>
    <row r="10" s="1118" customFormat="1" spans="1:34">
      <c r="A10" s="1140" t="s">
        <v>2147</v>
      </c>
      <c r="B10" s="1141">
        <f t="shared" ref="B10" si="57">B11*(1+N10)</f>
        <v>483.143427932176</v>
      </c>
      <c r="C10" s="1141">
        <f t="shared" ref="C10" si="58">C11*(1+O10)</f>
        <v>345.936226691448</v>
      </c>
      <c r="D10" s="1141">
        <f t="shared" ref="D10" si="59">C10</f>
        <v>345.936226691448</v>
      </c>
      <c r="E10" s="1141">
        <f t="shared" ref="E10" si="60">E11*(1+P10)</f>
        <v>694.244985625441</v>
      </c>
      <c r="F10" s="1141">
        <f t="shared" ref="F10" si="61">F11*(1+Q10)</f>
        <v>319.354759327161</v>
      </c>
      <c r="G10" s="1135">
        <v>2020</v>
      </c>
      <c r="H10" s="1142">
        <v>3</v>
      </c>
      <c r="I10" s="1178">
        <v>0.36</v>
      </c>
      <c r="J10" s="1178">
        <v>-0.39</v>
      </c>
      <c r="K10" s="1178">
        <v>0.49</v>
      </c>
      <c r="L10" s="1179">
        <v>0.07</v>
      </c>
      <c r="M10" s="1122"/>
      <c r="N10" s="1180">
        <f t="shared" ref="N10" si="62">I10/100</f>
        <v>0.0036</v>
      </c>
      <c r="O10" s="1181">
        <f t="shared" ref="O10" si="63">J10/100</f>
        <v>-0.0039</v>
      </c>
      <c r="P10" s="1181">
        <f t="shared" ref="P10" si="64">K10/100</f>
        <v>0.0049</v>
      </c>
      <c r="Q10" s="1181">
        <f t="shared" ref="Q10" si="65">L10/100</f>
        <v>0.0007</v>
      </c>
      <c r="R10" s="1212"/>
      <c r="S10" s="1188"/>
      <c r="T10" s="1189"/>
      <c r="U10" s="1189"/>
      <c r="V10" s="1189"/>
      <c r="W10" s="1122"/>
      <c r="X10" s="1122">
        <f>ROUND(SUMPRODUCT(PRODUCT(1+N10:N$36)),4)</f>
        <v>1.6176</v>
      </c>
      <c r="Y10" s="1122">
        <f>ROUND(SUMPRODUCT(PRODUCT(1+O10:O$36)),4)</f>
        <v>1.3734</v>
      </c>
      <c r="Z10" s="1122">
        <f t="shared" ref="Z10" si="66">Y10</f>
        <v>1.3734</v>
      </c>
      <c r="AA10" s="1122">
        <f>ROUND(SUMPRODUCT(PRODUCT(1+P10:P$36)),4)</f>
        <v>1.6955</v>
      </c>
      <c r="AB10" s="1122">
        <f>ROUND(SUMPRODUCT(PRODUCT(1+Q10:Q$36)),4)</f>
        <v>1.4079</v>
      </c>
      <c r="AC10" s="1122"/>
      <c r="AD10" s="1181">
        <f>ROUND(AVERAGE(I10:I$36)/100,4)</f>
        <v>0.0181</v>
      </c>
      <c r="AE10" s="1181">
        <f>ROUND(AVERAGE(J10:J$36)/100,4)</f>
        <v>0.0119</v>
      </c>
      <c r="AF10" s="1181">
        <f t="shared" ref="AF10" si="67">AE10</f>
        <v>0.0119</v>
      </c>
      <c r="AG10" s="1181">
        <f>ROUND(AVERAGE(K10:K$36)/100,4)</f>
        <v>0.0199</v>
      </c>
      <c r="AH10" s="1181">
        <f>ROUND(AVERAGE(L10:L$36)/100,4)</f>
        <v>0.0128</v>
      </c>
    </row>
    <row r="11" s="1118" customFormat="1" spans="1:34">
      <c r="A11" s="1140" t="s">
        <v>2148</v>
      </c>
      <c r="B11" s="1141">
        <f t="shared" ref="B11" si="68">B12*(1+N11)</f>
        <v>481.410350669764</v>
      </c>
      <c r="C11" s="1141">
        <f t="shared" ref="C11" si="69">C12*(1+O11)</f>
        <v>347.290660266487</v>
      </c>
      <c r="D11" s="1141">
        <f t="shared" ref="D11" si="70">C11</f>
        <v>347.290660266487</v>
      </c>
      <c r="E11" s="1141">
        <f t="shared" ref="E11" si="71">E12*(1+P11)</f>
        <v>690.85977273902</v>
      </c>
      <c r="F11" s="1141">
        <f t="shared" ref="F11" si="72">F12*(1+Q11)</f>
        <v>319.131367370002</v>
      </c>
      <c r="G11" s="1135">
        <v>2020</v>
      </c>
      <c r="H11" s="1142">
        <v>2</v>
      </c>
      <c r="I11" s="1178">
        <v>0.31</v>
      </c>
      <c r="J11" s="1178">
        <v>-0.78</v>
      </c>
      <c r="K11" s="1178">
        <v>0.5</v>
      </c>
      <c r="L11" s="1179">
        <v>0.47</v>
      </c>
      <c r="M11" s="1122"/>
      <c r="N11" s="1180">
        <f t="shared" ref="N11" si="73">I11/100</f>
        <v>0.0031</v>
      </c>
      <c r="O11" s="1181">
        <f t="shared" ref="O11" si="74">J11/100</f>
        <v>-0.0078</v>
      </c>
      <c r="P11" s="1181">
        <f t="shared" ref="P11" si="75">K11/100</f>
        <v>0.005</v>
      </c>
      <c r="Q11" s="1181">
        <f t="shared" ref="Q11" si="76">L11/100</f>
        <v>0.0047</v>
      </c>
      <c r="R11" s="1212"/>
      <c r="S11" s="1188"/>
      <c r="T11" s="1189"/>
      <c r="U11" s="1189"/>
      <c r="V11" s="1189"/>
      <c r="W11" s="1122"/>
      <c r="X11" s="1122">
        <f>ROUND(SUMPRODUCT(PRODUCT(1+N11:N$36)),4)</f>
        <v>1.6118</v>
      </c>
      <c r="Y11" s="1122">
        <f>ROUND(SUMPRODUCT(PRODUCT(1+O11:O$36)),4)</f>
        <v>1.3788</v>
      </c>
      <c r="Z11" s="1122">
        <f t="shared" ref="Z11" si="77">Y11</f>
        <v>1.3788</v>
      </c>
      <c r="AA11" s="1122">
        <f>ROUND(SUMPRODUCT(PRODUCT(1+P11:P$36)),4)</f>
        <v>1.6872</v>
      </c>
      <c r="AB11" s="1122">
        <f>ROUND(SUMPRODUCT(PRODUCT(1+Q11:Q$36)),4)</f>
        <v>1.4069</v>
      </c>
      <c r="AC11" s="1122"/>
      <c r="AD11" s="1181">
        <f>ROUND(AVERAGE(I11:I$36)/100,4)</f>
        <v>0.0186</v>
      </c>
      <c r="AE11" s="1181">
        <f>ROUND(AVERAGE(J11:J$36)/100,4)</f>
        <v>0.0125</v>
      </c>
      <c r="AF11" s="1181">
        <f t="shared" ref="AF11" si="78">AE11</f>
        <v>0.0125</v>
      </c>
      <c r="AG11" s="1181">
        <f>ROUND(AVERAGE(K11:K$36)/100,4)</f>
        <v>0.0204</v>
      </c>
      <c r="AH11" s="1181">
        <f>ROUND(AVERAGE(L11:L$36)/100,4)</f>
        <v>0.0132</v>
      </c>
    </row>
    <row r="12" s="1118" customFormat="1" spans="1:34">
      <c r="A12" s="1140" t="s">
        <v>2149</v>
      </c>
      <c r="B12" s="1141">
        <f t="shared" ref="B12" si="79">B13*(1+N12)</f>
        <v>479.922590638784</v>
      </c>
      <c r="C12" s="1141">
        <f t="shared" ref="C12" si="80">C13*(1+O12)</f>
        <v>350.020822683418</v>
      </c>
      <c r="D12" s="1141">
        <f t="shared" ref="D12" si="81">C12</f>
        <v>350.020822683418</v>
      </c>
      <c r="E12" s="1141">
        <f t="shared" ref="E12" si="82">E13*(1+P12)</f>
        <v>687.422659441811</v>
      </c>
      <c r="F12" s="1141">
        <f t="shared" ref="F12" si="83">F13*(1+Q12)</f>
        <v>317.63846657709</v>
      </c>
      <c r="G12" s="1135">
        <v>2020</v>
      </c>
      <c r="H12" s="1142">
        <v>1</v>
      </c>
      <c r="I12" s="1178">
        <v>0.12</v>
      </c>
      <c r="J12" s="1178">
        <v>-0.4</v>
      </c>
      <c r="K12" s="1178">
        <v>0.21</v>
      </c>
      <c r="L12" s="1179">
        <v>0.27</v>
      </c>
      <c r="M12" s="1122"/>
      <c r="N12" s="1180">
        <f t="shared" ref="N12" si="84">I12/100</f>
        <v>0.0012</v>
      </c>
      <c r="O12" s="1181">
        <f t="shared" ref="O12" si="85">J12/100</f>
        <v>-0.004</v>
      </c>
      <c r="P12" s="1181">
        <f t="shared" ref="P12" si="86">K12/100</f>
        <v>0.0021</v>
      </c>
      <c r="Q12" s="1181">
        <f t="shared" ref="Q12" si="87">L12/100</f>
        <v>0.0027</v>
      </c>
      <c r="R12" s="1212"/>
      <c r="S12" s="1188">
        <f>B12/B13-1</f>
        <v>0.00120000000000009</v>
      </c>
      <c r="T12" s="1189">
        <f>C12/C13-1</f>
        <v>-0.004</v>
      </c>
      <c r="U12" s="1189">
        <f>E12/E13-1</f>
        <v>0.00209999999999999</v>
      </c>
      <c r="V12" s="1189">
        <f>F12/F13-1</f>
        <v>0.00269999999999992</v>
      </c>
      <c r="W12" s="1122"/>
      <c r="X12" s="1122">
        <f>ROUND(SUMPRODUCT(PRODUCT(1+N12:N$36)),4)</f>
        <v>1.6068</v>
      </c>
      <c r="Y12" s="1122">
        <f>ROUND(SUMPRODUCT(PRODUCT(1+O12:O$36)),4)</f>
        <v>1.3896</v>
      </c>
      <c r="Z12" s="1122">
        <f t="shared" ref="Z12:Z35" si="88">Y12</f>
        <v>1.3896</v>
      </c>
      <c r="AA12" s="1122">
        <f>ROUND(SUMPRODUCT(PRODUCT(1+P12:P$36)),4)</f>
        <v>1.6788</v>
      </c>
      <c r="AB12" s="1122">
        <f>ROUND(SUMPRODUCT(PRODUCT(1+Q12:Q$36)),4)</f>
        <v>1.4004</v>
      </c>
      <c r="AC12" s="1122"/>
      <c r="AD12" s="1181">
        <f>ROUND(AVERAGE(I12:I$36)/100,4)</f>
        <v>0.0192</v>
      </c>
      <c r="AE12" s="1181">
        <f>ROUND(AVERAGE(J12:J$36)/100,4)</f>
        <v>0.0133</v>
      </c>
      <c r="AF12" s="1181">
        <f t="shared" ref="AF12" si="89">AE12</f>
        <v>0.0133</v>
      </c>
      <c r="AG12" s="1181">
        <f>ROUND(AVERAGE(K12:K$36)/100,4)</f>
        <v>0.0211</v>
      </c>
      <c r="AH12" s="1181">
        <f>ROUND(AVERAGE(L12:L$36)/100,4)</f>
        <v>0.0136</v>
      </c>
    </row>
    <row r="13" s="1118" customFormat="1" spans="1:34">
      <c r="A13" s="1140" t="s">
        <v>2150</v>
      </c>
      <c r="B13" s="1141">
        <f t="shared" ref="B13" si="90">B14*(1+N13)</f>
        <v>479.347373790236</v>
      </c>
      <c r="C13" s="1141">
        <f t="shared" ref="C13" si="91">C14*(1+O13)</f>
        <v>351.426528798612</v>
      </c>
      <c r="D13" s="1141">
        <f t="shared" ref="D13" si="92">C13</f>
        <v>351.426528798612</v>
      </c>
      <c r="E13" s="1141">
        <f t="shared" ref="E13" si="93">E14*(1+P13)</f>
        <v>685.982097038031</v>
      </c>
      <c r="F13" s="1141">
        <f t="shared" ref="F13" si="94">F14*(1+Q13)</f>
        <v>316.78315206651</v>
      </c>
      <c r="G13" s="1135">
        <v>2019</v>
      </c>
      <c r="H13" s="1142">
        <v>4</v>
      </c>
      <c r="I13" s="1142">
        <v>0.45</v>
      </c>
      <c r="J13" s="1142">
        <v>-0.12</v>
      </c>
      <c r="K13" s="1142">
        <v>0.54</v>
      </c>
      <c r="L13" s="1182">
        <v>0.48</v>
      </c>
      <c r="M13" s="1122"/>
      <c r="N13" s="1180">
        <f t="shared" ref="N13" si="95">I13/100</f>
        <v>0.0045</v>
      </c>
      <c r="O13" s="1181">
        <f t="shared" ref="O13" si="96">J13/100</f>
        <v>-0.0012</v>
      </c>
      <c r="P13" s="1181">
        <f t="shared" ref="P13" si="97">K13/100</f>
        <v>0.0054</v>
      </c>
      <c r="Q13" s="1181">
        <f t="shared" ref="Q13" si="98">L13/100</f>
        <v>0.0048</v>
      </c>
      <c r="R13" s="1212"/>
      <c r="S13" s="1188"/>
      <c r="T13" s="1189"/>
      <c r="U13" s="1189"/>
      <c r="V13" s="1189"/>
      <c r="W13" s="1122"/>
      <c r="X13" s="1122">
        <f>ROUND(SUMPRODUCT(PRODUCT(1+N13:N$36)),4)</f>
        <v>1.6049</v>
      </c>
      <c r="Y13" s="1122">
        <f>ROUND(SUMPRODUCT(PRODUCT(1+O13:O$36)),4)</f>
        <v>1.3952</v>
      </c>
      <c r="Z13" s="1122">
        <f t="shared" si="88"/>
        <v>1.3952</v>
      </c>
      <c r="AA13" s="1122">
        <f>ROUND(SUMPRODUCT(PRODUCT(1+P13:P$36)),4)</f>
        <v>1.6753</v>
      </c>
      <c r="AB13" s="1122">
        <f>ROUND(SUMPRODUCT(PRODUCT(1+Q13:Q$36)),4)</f>
        <v>1.3966</v>
      </c>
      <c r="AC13" s="1122"/>
      <c r="AD13" s="1181">
        <f>ROUND(AVERAGE(I13:I$36)/100,4)</f>
        <v>0.02</v>
      </c>
      <c r="AE13" s="1181">
        <f>ROUND(AVERAGE(J13:J$36)/100,4)</f>
        <v>0.014</v>
      </c>
      <c r="AF13" s="1181">
        <f t="shared" ref="AF13" si="99">AE13</f>
        <v>0.014</v>
      </c>
      <c r="AG13" s="1181">
        <f>ROUND(AVERAGE(K13:K$36)/100,4)</f>
        <v>0.0219</v>
      </c>
      <c r="AH13" s="1181">
        <f>ROUND(AVERAGE(L13:L$36)/100,4)</f>
        <v>0.014</v>
      </c>
    </row>
    <row r="14" s="1118" customFormat="1" ht="13.5" spans="1:34">
      <c r="A14" s="1140" t="s">
        <v>2151</v>
      </c>
      <c r="B14" s="1141">
        <f t="shared" ref="B14" si="100">B15*(1+N14)</f>
        <v>477.199973907651</v>
      </c>
      <c r="C14" s="1141">
        <f t="shared" ref="C14" si="101">C15*(1+O14)</f>
        <v>351.848747295367</v>
      </c>
      <c r="D14" s="1141">
        <f t="shared" ref="D14" si="102">C14</f>
        <v>351.848747295367</v>
      </c>
      <c r="E14" s="1141">
        <f t="shared" ref="E14" si="103">E15*(1+P14)</f>
        <v>682.297689514652</v>
      </c>
      <c r="F14" s="1141">
        <f t="shared" ref="F14" si="104">F15*(1+Q14)</f>
        <v>315.26985675409</v>
      </c>
      <c r="G14" s="1135">
        <v>2019</v>
      </c>
      <c r="H14" s="1142">
        <v>3</v>
      </c>
      <c r="I14" s="1142">
        <v>0.61</v>
      </c>
      <c r="J14" s="1142">
        <v>0.67</v>
      </c>
      <c r="K14" s="1142">
        <v>0.6</v>
      </c>
      <c r="L14" s="1182">
        <v>1.03</v>
      </c>
      <c r="M14" s="1122"/>
      <c r="N14" s="1180">
        <f t="shared" ref="N14" si="105">I14/100</f>
        <v>0.0061</v>
      </c>
      <c r="O14" s="1181">
        <f t="shared" ref="O14" si="106">J14/100</f>
        <v>0.0067</v>
      </c>
      <c r="P14" s="1181">
        <f t="shared" ref="P14" si="107">K14/100</f>
        <v>0.006</v>
      </c>
      <c r="Q14" s="1181">
        <f t="shared" ref="Q14" si="108">L14/100</f>
        <v>0.0103</v>
      </c>
      <c r="R14" s="1212"/>
      <c r="S14" s="1188"/>
      <c r="T14" s="1189"/>
      <c r="U14" s="1189"/>
      <c r="V14" s="1189"/>
      <c r="W14" s="1122"/>
      <c r="X14" s="1122">
        <f>ROUND(SUMPRODUCT(PRODUCT(1+N14:N$36)),4)</f>
        <v>1.5977</v>
      </c>
      <c r="Y14" s="1122">
        <f>ROUND(SUMPRODUCT(PRODUCT(1+O14:O$36)),4)</f>
        <v>1.3969</v>
      </c>
      <c r="Z14" s="1122">
        <f t="shared" si="88"/>
        <v>1.3969</v>
      </c>
      <c r="AA14" s="1122">
        <f>ROUND(SUMPRODUCT(PRODUCT(1+P14:P$36)),4)</f>
        <v>1.6663</v>
      </c>
      <c r="AB14" s="1122">
        <f>ROUND(SUMPRODUCT(PRODUCT(1+Q14:Q$36)),4)</f>
        <v>1.3899</v>
      </c>
      <c r="AC14" s="1122"/>
      <c r="AD14" s="1181">
        <f>ROUND(AVERAGE(I14:I$36)/100,4)</f>
        <v>0.0207</v>
      </c>
      <c r="AE14" s="1181">
        <f>ROUND(AVERAGE(J14:J$36)/100,4)</f>
        <v>0.0147</v>
      </c>
      <c r="AF14" s="1181">
        <f t="shared" ref="AF14" si="109">AE14</f>
        <v>0.0147</v>
      </c>
      <c r="AG14" s="1181">
        <f>ROUND(AVERAGE(K14:K$36)/100,4)</f>
        <v>0.0226</v>
      </c>
      <c r="AH14" s="1181">
        <f>ROUND(AVERAGE(L14:L$36)/100,4)</f>
        <v>0.0144</v>
      </c>
    </row>
    <row r="15" s="1118" customFormat="1" spans="1:34">
      <c r="A15" s="1140" t="s">
        <v>2152</v>
      </c>
      <c r="B15" s="1141">
        <f t="shared" ref="B15:B20" si="110">B16*(1+N15)</f>
        <v>474.306703019234</v>
      </c>
      <c r="C15" s="1141">
        <f t="shared" ref="C15" si="111">C16*(1+O15)</f>
        <v>349.507050059965</v>
      </c>
      <c r="D15" s="1141">
        <f t="shared" ref="D15" si="112">C15</f>
        <v>349.507050059965</v>
      </c>
      <c r="E15" s="1141">
        <f t="shared" ref="E15" si="113">E16*(1+P15)</f>
        <v>678.22831959707</v>
      </c>
      <c r="F15" s="1141">
        <f t="shared" ref="F15" si="114">F16*(1+Q15)</f>
        <v>312.055683216956</v>
      </c>
      <c r="G15" s="1135">
        <v>2019</v>
      </c>
      <c r="H15" s="1143">
        <v>2</v>
      </c>
      <c r="I15" s="1143">
        <v>1.53</v>
      </c>
      <c r="J15" s="1143">
        <v>1.01</v>
      </c>
      <c r="K15" s="1143">
        <v>1.62</v>
      </c>
      <c r="L15" s="1183">
        <v>1.25</v>
      </c>
      <c r="M15" s="1122"/>
      <c r="N15" s="1180">
        <f t="shared" ref="N15" si="115">I15/100</f>
        <v>0.0153</v>
      </c>
      <c r="O15" s="1181">
        <f t="shared" ref="O15" si="116">J15/100</f>
        <v>0.0101</v>
      </c>
      <c r="P15" s="1181">
        <f t="shared" ref="P15" si="117">K15/100</f>
        <v>0.0162</v>
      </c>
      <c r="Q15" s="1181">
        <f t="shared" ref="Q15" si="118">L15/100</f>
        <v>0.0125</v>
      </c>
      <c r="R15" s="1212"/>
      <c r="S15" s="1188"/>
      <c r="T15" s="1189"/>
      <c r="U15" s="1189"/>
      <c r="V15" s="1189"/>
      <c r="W15" s="1122"/>
      <c r="X15" s="1122">
        <f>ROUND(SUMPRODUCT(PRODUCT(1+N15:N$36)),4)</f>
        <v>1.588</v>
      </c>
      <c r="Y15" s="1122">
        <f>ROUND(SUMPRODUCT(PRODUCT(1+O15:O$36)),4)</f>
        <v>1.3876</v>
      </c>
      <c r="Z15" s="1122">
        <f t="shared" si="88"/>
        <v>1.3876</v>
      </c>
      <c r="AA15" s="1122">
        <f>ROUND(SUMPRODUCT(PRODUCT(1+P15:P$36)),4)</f>
        <v>1.6563</v>
      </c>
      <c r="AB15" s="1122">
        <f>ROUND(SUMPRODUCT(PRODUCT(1+Q15:Q$36)),4)</f>
        <v>1.3757</v>
      </c>
      <c r="AC15" s="1122"/>
      <c r="AD15" s="1181">
        <f>ROUND(AVERAGE(I15:I$36)/100,4)</f>
        <v>0.0213</v>
      </c>
      <c r="AE15" s="1181">
        <f>ROUND(AVERAGE(J15:J$36)/100,4)</f>
        <v>0.015</v>
      </c>
      <c r="AF15" s="1181">
        <f t="shared" ref="AF15" si="119">AE15</f>
        <v>0.015</v>
      </c>
      <c r="AG15" s="1181">
        <f>ROUND(AVERAGE(K15:K$36)/100,4)</f>
        <v>0.0233</v>
      </c>
      <c r="AH15" s="1181">
        <f>ROUND(AVERAGE(L15:L$36)/100,4)</f>
        <v>0.0146</v>
      </c>
    </row>
    <row r="16" s="1118" customFormat="1" ht="13.5" spans="1:34">
      <c r="A16" s="1140" t="s">
        <v>2153</v>
      </c>
      <c r="B16" s="1141">
        <f t="shared" si="110"/>
        <v>467.159167752619</v>
      </c>
      <c r="C16" s="1141">
        <f t="shared" ref="C16" si="120">C17*(1+O16)</f>
        <v>346.012325571691</v>
      </c>
      <c r="D16" s="1141">
        <f t="shared" ref="D16" si="121">C16</f>
        <v>346.012325571691</v>
      </c>
      <c r="E16" s="1141">
        <f t="shared" ref="E16" si="122">E17*(1+P16)</f>
        <v>667.416177521226</v>
      </c>
      <c r="F16" s="1141">
        <f t="shared" ref="F16" si="123">F17*(1+Q16)</f>
        <v>308.203143917981</v>
      </c>
      <c r="G16" s="1135">
        <v>2019</v>
      </c>
      <c r="H16" s="1142">
        <v>1</v>
      </c>
      <c r="I16" s="1142">
        <v>0.6</v>
      </c>
      <c r="J16" s="1142">
        <v>0.37</v>
      </c>
      <c r="K16" s="1142">
        <v>0.63</v>
      </c>
      <c r="L16" s="1182">
        <v>1.13</v>
      </c>
      <c r="M16" s="1122"/>
      <c r="N16" s="1180">
        <f t="shared" ref="N16" si="124">I16/100</f>
        <v>0.006</v>
      </c>
      <c r="O16" s="1181">
        <f t="shared" ref="O16" si="125">J16/100</f>
        <v>0.0037</v>
      </c>
      <c r="P16" s="1181">
        <f t="shared" ref="P16" si="126">K16/100</f>
        <v>0.0063</v>
      </c>
      <c r="Q16" s="1181">
        <f t="shared" ref="Q16" si="127">L16/100</f>
        <v>0.0113</v>
      </c>
      <c r="R16" s="1212"/>
      <c r="S16" s="1188">
        <f>B16/B17-1</f>
        <v>0.00600000000000001</v>
      </c>
      <c r="T16" s="1189">
        <f>C16/C17-1</f>
        <v>0.00370000000000004</v>
      </c>
      <c r="U16" s="1189">
        <f>E16/E17-1</f>
        <v>0.00629999999999997</v>
      </c>
      <c r="V16" s="1189">
        <f>F16/F17-1</f>
        <v>0.0113000000000001</v>
      </c>
      <c r="W16" s="1122"/>
      <c r="X16" s="1122">
        <f>ROUND(SUMPRODUCT(PRODUCT(1+N16:N$36)),4)</f>
        <v>1.5641</v>
      </c>
      <c r="Y16" s="1122">
        <f>ROUND(SUMPRODUCT(PRODUCT(1+O16:O$36)),4)</f>
        <v>1.3737</v>
      </c>
      <c r="Z16" s="1122">
        <f t="shared" si="88"/>
        <v>1.3737</v>
      </c>
      <c r="AA16" s="1122">
        <f>ROUND(SUMPRODUCT(PRODUCT(1+P16:P$36)),4)</f>
        <v>1.6299</v>
      </c>
      <c r="AB16" s="1122">
        <f>ROUND(SUMPRODUCT(PRODUCT(1+Q16:Q$36)),4)</f>
        <v>1.3588</v>
      </c>
      <c r="AC16" s="1122"/>
      <c r="AD16" s="1181">
        <f>ROUND(AVERAGE(I16:I$36)/100,4)</f>
        <v>0.0216</v>
      </c>
      <c r="AE16" s="1181">
        <f>ROUND(AVERAGE(J16:J$36)/100,4)</f>
        <v>0.0153</v>
      </c>
      <c r="AF16" s="1181">
        <f t="shared" ref="AF16" si="128">AE16</f>
        <v>0.0153</v>
      </c>
      <c r="AG16" s="1181">
        <f>ROUND(AVERAGE(K16:K$36)/100,4)</f>
        <v>0.0237</v>
      </c>
      <c r="AH16" s="1181">
        <f>ROUND(AVERAGE(L16:L$36)/100,4)</f>
        <v>0.0147</v>
      </c>
    </row>
    <row r="17" s="1118" customFormat="1" spans="1:34">
      <c r="A17" s="1140" t="s">
        <v>2154</v>
      </c>
      <c r="B17" s="1144">
        <f t="shared" si="110"/>
        <v>464.372930171589</v>
      </c>
      <c r="C17" s="1144">
        <f t="shared" ref="C17" si="129">C18*(1+O17)</f>
        <v>344.73679941386</v>
      </c>
      <c r="D17" s="1144">
        <f t="shared" ref="D17" si="130">C17</f>
        <v>344.73679941386</v>
      </c>
      <c r="E17" s="1144">
        <f t="shared" ref="E17" si="131">E18*(1+P17)</f>
        <v>663.237779510311</v>
      </c>
      <c r="F17" s="1145">
        <f t="shared" ref="F17" si="132">F18*(1+Q17)</f>
        <v>304.759363114784</v>
      </c>
      <c r="G17" s="1146">
        <v>2018</v>
      </c>
      <c r="H17" s="1143">
        <v>4</v>
      </c>
      <c r="I17" s="1143">
        <v>0.96</v>
      </c>
      <c r="J17" s="1143">
        <v>1.03</v>
      </c>
      <c r="K17" s="1143">
        <v>0.92</v>
      </c>
      <c r="L17" s="1183">
        <v>1.29</v>
      </c>
      <c r="M17" s="1122"/>
      <c r="N17" s="1180">
        <f t="shared" ref="N17" si="133">I17/100</f>
        <v>0.0096</v>
      </c>
      <c r="O17" s="1181">
        <f t="shared" ref="O17" si="134">J17/100</f>
        <v>0.0103</v>
      </c>
      <c r="P17" s="1181">
        <f t="shared" ref="P17" si="135">K17/100</f>
        <v>0.0092</v>
      </c>
      <c r="Q17" s="1181">
        <f t="shared" ref="Q17" si="136">L17/100</f>
        <v>0.0129</v>
      </c>
      <c r="R17" s="1212"/>
      <c r="S17" s="1213"/>
      <c r="T17" s="1214"/>
      <c r="U17" s="1214"/>
      <c r="V17" s="1214"/>
      <c r="W17" s="1122"/>
      <c r="X17" s="1122">
        <f>ROUND(SUMPRODUCT(PRODUCT(1+N17:N$36)),4)</f>
        <v>1.5548</v>
      </c>
      <c r="Y17" s="1122">
        <f>ROUND(SUMPRODUCT(PRODUCT(1+O17:O$36)),4)</f>
        <v>1.3686</v>
      </c>
      <c r="Z17" s="1122">
        <f t="shared" si="88"/>
        <v>1.3686</v>
      </c>
      <c r="AA17" s="1122">
        <f>ROUND(SUMPRODUCT(PRODUCT(1+P17:P$36)),4)</f>
        <v>1.6197</v>
      </c>
      <c r="AB17" s="1122">
        <f>ROUND(SUMPRODUCT(PRODUCT(1+Q17:Q$36)),4)</f>
        <v>1.3436</v>
      </c>
      <c r="AC17" s="1122"/>
      <c r="AD17" s="1181">
        <f>ROUND(AVERAGE(I17:I$36)/100,4)</f>
        <v>0.0224</v>
      </c>
      <c r="AE17" s="1181">
        <f>ROUND(AVERAGE(J17:J$36)/100,4)</f>
        <v>0.0158</v>
      </c>
      <c r="AF17" s="1181">
        <f t="shared" ref="AF17" si="137">AE17</f>
        <v>0.0158</v>
      </c>
      <c r="AG17" s="1181">
        <f>ROUND(AVERAGE(K17:K$36)/100,4)</f>
        <v>0.0245</v>
      </c>
      <c r="AH17" s="1181">
        <f>ROUND(AVERAGE(L17:L$36)/100,4)</f>
        <v>0.0149</v>
      </c>
    </row>
    <row r="18" s="1118" customFormat="1" ht="14.45" customHeight="1" spans="1:34">
      <c r="A18" s="1140" t="s">
        <v>2155</v>
      </c>
      <c r="B18" s="1141">
        <f t="shared" si="110"/>
        <v>459.95733971037</v>
      </c>
      <c r="C18" s="1141">
        <f t="shared" ref="C18" si="138">C19*(1+O18)</f>
        <v>341.222210644224</v>
      </c>
      <c r="D18" s="1141">
        <f t="shared" ref="D18" si="139">C18</f>
        <v>341.222210644224</v>
      </c>
      <c r="E18" s="1141">
        <f t="shared" ref="E18" si="140">E19*(1+P18)</f>
        <v>657.191616637248</v>
      </c>
      <c r="F18" s="1141">
        <f t="shared" ref="F18" si="141">F19*(1+Q18)</f>
        <v>300.878036444648</v>
      </c>
      <c r="G18" s="1146"/>
      <c r="H18" s="1142">
        <v>3</v>
      </c>
      <c r="I18" s="1142">
        <v>1.51</v>
      </c>
      <c r="J18" s="1142">
        <v>1.41</v>
      </c>
      <c r="K18" s="1142">
        <v>1.52</v>
      </c>
      <c r="L18" s="1182">
        <v>1.74</v>
      </c>
      <c r="M18" s="1122"/>
      <c r="N18" s="1180">
        <f t="shared" ref="N18" si="142">I18/100</f>
        <v>0.0151</v>
      </c>
      <c r="O18" s="1181">
        <f t="shared" ref="O18" si="143">J18/100</f>
        <v>0.0141</v>
      </c>
      <c r="P18" s="1181">
        <f t="shared" ref="P18" si="144">K18/100</f>
        <v>0.0152</v>
      </c>
      <c r="Q18" s="1181">
        <f t="shared" ref="Q18" si="145">L18/100</f>
        <v>0.0174</v>
      </c>
      <c r="R18" s="1212"/>
      <c r="S18" s="1180"/>
      <c r="T18" s="1181"/>
      <c r="U18" s="1181"/>
      <c r="V18" s="1181"/>
      <c r="W18" s="1122"/>
      <c r="X18" s="1122">
        <f>ROUND(SUMPRODUCT(PRODUCT(1+N18:N$36)),4)</f>
        <v>1.54</v>
      </c>
      <c r="Y18" s="1122">
        <f>ROUND(SUMPRODUCT(PRODUCT(1+O18:O$36)),4)</f>
        <v>1.3547</v>
      </c>
      <c r="Z18" s="1122">
        <f t="shared" si="88"/>
        <v>1.3547</v>
      </c>
      <c r="AA18" s="1122">
        <f>ROUND(SUMPRODUCT(PRODUCT(1+P18:P$36)),4)</f>
        <v>1.605</v>
      </c>
      <c r="AB18" s="1122">
        <f>ROUND(SUMPRODUCT(PRODUCT(1+Q18:Q$36)),4)</f>
        <v>1.3265</v>
      </c>
      <c r="AC18" s="1122"/>
      <c r="AD18" s="1181">
        <f>ROUND(AVERAGE(I18:I$36)/100,4)</f>
        <v>0.0231</v>
      </c>
      <c r="AE18" s="1181">
        <f>ROUND(AVERAGE(J18:J$36)/100,4)</f>
        <v>0.0161</v>
      </c>
      <c r="AF18" s="1181">
        <f t="shared" ref="AF18" si="146">AE18</f>
        <v>0.0161</v>
      </c>
      <c r="AG18" s="1181">
        <f>ROUND(AVERAGE(K18:K$36)/100,4)</f>
        <v>0.0253</v>
      </c>
      <c r="AH18" s="1181">
        <f>ROUND(AVERAGE(L18:L$36)/100,4)</f>
        <v>0.015</v>
      </c>
    </row>
    <row r="19" s="1118" customFormat="1" ht="14.45" customHeight="1" spans="1:34">
      <c r="A19" s="1140" t="s">
        <v>2156</v>
      </c>
      <c r="B19" s="1141">
        <f t="shared" si="110"/>
        <v>453.1152987</v>
      </c>
      <c r="C19" s="1141">
        <f t="shared" ref="C19" si="147">C20*(1+O19)</f>
        <v>336.47787264</v>
      </c>
      <c r="D19" s="1141">
        <f t="shared" ref="D19" si="148">C19</f>
        <v>336.47787264</v>
      </c>
      <c r="E19" s="1141">
        <f t="shared" ref="E19" si="149">E20*(1+P19)</f>
        <v>647.35186824</v>
      </c>
      <c r="F19" s="1141">
        <f t="shared" ref="F19" si="150">F20*(1+Q19)</f>
        <v>295.73229452</v>
      </c>
      <c r="G19" s="1146"/>
      <c r="H19" s="1147">
        <v>2</v>
      </c>
      <c r="I19" s="1147">
        <v>1.49</v>
      </c>
      <c r="J19" s="1147">
        <v>0.96</v>
      </c>
      <c r="K19" s="1147">
        <v>1.58</v>
      </c>
      <c r="L19" s="1184">
        <v>2.44</v>
      </c>
      <c r="M19" s="1122"/>
      <c r="N19" s="1180">
        <f t="shared" ref="N19" si="151">I19/100</f>
        <v>0.0149</v>
      </c>
      <c r="O19" s="1181">
        <f t="shared" ref="O19" si="152">J19/100</f>
        <v>0.0096</v>
      </c>
      <c r="P19" s="1181">
        <f t="shared" ref="P19" si="153">K19/100</f>
        <v>0.0158</v>
      </c>
      <c r="Q19" s="1181">
        <f t="shared" ref="Q19" si="154">L19/100</f>
        <v>0.0244</v>
      </c>
      <c r="R19" s="1212"/>
      <c r="S19" s="1180"/>
      <c r="T19" s="1181"/>
      <c r="U19" s="1181"/>
      <c r="V19" s="1181"/>
      <c r="W19" s="1122"/>
      <c r="X19" s="1122">
        <f>ROUND(SUMPRODUCT(PRODUCT(1+N19:N$36)),4)</f>
        <v>1.5171</v>
      </c>
      <c r="Y19" s="1122">
        <f>ROUND(SUMPRODUCT(PRODUCT(1+O19:O$36)),4)</f>
        <v>1.3358</v>
      </c>
      <c r="Z19" s="1122">
        <f t="shared" si="88"/>
        <v>1.3358</v>
      </c>
      <c r="AA19" s="1122">
        <f>ROUND(SUMPRODUCT(PRODUCT(1+P19:P$36)),4)</f>
        <v>1.5809</v>
      </c>
      <c r="AB19" s="1122">
        <f>ROUND(SUMPRODUCT(PRODUCT(1+Q19:Q$36)),4)</f>
        <v>1.3038</v>
      </c>
      <c r="AC19" s="1122"/>
      <c r="AD19" s="1181">
        <f>ROUND(AVERAGE(I19:I$36)/100,4)</f>
        <v>0.0235</v>
      </c>
      <c r="AE19" s="1181">
        <f>ROUND(AVERAGE(J19:J$36)/100,4)</f>
        <v>0.0162</v>
      </c>
      <c r="AF19" s="1181">
        <f t="shared" ref="AF19" si="155">AE19</f>
        <v>0.0162</v>
      </c>
      <c r="AG19" s="1181">
        <f>ROUND(AVERAGE(K19:K$36)/100,4)</f>
        <v>0.0259</v>
      </c>
      <c r="AH19" s="1181">
        <f>ROUND(AVERAGE(L19:L$36)/100,4)</f>
        <v>0.0149</v>
      </c>
    </row>
    <row r="20" s="1118" customFormat="1" ht="15" customHeight="1" spans="1:34">
      <c r="A20" s="1140" t="s">
        <v>2157</v>
      </c>
      <c r="B20" s="1141">
        <f t="shared" si="110"/>
        <v>446.463</v>
      </c>
      <c r="C20" s="1141">
        <f t="shared" ref="C20" si="156">C21*(1+O20)</f>
        <v>333.2784</v>
      </c>
      <c r="D20" s="1141">
        <f t="shared" ref="D20:D25" si="157">C20</f>
        <v>333.2784</v>
      </c>
      <c r="E20" s="1141">
        <f t="shared" ref="E20" si="158">E21*(1+P20)</f>
        <v>637.2828</v>
      </c>
      <c r="F20" s="1141">
        <f t="shared" ref="F20" si="159">F21*(1+Q20)</f>
        <v>288.6883</v>
      </c>
      <c r="G20" s="1148"/>
      <c r="H20" s="1142">
        <v>1</v>
      </c>
      <c r="I20" s="1142">
        <v>1.7</v>
      </c>
      <c r="J20" s="1142">
        <v>1.92</v>
      </c>
      <c r="K20" s="1142">
        <v>1.64</v>
      </c>
      <c r="L20" s="1182">
        <v>2.01</v>
      </c>
      <c r="M20" s="1122"/>
      <c r="N20" s="1180">
        <f t="shared" ref="N20:N25" si="160">I20/100</f>
        <v>0.017</v>
      </c>
      <c r="O20" s="1181">
        <f t="shared" ref="O20" si="161">J20/100</f>
        <v>0.0192</v>
      </c>
      <c r="P20" s="1181">
        <f t="shared" ref="P20" si="162">K20/100</f>
        <v>0.0164</v>
      </c>
      <c r="Q20" s="1181">
        <f t="shared" ref="Q20" si="163">L20/100</f>
        <v>0.0201</v>
      </c>
      <c r="R20" s="1212"/>
      <c r="S20" s="1188">
        <f>B20/B21-1</f>
        <v>0.0169999999999999</v>
      </c>
      <c r="T20" s="1189">
        <f>C20/C21-1</f>
        <v>0.0192000000000001</v>
      </c>
      <c r="U20" s="1189">
        <f>E20/E21-1</f>
        <v>0.0164</v>
      </c>
      <c r="V20" s="1189">
        <f>F20/F21-1</f>
        <v>0.0201</v>
      </c>
      <c r="W20" s="1122"/>
      <c r="X20" s="1122">
        <f>ROUND(SUMPRODUCT(PRODUCT(1+N20:N$36)),4)</f>
        <v>1.4948</v>
      </c>
      <c r="Y20" s="1122">
        <f>ROUND(SUMPRODUCT(PRODUCT(1+O20:O$36)),4)</f>
        <v>1.3231</v>
      </c>
      <c r="Z20" s="1122">
        <f t="shared" si="88"/>
        <v>1.3231</v>
      </c>
      <c r="AA20" s="1122">
        <f>ROUND(SUMPRODUCT(PRODUCT(1+P20:P$36)),4)</f>
        <v>1.5564</v>
      </c>
      <c r="AB20" s="1122">
        <f>ROUND(SUMPRODUCT(PRODUCT(1+Q20:Q$36)),4)</f>
        <v>1.2727</v>
      </c>
      <c r="AC20" s="1122"/>
      <c r="AD20" s="1181">
        <f>ROUND(AVERAGE(I20:I$36)/100,4)</f>
        <v>0.024</v>
      </c>
      <c r="AE20" s="1181">
        <f>ROUND(AVERAGE(J20:J$36)/100,4)</f>
        <v>0.0166</v>
      </c>
      <c r="AF20" s="1181">
        <f t="shared" ref="AF20" si="164">AE20</f>
        <v>0.0166</v>
      </c>
      <c r="AG20" s="1181">
        <f>ROUND(AVERAGE(K20:K$36)/100,4)</f>
        <v>0.0265</v>
      </c>
      <c r="AH20" s="1181">
        <f>ROUND(AVERAGE(L20:L$36)/100,4)</f>
        <v>0.0143</v>
      </c>
    </row>
    <row r="21" spans="1:34">
      <c r="A21" s="1140" t="s">
        <v>2158</v>
      </c>
      <c r="B21" s="1149">
        <v>439</v>
      </c>
      <c r="C21" s="1149">
        <v>327</v>
      </c>
      <c r="D21" s="1149">
        <f t="shared" si="157"/>
        <v>327</v>
      </c>
      <c r="E21" s="1149">
        <v>627</v>
      </c>
      <c r="F21" s="1150">
        <v>283</v>
      </c>
      <c r="G21" s="1151">
        <v>2017</v>
      </c>
      <c r="H21" s="1143">
        <v>4</v>
      </c>
      <c r="I21" s="1143">
        <v>1.71</v>
      </c>
      <c r="J21" s="1143">
        <v>1.78</v>
      </c>
      <c r="K21" s="1143">
        <v>1.71</v>
      </c>
      <c r="L21" s="1183">
        <v>1.43</v>
      </c>
      <c r="N21" s="1185">
        <f t="shared" si="160"/>
        <v>0.0171</v>
      </c>
      <c r="O21" s="1186">
        <f t="shared" ref="O21" si="165">J21/100</f>
        <v>0.0178</v>
      </c>
      <c r="P21" s="1186">
        <f t="shared" ref="P21" si="166">K21/100</f>
        <v>0.0171</v>
      </c>
      <c r="Q21" s="1186">
        <f t="shared" ref="Q21" si="167">L21/100</f>
        <v>0.0143</v>
      </c>
      <c r="R21" s="1212"/>
      <c r="S21" s="1213"/>
      <c r="T21" s="1214"/>
      <c r="U21" s="1214"/>
      <c r="V21" s="1214"/>
      <c r="X21" s="1122">
        <f>ROUND(SUMPRODUCT(PRODUCT(1+N21:N$36)),4)</f>
        <v>1.4698</v>
      </c>
      <c r="Y21" s="1122">
        <f>ROUND(SUMPRODUCT(PRODUCT(1+O21:O$36)),4)</f>
        <v>1.2982</v>
      </c>
      <c r="Z21" s="1122">
        <f t="shared" si="88"/>
        <v>1.2982</v>
      </c>
      <c r="AA21" s="1122">
        <f>ROUND(SUMPRODUCT(PRODUCT(1+P21:P$36)),4)</f>
        <v>1.5312</v>
      </c>
      <c r="AB21" s="1122">
        <f>ROUND(SUMPRODUCT(PRODUCT(1+Q21:Q$36)),4)</f>
        <v>1.2476</v>
      </c>
      <c r="AD21" s="1181">
        <f>ROUND(AVERAGE(I21:I$36)/100,4)</f>
        <v>0.0245</v>
      </c>
      <c r="AE21" s="1181">
        <f>ROUND(AVERAGE(J21:J$36)/100,4)</f>
        <v>0.0165</v>
      </c>
      <c r="AF21" s="1181">
        <f t="shared" si="1"/>
        <v>0.0165</v>
      </c>
      <c r="AG21" s="1181">
        <f>ROUND(AVERAGE(K21:K$36)/100,4)</f>
        <v>0.0271</v>
      </c>
      <c r="AH21" s="1181">
        <f>ROUND(AVERAGE(L21:L$36)/100,4)</f>
        <v>0.0139</v>
      </c>
    </row>
    <row r="22" s="1118" customFormat="1" ht="14.45" customHeight="1" spans="1:34">
      <c r="A22" s="1140" t="s">
        <v>2159</v>
      </c>
      <c r="B22" s="1141">
        <f t="shared" ref="B22:C24" si="168">B23*(1+N22)</f>
        <v>431.8073081168</v>
      </c>
      <c r="C22" s="1141">
        <f t="shared" si="168"/>
        <v>320.5788051648</v>
      </c>
      <c r="D22" s="1141">
        <f t="shared" si="157"/>
        <v>320.5788051648</v>
      </c>
      <c r="E22" s="1141">
        <f t="shared" ref="E22:F24" si="169">E23*(1+P22)</f>
        <v>615.961105531968</v>
      </c>
      <c r="F22" s="1141">
        <f t="shared" si="169"/>
        <v>279.467773001088</v>
      </c>
      <c r="G22" s="1146"/>
      <c r="H22" s="1142">
        <v>3</v>
      </c>
      <c r="I22" s="1142">
        <v>2.98</v>
      </c>
      <c r="J22" s="1142">
        <v>2.11</v>
      </c>
      <c r="K22" s="1142">
        <v>3.24</v>
      </c>
      <c r="L22" s="1182">
        <v>1.72</v>
      </c>
      <c r="M22" s="1122"/>
      <c r="N22" s="1180">
        <f t="shared" si="160"/>
        <v>0.0298</v>
      </c>
      <c r="O22" s="1187">
        <f t="shared" ref="O22:O23" si="170">J22/100</f>
        <v>0.0211</v>
      </c>
      <c r="P22" s="1187">
        <f t="shared" ref="P22:P23" si="171">K22/100</f>
        <v>0.0324</v>
      </c>
      <c r="Q22" s="1187">
        <f t="shared" ref="Q22:Q23" si="172">L22/100</f>
        <v>0.0172</v>
      </c>
      <c r="R22" s="1212"/>
      <c r="S22" s="1180"/>
      <c r="T22" s="1181"/>
      <c r="U22" s="1181"/>
      <c r="V22" s="1181"/>
      <c r="W22" s="1122"/>
      <c r="X22" s="1122">
        <f>ROUND(SUMPRODUCT(PRODUCT(1+N22:N$36)),4)</f>
        <v>1.4451</v>
      </c>
      <c r="Y22" s="1122">
        <f>ROUND(SUMPRODUCT(PRODUCT(1+O22:O$36)),4)</f>
        <v>1.2755</v>
      </c>
      <c r="Z22" s="1122">
        <f t="shared" si="88"/>
        <v>1.2755</v>
      </c>
      <c r="AA22" s="1122">
        <f>ROUND(SUMPRODUCT(PRODUCT(1+P22:P$36)),4)</f>
        <v>1.5055</v>
      </c>
      <c r="AB22" s="1122">
        <f>ROUND(SUMPRODUCT(PRODUCT(1+Q22:Q$36)),4)</f>
        <v>1.2301</v>
      </c>
      <c r="AC22" s="1122"/>
      <c r="AD22" s="1181">
        <f>ROUND(AVERAGE(I22:I$36)/100,4)</f>
        <v>0.0249</v>
      </c>
      <c r="AE22" s="1181">
        <f>ROUND(AVERAGE(J22:J$36)/100,4)</f>
        <v>0.0164</v>
      </c>
      <c r="AF22" s="1181">
        <f t="shared" si="1"/>
        <v>0.0164</v>
      </c>
      <c r="AG22" s="1181">
        <f>ROUND(AVERAGE(K22:K$36)/100,4)</f>
        <v>0.0278</v>
      </c>
      <c r="AH22" s="1181">
        <f>ROUND(AVERAGE(L22:L$36)/100,4)</f>
        <v>0.0139</v>
      </c>
    </row>
    <row r="23" s="1113" customFormat="1" ht="14.45" customHeight="1" spans="1:34">
      <c r="A23" s="1140" t="s">
        <v>2160</v>
      </c>
      <c r="B23" s="1141">
        <f t="shared" si="168"/>
        <v>419.311816</v>
      </c>
      <c r="C23" s="1141">
        <f t="shared" si="168"/>
        <v>313.954368</v>
      </c>
      <c r="D23" s="1141">
        <f t="shared" si="157"/>
        <v>313.954368</v>
      </c>
      <c r="E23" s="1141">
        <f t="shared" si="169"/>
        <v>596.63028432</v>
      </c>
      <c r="F23" s="1141">
        <f t="shared" si="169"/>
        <v>274.74220704</v>
      </c>
      <c r="G23" s="1146"/>
      <c r="H23" s="1147">
        <v>2</v>
      </c>
      <c r="I23" s="1147">
        <v>3.4</v>
      </c>
      <c r="J23" s="1147">
        <v>2</v>
      </c>
      <c r="K23" s="1147">
        <v>3.82</v>
      </c>
      <c r="L23" s="1184">
        <v>1.68</v>
      </c>
      <c r="N23" s="1180">
        <f t="shared" si="160"/>
        <v>0.034</v>
      </c>
      <c r="O23" s="1187">
        <f t="shared" si="170"/>
        <v>0.02</v>
      </c>
      <c r="P23" s="1187">
        <f t="shared" si="171"/>
        <v>0.0382</v>
      </c>
      <c r="Q23" s="1187">
        <f t="shared" si="172"/>
        <v>0.0168</v>
      </c>
      <c r="S23" s="1180"/>
      <c r="T23" s="1181"/>
      <c r="U23" s="1181"/>
      <c r="V23" s="1181"/>
      <c r="X23" s="1122">
        <f>ROUND(SUMPRODUCT(PRODUCT(1+N23:N$36)),4)</f>
        <v>1.4033</v>
      </c>
      <c r="Y23" s="1122">
        <f>ROUND(SUMPRODUCT(PRODUCT(1+O23:O$36)),4)</f>
        <v>1.2491</v>
      </c>
      <c r="Z23" s="1122">
        <f t="shared" si="88"/>
        <v>1.2491</v>
      </c>
      <c r="AA23" s="1122">
        <f>ROUND(SUMPRODUCT(PRODUCT(1+P23:P$36)),4)</f>
        <v>1.4582</v>
      </c>
      <c r="AB23" s="1122">
        <f>ROUND(SUMPRODUCT(PRODUCT(1+Q23:Q$36)),4)</f>
        <v>1.2093</v>
      </c>
      <c r="AD23" s="1181">
        <f>ROUND(AVERAGE(I23:I$36)/100,4)</f>
        <v>0.0246</v>
      </c>
      <c r="AE23" s="1181">
        <f>ROUND(AVERAGE(J23:J$36)/100,4)</f>
        <v>0.016</v>
      </c>
      <c r="AF23" s="1181">
        <f t="shared" si="1"/>
        <v>0.016</v>
      </c>
      <c r="AG23" s="1181">
        <f>ROUND(AVERAGE(K23:K$36)/100,4)</f>
        <v>0.0275</v>
      </c>
      <c r="AH23" s="1181">
        <f>ROUND(AVERAGE(L23:L$36)/100,4)</f>
        <v>0.0137</v>
      </c>
    </row>
    <row r="24" s="1118" customFormat="1" ht="15" customHeight="1" spans="1:34">
      <c r="A24" s="1140" t="s">
        <v>2161</v>
      </c>
      <c r="B24" s="1141">
        <f t="shared" si="168"/>
        <v>405.524</v>
      </c>
      <c r="C24" s="1141">
        <f t="shared" si="168"/>
        <v>307.7984</v>
      </c>
      <c r="D24" s="1141">
        <f t="shared" si="157"/>
        <v>307.7984</v>
      </c>
      <c r="E24" s="1141">
        <f t="shared" si="169"/>
        <v>574.6776</v>
      </c>
      <c r="F24" s="1141">
        <f t="shared" si="169"/>
        <v>270.2028</v>
      </c>
      <c r="G24" s="1148"/>
      <c r="H24" s="1142">
        <v>1</v>
      </c>
      <c r="I24" s="1142">
        <v>3.45</v>
      </c>
      <c r="J24" s="1142">
        <v>1.92</v>
      </c>
      <c r="K24" s="1142">
        <v>3.92</v>
      </c>
      <c r="L24" s="1182">
        <v>1.58</v>
      </c>
      <c r="M24" s="1122"/>
      <c r="N24" s="1188">
        <f t="shared" si="160"/>
        <v>0.0345</v>
      </c>
      <c r="O24" s="1189">
        <f t="shared" ref="O24" si="173">J24/100</f>
        <v>0.0192</v>
      </c>
      <c r="P24" s="1189">
        <f t="shared" ref="P24" si="174">K24/100</f>
        <v>0.0392</v>
      </c>
      <c r="Q24" s="1189">
        <f t="shared" ref="Q24" si="175">L24/100</f>
        <v>0.0158</v>
      </c>
      <c r="R24" s="1212"/>
      <c r="S24" s="1188">
        <f>B24/B25-1</f>
        <v>0.0345</v>
      </c>
      <c r="T24" s="1189">
        <f>C24/C25-1</f>
        <v>0.0192000000000001</v>
      </c>
      <c r="U24" s="1189">
        <f>E24/E25-1</f>
        <v>0.0391999999999999</v>
      </c>
      <c r="V24" s="1189">
        <f>F24/F25-1</f>
        <v>0.0158</v>
      </c>
      <c r="W24" s="1122"/>
      <c r="X24" s="1122">
        <f>ROUND(SUMPRODUCT(PRODUCT(1+N24:N$36)),4)</f>
        <v>1.3571</v>
      </c>
      <c r="Y24" s="1122">
        <f>ROUND(SUMPRODUCT(PRODUCT(1+O24:O$36)),4)</f>
        <v>1.2246</v>
      </c>
      <c r="Z24" s="1122">
        <f t="shared" si="88"/>
        <v>1.2246</v>
      </c>
      <c r="AA24" s="1122">
        <f>ROUND(SUMPRODUCT(PRODUCT(1+P24:P$36)),4)</f>
        <v>1.4046</v>
      </c>
      <c r="AB24" s="1122">
        <f>ROUND(SUMPRODUCT(PRODUCT(1+Q24:Q$36)),4)</f>
        <v>1.1893</v>
      </c>
      <c r="AC24" s="1122"/>
      <c r="AD24" s="1181">
        <f>ROUND(AVERAGE(I24:I$36)/100,4)</f>
        <v>0.0239</v>
      </c>
      <c r="AE24" s="1181">
        <f>ROUND(AVERAGE(J24:J$36)/100,4)</f>
        <v>0.0157</v>
      </c>
      <c r="AF24" s="1181">
        <f t="shared" si="1"/>
        <v>0.0157</v>
      </c>
      <c r="AG24" s="1181">
        <f>ROUND(AVERAGE(K24:K$36)/100,4)</f>
        <v>0.0266</v>
      </c>
      <c r="AH24" s="1181">
        <f>ROUND(AVERAGE(L24:L$36)/100,4)</f>
        <v>0.0134</v>
      </c>
    </row>
    <row r="25" spans="1:34">
      <c r="A25" s="1140" t="s">
        <v>2162</v>
      </c>
      <c r="B25" s="1152">
        <v>392</v>
      </c>
      <c r="C25" s="1152">
        <v>302</v>
      </c>
      <c r="D25" s="1152">
        <f t="shared" si="157"/>
        <v>302</v>
      </c>
      <c r="E25" s="1152">
        <v>553</v>
      </c>
      <c r="F25" s="1153">
        <v>266</v>
      </c>
      <c r="G25" s="1151">
        <v>2016</v>
      </c>
      <c r="H25" s="1143">
        <v>4</v>
      </c>
      <c r="I25" s="1143">
        <v>4.56</v>
      </c>
      <c r="J25" s="1143">
        <v>2.15</v>
      </c>
      <c r="K25" s="1143">
        <v>5.32</v>
      </c>
      <c r="L25" s="1183">
        <v>1.57</v>
      </c>
      <c r="N25" s="1180">
        <f t="shared" si="160"/>
        <v>0.0456</v>
      </c>
      <c r="O25" s="1181">
        <f t="shared" ref="O25:Q40" si="176">J25/100</f>
        <v>0.0215</v>
      </c>
      <c r="P25" s="1181">
        <f t="shared" si="176"/>
        <v>0.0532</v>
      </c>
      <c r="Q25" s="1181">
        <f t="shared" si="176"/>
        <v>0.0157</v>
      </c>
      <c r="R25" s="1212"/>
      <c r="S25" s="1213"/>
      <c r="T25" s="1214"/>
      <c r="U25" s="1214"/>
      <c r="V25" s="1214"/>
      <c r="X25" s="1122">
        <f>ROUND(SUMPRODUCT(PRODUCT(1+N25:N$36)),4)</f>
        <v>1.3119</v>
      </c>
      <c r="Y25" s="1122">
        <f>ROUND(SUMPRODUCT(PRODUCT(1+O25:O$36)),4)</f>
        <v>1.2016</v>
      </c>
      <c r="Z25" s="1122">
        <f t="shared" si="88"/>
        <v>1.2016</v>
      </c>
      <c r="AA25" s="1122">
        <f>ROUND(SUMPRODUCT(PRODUCT(1+P25:P$36)),4)</f>
        <v>1.3516</v>
      </c>
      <c r="AB25" s="1122">
        <f>ROUND(SUMPRODUCT(PRODUCT(1+Q25:Q$36)),4)</f>
        <v>1.1708</v>
      </c>
      <c r="AD25" s="1181">
        <f>ROUND(AVERAGE(I25:I$36)/100,4)</f>
        <v>0.023</v>
      </c>
      <c r="AE25" s="1181">
        <f>ROUND(AVERAGE(J25:J$36)/100,4)</f>
        <v>0.0155</v>
      </c>
      <c r="AF25" s="1181">
        <f t="shared" si="1"/>
        <v>0.0155</v>
      </c>
      <c r="AG25" s="1181">
        <f>ROUND(AVERAGE(K25:K$36)/100,4)</f>
        <v>0.0256</v>
      </c>
      <c r="AH25" s="1181">
        <f>ROUND(AVERAGE(L25:L$36)/100,4)</f>
        <v>0.0132</v>
      </c>
    </row>
    <row r="26" spans="1:34">
      <c r="A26" s="1140" t="s">
        <v>2163</v>
      </c>
      <c r="B26" s="1141">
        <f t="shared" ref="B26:C28" si="177">B25/(1+N25)</f>
        <v>374.904361132364</v>
      </c>
      <c r="C26" s="1141">
        <f t="shared" si="177"/>
        <v>295.643661282428</v>
      </c>
      <c r="D26" s="1141">
        <f t="shared" ref="D26:D85" si="178">C26</f>
        <v>295.643661282428</v>
      </c>
      <c r="E26" s="1141">
        <f t="shared" ref="E26:F28" si="179">E25/(1+P25)</f>
        <v>525.066464109381</v>
      </c>
      <c r="F26" s="1141">
        <f t="shared" si="179"/>
        <v>261.888352860096</v>
      </c>
      <c r="G26" s="1146"/>
      <c r="H26" s="1142">
        <v>3</v>
      </c>
      <c r="I26" s="1142">
        <v>4.12</v>
      </c>
      <c r="J26" s="1142">
        <v>2</v>
      </c>
      <c r="K26" s="1142">
        <v>4.79</v>
      </c>
      <c r="L26" s="1182">
        <v>1.97</v>
      </c>
      <c r="N26" s="1180">
        <f t="shared" ref="N26:Q60" si="180">I26/100</f>
        <v>0.0412</v>
      </c>
      <c r="O26" s="1181">
        <f t="shared" si="176"/>
        <v>0.02</v>
      </c>
      <c r="P26" s="1181">
        <f t="shared" si="176"/>
        <v>0.0479</v>
      </c>
      <c r="Q26" s="1181">
        <f t="shared" si="176"/>
        <v>0.0197</v>
      </c>
      <c r="R26" s="1212"/>
      <c r="S26" s="1180"/>
      <c r="T26" s="1181"/>
      <c r="U26" s="1181"/>
      <c r="V26" s="1181"/>
      <c r="X26" s="1122">
        <f>ROUND(SUMPRODUCT(PRODUCT(1+N26:N$36)),4)</f>
        <v>1.2547</v>
      </c>
      <c r="Y26" s="1122">
        <f>ROUND(SUMPRODUCT(PRODUCT(1+O26:O$36)),4)</f>
        <v>1.1763</v>
      </c>
      <c r="Z26" s="1122">
        <f t="shared" si="88"/>
        <v>1.1763</v>
      </c>
      <c r="AA26" s="1122">
        <f>ROUND(SUMPRODUCT(PRODUCT(1+P26:P$36)),4)</f>
        <v>1.2833</v>
      </c>
      <c r="AB26" s="1122">
        <f>ROUND(SUMPRODUCT(PRODUCT(1+Q26:Q$36)),4)</f>
        <v>1.1527</v>
      </c>
      <c r="AD26" s="1181">
        <f>ROUND(AVERAGE(I26:I$36)/100,4)</f>
        <v>0.0209</v>
      </c>
      <c r="AE26" s="1181">
        <f>ROUND(AVERAGE(J26:J$36)/100,4)</f>
        <v>0.0149</v>
      </c>
      <c r="AF26" s="1181">
        <f t="shared" si="1"/>
        <v>0.0149</v>
      </c>
      <c r="AG26" s="1181">
        <f>ROUND(AVERAGE(K26:K$36)/100,4)</f>
        <v>0.0231</v>
      </c>
      <c r="AH26" s="1181">
        <f>ROUND(AVERAGE(L26:L$36)/100,4)</f>
        <v>0.013</v>
      </c>
    </row>
    <row r="27" spans="1:34">
      <c r="A27" s="1140" t="s">
        <v>2164</v>
      </c>
      <c r="B27" s="1141">
        <f t="shared" si="177"/>
        <v>360.069497822094</v>
      </c>
      <c r="C27" s="1141">
        <f t="shared" si="177"/>
        <v>289.846726747478</v>
      </c>
      <c r="D27" s="1141">
        <f t="shared" si="178"/>
        <v>289.846726747478</v>
      </c>
      <c r="E27" s="1141">
        <f t="shared" si="179"/>
        <v>501.065430011815</v>
      </c>
      <c r="F27" s="1141">
        <f t="shared" si="179"/>
        <v>256.82882500745</v>
      </c>
      <c r="G27" s="1146"/>
      <c r="H27" s="1147">
        <v>2</v>
      </c>
      <c r="I27" s="1147">
        <v>3.85</v>
      </c>
      <c r="J27" s="1147">
        <v>1.95</v>
      </c>
      <c r="K27" s="1147">
        <v>4.48</v>
      </c>
      <c r="L27" s="1184">
        <v>1.41</v>
      </c>
      <c r="N27" s="1180">
        <f t="shared" si="180"/>
        <v>0.0385</v>
      </c>
      <c r="O27" s="1181">
        <f t="shared" si="176"/>
        <v>0.0195</v>
      </c>
      <c r="P27" s="1181">
        <f t="shared" si="176"/>
        <v>0.0448</v>
      </c>
      <c r="Q27" s="1181">
        <f t="shared" si="176"/>
        <v>0.0141</v>
      </c>
      <c r="R27" s="1212"/>
      <c r="S27" s="1180"/>
      <c r="T27" s="1181"/>
      <c r="U27" s="1181"/>
      <c r="V27" s="1181"/>
      <c r="X27" s="1122">
        <f>ROUND(SUMPRODUCT(PRODUCT(1+N27:N$36)),4)</f>
        <v>1.205</v>
      </c>
      <c r="Y27" s="1122">
        <f>ROUND(SUMPRODUCT(PRODUCT(1+O27:O$36)),4)</f>
        <v>1.1532</v>
      </c>
      <c r="Z27" s="1122">
        <f t="shared" si="88"/>
        <v>1.1532</v>
      </c>
      <c r="AA27" s="1122">
        <f>ROUND(SUMPRODUCT(PRODUCT(1+P27:P$36)),4)</f>
        <v>1.2247</v>
      </c>
      <c r="AB27" s="1122">
        <f>ROUND(SUMPRODUCT(PRODUCT(1+Q27:Q$36)),4)</f>
        <v>1.1304</v>
      </c>
      <c r="AD27" s="1181">
        <f>ROUND(AVERAGE(I27:I$36)/100,4)</f>
        <v>0.0189</v>
      </c>
      <c r="AE27" s="1181">
        <f>ROUND(AVERAGE(J27:J$36)/100,4)</f>
        <v>0.0144</v>
      </c>
      <c r="AF27" s="1181">
        <f t="shared" si="1"/>
        <v>0.0144</v>
      </c>
      <c r="AG27" s="1181">
        <f>ROUND(AVERAGE(K27:K$36)/100,4)</f>
        <v>0.0206</v>
      </c>
      <c r="AH27" s="1181">
        <f>ROUND(AVERAGE(L27:L$36)/100,4)</f>
        <v>0.0123</v>
      </c>
    </row>
    <row r="28" ht="13.5" spans="1:34">
      <c r="A28" s="1140" t="s">
        <v>2165</v>
      </c>
      <c r="B28" s="1141">
        <f t="shared" si="177"/>
        <v>346.720748986128</v>
      </c>
      <c r="C28" s="1141">
        <f t="shared" si="177"/>
        <v>284.302821723863</v>
      </c>
      <c r="D28" s="1141">
        <f t="shared" si="178"/>
        <v>284.302821723863</v>
      </c>
      <c r="E28" s="1141">
        <f t="shared" si="179"/>
        <v>479.580235463069</v>
      </c>
      <c r="F28" s="1141">
        <f t="shared" si="179"/>
        <v>253.257888775712</v>
      </c>
      <c r="G28" s="1154"/>
      <c r="H28" s="1142">
        <v>1</v>
      </c>
      <c r="I28" s="1142">
        <v>4.09</v>
      </c>
      <c r="J28" s="1142">
        <v>2.93</v>
      </c>
      <c r="K28" s="1142">
        <v>4.54</v>
      </c>
      <c r="L28" s="1182">
        <v>1.48</v>
      </c>
      <c r="N28" s="1180">
        <f t="shared" si="180"/>
        <v>0.0409</v>
      </c>
      <c r="O28" s="1181">
        <f t="shared" si="176"/>
        <v>0.0293</v>
      </c>
      <c r="P28" s="1181">
        <f t="shared" si="176"/>
        <v>0.0454</v>
      </c>
      <c r="Q28" s="1181">
        <f t="shared" si="176"/>
        <v>0.0148</v>
      </c>
      <c r="R28" s="1212"/>
      <c r="S28" s="1188">
        <f>B28/B29-1</f>
        <v>0.0412034504087928</v>
      </c>
      <c r="T28" s="1189">
        <f>C28/C29-1</f>
        <v>0.0263639773424651</v>
      </c>
      <c r="U28" s="1189">
        <f>E28/E29-1</f>
        <v>0.0448371142986264</v>
      </c>
      <c r="V28" s="1189">
        <f>F28/F29-1</f>
        <v>0.0170999549225386</v>
      </c>
      <c r="X28" s="1122">
        <f>ROUND(SUMPRODUCT(PRODUCT(1+N28:N$36)),4)</f>
        <v>1.1604</v>
      </c>
      <c r="Y28" s="1122">
        <f>ROUND(SUMPRODUCT(PRODUCT(1+O28:O$36)),4)</f>
        <v>1.1312</v>
      </c>
      <c r="Z28" s="1122">
        <f t="shared" si="88"/>
        <v>1.1312</v>
      </c>
      <c r="AA28" s="1122">
        <f>ROUND(SUMPRODUCT(PRODUCT(1+P28:P$36)),4)</f>
        <v>1.1722</v>
      </c>
      <c r="AB28" s="1122">
        <f>ROUND(SUMPRODUCT(PRODUCT(1+Q28:Q$36)),4)</f>
        <v>1.1147</v>
      </c>
      <c r="AD28" s="1181">
        <f>ROUND(AVERAGE(I28:I$36)/100,4)</f>
        <v>0.0167</v>
      </c>
      <c r="AE28" s="1181">
        <f>ROUND(AVERAGE(J28:J$36)/100,4)</f>
        <v>0.0138</v>
      </c>
      <c r="AF28" s="1181">
        <f t="shared" si="1"/>
        <v>0.0138</v>
      </c>
      <c r="AG28" s="1181">
        <f>ROUND(AVERAGE(K28:K$36)/100,4)</f>
        <v>0.0179</v>
      </c>
      <c r="AH28" s="1181">
        <f>ROUND(AVERAGE(L28:L$36)/100,4)</f>
        <v>0.0121</v>
      </c>
    </row>
    <row r="29" ht="13.5" spans="1:34">
      <c r="A29" s="1140" t="s">
        <v>2166</v>
      </c>
      <c r="B29" s="1152">
        <v>333</v>
      </c>
      <c r="C29" s="1152">
        <v>277</v>
      </c>
      <c r="D29" s="1152">
        <f t="shared" si="178"/>
        <v>277</v>
      </c>
      <c r="E29" s="1152">
        <v>459</v>
      </c>
      <c r="F29" s="1153">
        <v>249</v>
      </c>
      <c r="G29" s="1155">
        <v>2015</v>
      </c>
      <c r="H29" s="1156">
        <v>4</v>
      </c>
      <c r="I29" s="1156">
        <v>1.63</v>
      </c>
      <c r="J29" s="1156">
        <v>1.11</v>
      </c>
      <c r="K29" s="1156">
        <v>1.77</v>
      </c>
      <c r="L29" s="1190">
        <v>1.89</v>
      </c>
      <c r="N29" s="1185">
        <f t="shared" si="180"/>
        <v>0.0163</v>
      </c>
      <c r="O29" s="1186">
        <f t="shared" si="176"/>
        <v>0.0111</v>
      </c>
      <c r="P29" s="1186">
        <f t="shared" si="176"/>
        <v>0.0177</v>
      </c>
      <c r="Q29" s="1186">
        <f t="shared" si="176"/>
        <v>0.0189</v>
      </c>
      <c r="R29" s="1212"/>
      <c r="X29" s="1122">
        <f>ROUND(SUMPRODUCT(PRODUCT(1+N29:N$36)),4)</f>
        <v>1.1148</v>
      </c>
      <c r="Y29" s="1122">
        <f>ROUND(SUMPRODUCT(PRODUCT(1+O29:O$36)),4)</f>
        <v>1.099</v>
      </c>
      <c r="Z29" s="1122">
        <f t="shared" si="88"/>
        <v>1.099</v>
      </c>
      <c r="AA29" s="1122">
        <f>ROUND(SUMPRODUCT(PRODUCT(1+P29:P$36)),4)</f>
        <v>1.1213</v>
      </c>
      <c r="AB29" s="1122">
        <f>ROUND(SUMPRODUCT(PRODUCT(1+Q29:Q$36)),4)</f>
        <v>1.0984</v>
      </c>
      <c r="AD29" s="1181">
        <f>ROUND(AVERAGE(I29:I$36)/100,4)</f>
        <v>0.0137</v>
      </c>
      <c r="AE29" s="1181">
        <f>ROUND(AVERAGE(J29:J$36)/100,4)</f>
        <v>0.0119</v>
      </c>
      <c r="AF29" s="1181">
        <f t="shared" si="1"/>
        <v>0.0119</v>
      </c>
      <c r="AG29" s="1181">
        <f>ROUND(AVERAGE(K29:K$36)/100,4)</f>
        <v>0.0145</v>
      </c>
      <c r="AH29" s="1181">
        <f>ROUND(AVERAGE(L29:L$36)/100,4)</f>
        <v>0.0118</v>
      </c>
    </row>
    <row r="30" spans="1:34">
      <c r="A30" s="1140" t="s">
        <v>2167</v>
      </c>
      <c r="B30" s="1141">
        <f t="shared" ref="B30:C32" si="181">B29/(1+N29)</f>
        <v>327.659155761094</v>
      </c>
      <c r="C30" s="1141">
        <f t="shared" si="181"/>
        <v>273.959054495104</v>
      </c>
      <c r="D30" s="1141">
        <f t="shared" si="178"/>
        <v>273.959054495104</v>
      </c>
      <c r="E30" s="1141">
        <f t="shared" ref="E30:F32" si="182">E29/(1+P29)</f>
        <v>451.016999115653</v>
      </c>
      <c r="F30" s="1141">
        <f t="shared" si="182"/>
        <v>244.381195406811</v>
      </c>
      <c r="G30" s="1146"/>
      <c r="H30" s="1157">
        <v>3</v>
      </c>
      <c r="I30" s="1157">
        <v>1.65</v>
      </c>
      <c r="J30" s="1157">
        <v>0.92</v>
      </c>
      <c r="K30" s="1157">
        <v>1.88</v>
      </c>
      <c r="L30" s="1191">
        <v>1.26</v>
      </c>
      <c r="N30" s="1180">
        <f t="shared" si="180"/>
        <v>0.0165</v>
      </c>
      <c r="O30" s="1187">
        <f t="shared" si="176"/>
        <v>0.0092</v>
      </c>
      <c r="P30" s="1187">
        <f t="shared" si="176"/>
        <v>0.0188</v>
      </c>
      <c r="Q30" s="1187">
        <f t="shared" si="176"/>
        <v>0.0126</v>
      </c>
      <c r="R30" s="1212"/>
      <c r="S30" s="1180"/>
      <c r="T30" s="1181"/>
      <c r="U30" s="1181"/>
      <c r="V30" s="1181"/>
      <c r="X30" s="1122">
        <f>ROUND(SUMPRODUCT(PRODUCT(1+N30:N$36)),4)</f>
        <v>1.0969</v>
      </c>
      <c r="Y30" s="1122">
        <f>ROUND(SUMPRODUCT(PRODUCT(1+O30:O$36)),4)</f>
        <v>1.0869</v>
      </c>
      <c r="Z30" s="1122">
        <f t="shared" si="88"/>
        <v>1.0869</v>
      </c>
      <c r="AA30" s="1122">
        <f>ROUND(SUMPRODUCT(PRODUCT(1+P30:P$36)),4)</f>
        <v>1.1018</v>
      </c>
      <c r="AB30" s="1122">
        <f>ROUND(SUMPRODUCT(PRODUCT(1+Q30:Q$36)),4)</f>
        <v>1.0781</v>
      </c>
      <c r="AD30" s="1181">
        <f>ROUND(AVERAGE(I30:I$36)/100,4)</f>
        <v>0.0133</v>
      </c>
      <c r="AE30" s="1181">
        <f>ROUND(AVERAGE(J30:J$36)/100,4)</f>
        <v>0.012</v>
      </c>
      <c r="AF30" s="1181">
        <f t="shared" si="1"/>
        <v>0.012</v>
      </c>
      <c r="AG30" s="1181">
        <f>ROUND(AVERAGE(K30:K$36)/100,4)</f>
        <v>0.014</v>
      </c>
      <c r="AH30" s="1181">
        <f>ROUND(AVERAGE(L30:L$36)/100,4)</f>
        <v>0.0108</v>
      </c>
    </row>
    <row r="31" spans="1:34">
      <c r="A31" s="1140" t="s">
        <v>2168</v>
      </c>
      <c r="B31" s="1141">
        <f t="shared" si="181"/>
        <v>322.340536902208</v>
      </c>
      <c r="C31" s="1141">
        <f t="shared" si="181"/>
        <v>271.461607704225</v>
      </c>
      <c r="D31" s="1141">
        <f t="shared" si="178"/>
        <v>271.461607704225</v>
      </c>
      <c r="E31" s="1141">
        <f t="shared" si="182"/>
        <v>442.694345421725</v>
      </c>
      <c r="F31" s="1141">
        <f t="shared" si="182"/>
        <v>241.340307531909</v>
      </c>
      <c r="G31" s="1146"/>
      <c r="H31" s="1147">
        <v>2</v>
      </c>
      <c r="I31" s="1147">
        <v>0.77</v>
      </c>
      <c r="J31" s="1147">
        <v>0.69</v>
      </c>
      <c r="K31" s="1147">
        <v>0.8</v>
      </c>
      <c r="L31" s="1184">
        <v>0.88</v>
      </c>
      <c r="N31" s="1180">
        <f t="shared" si="180"/>
        <v>0.0077</v>
      </c>
      <c r="O31" s="1187">
        <f t="shared" si="176"/>
        <v>0.0069</v>
      </c>
      <c r="P31" s="1187">
        <f t="shared" si="176"/>
        <v>0.008</v>
      </c>
      <c r="Q31" s="1187">
        <f t="shared" si="176"/>
        <v>0.0088</v>
      </c>
      <c r="R31" s="1212"/>
      <c r="S31" s="1180"/>
      <c r="T31" s="1181"/>
      <c r="U31" s="1181"/>
      <c r="V31" s="1181"/>
      <c r="X31" s="1122">
        <f>ROUND(SUMPRODUCT(PRODUCT(1+N31:N$36)),4)</f>
        <v>1.0791</v>
      </c>
      <c r="Y31" s="1122">
        <f>ROUND(SUMPRODUCT(PRODUCT(1+O31:O$36)),4)</f>
        <v>1.077</v>
      </c>
      <c r="Z31" s="1122">
        <f t="shared" si="88"/>
        <v>1.077</v>
      </c>
      <c r="AA31" s="1122">
        <f>ROUND(SUMPRODUCT(PRODUCT(1+P31:P$36)),4)</f>
        <v>1.0814</v>
      </c>
      <c r="AB31" s="1122">
        <f>ROUND(SUMPRODUCT(PRODUCT(1+Q31:Q$36)),4)</f>
        <v>1.0647</v>
      </c>
      <c r="AD31" s="1181">
        <f>ROUND(AVERAGE(I31:I$36)/100,4)</f>
        <v>0.0128</v>
      </c>
      <c r="AE31" s="1181">
        <f>ROUND(AVERAGE(J31:J$36)/100,4)</f>
        <v>0.0125</v>
      </c>
      <c r="AF31" s="1181">
        <f t="shared" si="1"/>
        <v>0.0125</v>
      </c>
      <c r="AG31" s="1181">
        <f>ROUND(AVERAGE(K31:K$36)/100,4)</f>
        <v>0.0132</v>
      </c>
      <c r="AH31" s="1181">
        <f>ROUND(AVERAGE(L31:L$36)/100,4)</f>
        <v>0.0105</v>
      </c>
    </row>
    <row r="32" spans="1:34">
      <c r="A32" s="1140" t="s">
        <v>2169</v>
      </c>
      <c r="B32" s="1141">
        <f t="shared" si="181"/>
        <v>319.877480303868</v>
      </c>
      <c r="C32" s="1141">
        <f t="shared" si="181"/>
        <v>269.601358331736</v>
      </c>
      <c r="D32" s="1141">
        <f t="shared" si="178"/>
        <v>269.601358331736</v>
      </c>
      <c r="E32" s="1141">
        <f t="shared" si="182"/>
        <v>439.180898235838</v>
      </c>
      <c r="F32" s="1141">
        <f t="shared" si="182"/>
        <v>239.235039187063</v>
      </c>
      <c r="G32" s="1154"/>
      <c r="H32" s="1142">
        <v>1</v>
      </c>
      <c r="I32" s="1142">
        <v>0.51</v>
      </c>
      <c r="J32" s="1142">
        <v>0.54</v>
      </c>
      <c r="K32" s="1142">
        <v>0.48</v>
      </c>
      <c r="L32" s="1182">
        <v>0.93</v>
      </c>
      <c r="N32" s="1188">
        <f t="shared" si="180"/>
        <v>0.0051</v>
      </c>
      <c r="O32" s="1189">
        <f t="shared" si="176"/>
        <v>0.0054</v>
      </c>
      <c r="P32" s="1189">
        <f t="shared" si="176"/>
        <v>0.0048</v>
      </c>
      <c r="Q32" s="1189">
        <f t="shared" si="176"/>
        <v>0.0093</v>
      </c>
      <c r="R32" s="1212"/>
      <c r="S32" s="1188">
        <f>B32/B33-1</f>
        <v>0.00590402611279228</v>
      </c>
      <c r="T32" s="1189">
        <f>C32/C33-1</f>
        <v>0.00597521765573328</v>
      </c>
      <c r="U32" s="1189">
        <f>E32/E33-1</f>
        <v>0.00499061381198596</v>
      </c>
      <c r="V32" s="1189">
        <f>F32/F33-1</f>
        <v>0.00943054509309338</v>
      </c>
      <c r="X32" s="1122">
        <f>ROUND(SUMPRODUCT(PRODUCT(1+N32:N$36)),4)</f>
        <v>1.0708</v>
      </c>
      <c r="Y32" s="1122">
        <f>ROUND(SUMPRODUCT(PRODUCT(1+O32:O$36)),4)</f>
        <v>1.0696</v>
      </c>
      <c r="Z32" s="1122">
        <f t="shared" si="88"/>
        <v>1.0696</v>
      </c>
      <c r="AA32" s="1122">
        <f>ROUND(SUMPRODUCT(PRODUCT(1+P32:P$36)),4)</f>
        <v>1.0728</v>
      </c>
      <c r="AB32" s="1122">
        <f>ROUND(SUMPRODUCT(PRODUCT(1+Q32:Q$36)),4)</f>
        <v>1.0554</v>
      </c>
      <c r="AD32" s="1181">
        <f>ROUND(AVERAGE(I32:I$36)/100,4)</f>
        <v>0.0138</v>
      </c>
      <c r="AE32" s="1181">
        <f>ROUND(AVERAGE(J32:J$36)/100,4)</f>
        <v>0.0136</v>
      </c>
      <c r="AF32" s="1181">
        <f t="shared" si="1"/>
        <v>0.0136</v>
      </c>
      <c r="AG32" s="1181">
        <f>ROUND(AVERAGE(K32:K$36)/100,4)</f>
        <v>0.0142</v>
      </c>
      <c r="AH32" s="1181">
        <f>ROUND(AVERAGE(L32:L$36)/100,4)</f>
        <v>0.0108</v>
      </c>
    </row>
    <row r="33" ht="13.5" spans="1:34">
      <c r="A33" s="1140" t="s">
        <v>2170</v>
      </c>
      <c r="B33" s="1158">
        <v>318</v>
      </c>
      <c r="C33" s="1158">
        <v>268</v>
      </c>
      <c r="D33" s="1158">
        <f t="shared" si="178"/>
        <v>268</v>
      </c>
      <c r="E33" s="1158">
        <v>437</v>
      </c>
      <c r="F33" s="1159">
        <v>237</v>
      </c>
      <c r="G33" s="1155">
        <v>2014</v>
      </c>
      <c r="H33" s="1156">
        <v>4</v>
      </c>
      <c r="I33" s="1156">
        <v>0.21</v>
      </c>
      <c r="J33" s="1156">
        <v>0.41</v>
      </c>
      <c r="K33" s="1156">
        <v>0.12</v>
      </c>
      <c r="L33" s="1190">
        <v>0.89</v>
      </c>
      <c r="N33" s="1180">
        <f t="shared" si="180"/>
        <v>0.0021</v>
      </c>
      <c r="O33" s="1181">
        <f t="shared" si="176"/>
        <v>0.0041</v>
      </c>
      <c r="P33" s="1181">
        <f t="shared" si="176"/>
        <v>0.0012</v>
      </c>
      <c r="Q33" s="1181">
        <f t="shared" si="176"/>
        <v>0.0089</v>
      </c>
      <c r="R33" s="1212"/>
      <c r="S33" s="1213"/>
      <c r="T33" s="1214"/>
      <c r="U33" s="1214"/>
      <c r="V33" s="1214"/>
      <c r="X33" s="1122">
        <f>ROUND(SUMPRODUCT(PRODUCT(1+N33:N$36)),4)</f>
        <v>1.0654</v>
      </c>
      <c r="Y33" s="1122">
        <f>ROUND(SUMPRODUCT(PRODUCT(1+O33:O$36)),4)</f>
        <v>1.0639</v>
      </c>
      <c r="Z33" s="1122">
        <f t="shared" si="88"/>
        <v>1.0639</v>
      </c>
      <c r="AA33" s="1122">
        <f>ROUND(SUMPRODUCT(PRODUCT(1+P33:P$36)),4)</f>
        <v>1.0677</v>
      </c>
      <c r="AB33" s="1122">
        <f>ROUND(SUMPRODUCT(PRODUCT(1+Q33:Q$36)),4)</f>
        <v>1.0456</v>
      </c>
      <c r="AD33" s="1181">
        <f>ROUND(AVERAGE(I33:I$36)/100,4)</f>
        <v>0.016</v>
      </c>
      <c r="AE33" s="1181">
        <f>ROUND(AVERAGE(J33:J$36)/100,4)</f>
        <v>0.0156</v>
      </c>
      <c r="AF33" s="1181">
        <f t="shared" si="1"/>
        <v>0.0156</v>
      </c>
      <c r="AG33" s="1181">
        <f>ROUND(AVERAGE(K33:K$36)/100,4)</f>
        <v>0.0166</v>
      </c>
      <c r="AH33" s="1181">
        <f>ROUND(AVERAGE(L33:L$36)/100,4)</f>
        <v>0.0112</v>
      </c>
    </row>
    <row r="34" spans="1:34">
      <c r="A34" s="1140" t="s">
        <v>2171</v>
      </c>
      <c r="B34" s="1141">
        <f t="shared" ref="B34:C36" si="183">B33/(1+N33)</f>
        <v>317.333599441174</v>
      </c>
      <c r="C34" s="1141">
        <f t="shared" si="183"/>
        <v>266.905686684593</v>
      </c>
      <c r="D34" s="1141">
        <f t="shared" si="178"/>
        <v>266.905686684593</v>
      </c>
      <c r="E34" s="1141">
        <f t="shared" ref="E34:F36" si="184">E33/(1+P33)</f>
        <v>436.476228525769</v>
      </c>
      <c r="F34" s="1141">
        <f t="shared" si="184"/>
        <v>234.909307166221</v>
      </c>
      <c r="G34" s="1146"/>
      <c r="H34" s="1160">
        <v>3</v>
      </c>
      <c r="I34" s="1160">
        <v>0.83</v>
      </c>
      <c r="J34" s="1160">
        <v>1.47</v>
      </c>
      <c r="K34" s="1160">
        <v>0.65</v>
      </c>
      <c r="L34" s="1192">
        <v>0.72</v>
      </c>
      <c r="N34" s="1180">
        <f t="shared" si="180"/>
        <v>0.0083</v>
      </c>
      <c r="O34" s="1181">
        <f t="shared" si="176"/>
        <v>0.0147</v>
      </c>
      <c r="P34" s="1181">
        <f t="shared" si="176"/>
        <v>0.0065</v>
      </c>
      <c r="Q34" s="1181">
        <f t="shared" si="176"/>
        <v>0.0072</v>
      </c>
      <c r="R34" s="1212"/>
      <c r="S34" s="1180"/>
      <c r="T34" s="1181"/>
      <c r="U34" s="1181"/>
      <c r="V34" s="1181"/>
      <c r="X34" s="1122">
        <f>ROUND(SUMPRODUCT(PRODUCT(1+N34:N$36)),4)</f>
        <v>1.0632</v>
      </c>
      <c r="Y34" s="1122">
        <f>ROUND(SUMPRODUCT(PRODUCT(1+O34:O$36)),4)</f>
        <v>1.0595</v>
      </c>
      <c r="Z34" s="1122">
        <f t="shared" si="88"/>
        <v>1.0595</v>
      </c>
      <c r="AA34" s="1122">
        <f>ROUND(SUMPRODUCT(PRODUCT(1+P34:P$36)),4)</f>
        <v>1.0664</v>
      </c>
      <c r="AB34" s="1122">
        <f>ROUND(SUMPRODUCT(PRODUCT(1+Q34:Q$36)),4)</f>
        <v>1.0364</v>
      </c>
      <c r="AD34" s="1181">
        <f>ROUND(AVERAGE(I34:I$36)/100,4)</f>
        <v>0.0207</v>
      </c>
      <c r="AE34" s="1181">
        <f>ROUND(AVERAGE(J34:J$36)/100,4)</f>
        <v>0.0195</v>
      </c>
      <c r="AF34" s="1181">
        <f t="shared" si="1"/>
        <v>0.0195</v>
      </c>
      <c r="AG34" s="1181">
        <f>ROUND(AVERAGE(K34:K$36)/100,4)</f>
        <v>0.0217</v>
      </c>
      <c r="AH34" s="1181">
        <f>ROUND(AVERAGE(L34:L$36)/100,4)</f>
        <v>0.012</v>
      </c>
    </row>
    <row r="35" ht="13.5" spans="1:34">
      <c r="A35" s="1140" t="s">
        <v>2172</v>
      </c>
      <c r="B35" s="1141">
        <f t="shared" si="183"/>
        <v>314.721411723865</v>
      </c>
      <c r="C35" s="1141">
        <f t="shared" si="183"/>
        <v>263.03901319069</v>
      </c>
      <c r="D35" s="1141">
        <f t="shared" si="178"/>
        <v>263.03901319069</v>
      </c>
      <c r="E35" s="1141">
        <f t="shared" si="184"/>
        <v>433.657455067828</v>
      </c>
      <c r="F35" s="1141">
        <f t="shared" si="184"/>
        <v>233.230050800457</v>
      </c>
      <c r="G35" s="1146"/>
      <c r="H35" s="1156">
        <v>2</v>
      </c>
      <c r="I35" s="1156">
        <v>2.4</v>
      </c>
      <c r="J35" s="1156">
        <v>2.03</v>
      </c>
      <c r="K35" s="1156">
        <v>2.59</v>
      </c>
      <c r="L35" s="1190">
        <v>1.52</v>
      </c>
      <c r="N35" s="1180">
        <f t="shared" si="180"/>
        <v>0.024</v>
      </c>
      <c r="O35" s="1181">
        <f t="shared" si="176"/>
        <v>0.0203</v>
      </c>
      <c r="P35" s="1181">
        <f t="shared" si="176"/>
        <v>0.0259</v>
      </c>
      <c r="Q35" s="1181">
        <f t="shared" si="176"/>
        <v>0.0152</v>
      </c>
      <c r="R35" s="1212"/>
      <c r="S35" s="1180"/>
      <c r="T35" s="1181"/>
      <c r="U35" s="1181"/>
      <c r="V35" s="1181"/>
      <c r="X35" s="1122">
        <f>ROUND(SUMPRODUCT(PRODUCT(1+N35:N$36)),4)</f>
        <v>1.0544</v>
      </c>
      <c r="Y35" s="1122">
        <f>ROUND(SUMPRODUCT(PRODUCT(1+O35:O$36)),4)</f>
        <v>1.0442</v>
      </c>
      <c r="Z35" s="1122">
        <f t="shared" si="88"/>
        <v>1.0442</v>
      </c>
      <c r="AA35" s="1122">
        <f>ROUND(SUMPRODUCT(PRODUCT(1+P35:P$36)),4)</f>
        <v>1.0595</v>
      </c>
      <c r="AB35" s="1122">
        <f>ROUND(SUMPRODUCT(PRODUCT(1+Q35:Q$36)),4)</f>
        <v>1.029</v>
      </c>
      <c r="AD35" s="1181">
        <f>ROUND(AVERAGE(I35:I$36)/100,4)</f>
        <v>0.0269</v>
      </c>
      <c r="AE35" s="1181">
        <f>ROUND(AVERAGE(J35:J$36)/100,4)</f>
        <v>0.0219</v>
      </c>
      <c r="AF35" s="1181">
        <f t="shared" ref="AF35:AF36" si="185">AE35</f>
        <v>0.0219</v>
      </c>
      <c r="AG35" s="1181">
        <f>ROUND(AVERAGE(K35:K$36)/100,4)</f>
        <v>0.0294</v>
      </c>
      <c r="AH35" s="1181">
        <f>ROUND(AVERAGE(L35:L$36)/100,4)</f>
        <v>0.0144</v>
      </c>
    </row>
    <row r="36" s="1119" customFormat="1" ht="13.5" spans="1:34">
      <c r="A36" s="1161" t="s">
        <v>2173</v>
      </c>
      <c r="B36" s="1162">
        <f t="shared" si="183"/>
        <v>307.345128636587</v>
      </c>
      <c r="C36" s="1162">
        <f t="shared" si="183"/>
        <v>257.80556031627</v>
      </c>
      <c r="D36" s="1162">
        <f t="shared" si="178"/>
        <v>257.80556031627</v>
      </c>
      <c r="E36" s="1162">
        <f t="shared" si="184"/>
        <v>422.709284596772</v>
      </c>
      <c r="F36" s="1162">
        <f t="shared" si="184"/>
        <v>229.738032703366</v>
      </c>
      <c r="G36" s="1154"/>
      <c r="H36" s="1163">
        <v>1</v>
      </c>
      <c r="I36" s="1163">
        <v>2.97</v>
      </c>
      <c r="J36" s="1163">
        <v>2.34</v>
      </c>
      <c r="K36" s="1163">
        <v>3.28</v>
      </c>
      <c r="L36" s="1193">
        <v>1.36</v>
      </c>
      <c r="N36" s="1194">
        <f t="shared" si="180"/>
        <v>0.0297</v>
      </c>
      <c r="O36" s="1195">
        <f t="shared" si="176"/>
        <v>0.0234</v>
      </c>
      <c r="P36" s="1195">
        <f t="shared" si="176"/>
        <v>0.0328</v>
      </c>
      <c r="Q36" s="1195">
        <f t="shared" si="176"/>
        <v>0.0136</v>
      </c>
      <c r="R36" s="1215"/>
      <c r="S36" s="1216">
        <f>B36/B37-1</f>
        <v>0.0279101292193555</v>
      </c>
      <c r="T36" s="1217">
        <f>C36/C37-1</f>
        <v>0.0230379377629752</v>
      </c>
      <c r="U36" s="1217">
        <f>E36/E37-1</f>
        <v>0.0335190332439408</v>
      </c>
      <c r="V36" s="1217">
        <f>F36/F37-1</f>
        <v>0.0120618180765029</v>
      </c>
      <c r="W36" s="1218" t="s">
        <v>2174</v>
      </c>
      <c r="X36" s="1219">
        <v>1</v>
      </c>
      <c r="Y36" s="1219">
        <v>1</v>
      </c>
      <c r="Z36" s="1219">
        <v>1</v>
      </c>
      <c r="AA36" s="1219">
        <v>1</v>
      </c>
      <c r="AB36" s="1219">
        <v>1</v>
      </c>
      <c r="AD36" s="1195">
        <f>I36/100</f>
        <v>0.0297</v>
      </c>
      <c r="AE36" s="1195">
        <f>J36/100</f>
        <v>0.0234</v>
      </c>
      <c r="AF36" s="1195">
        <f t="shared" si="185"/>
        <v>0.0234</v>
      </c>
      <c r="AG36" s="1195">
        <f>K36/100</f>
        <v>0.0328</v>
      </c>
      <c r="AH36" s="1195">
        <f>L36/100</f>
        <v>0.0136</v>
      </c>
    </row>
    <row r="37" ht="13.5" spans="1:26">
      <c r="A37" s="1140" t="s">
        <v>2175</v>
      </c>
      <c r="B37" s="1152">
        <v>299</v>
      </c>
      <c r="C37" s="1152">
        <v>252</v>
      </c>
      <c r="D37" s="1152">
        <f t="shared" si="178"/>
        <v>252</v>
      </c>
      <c r="E37" s="1152">
        <v>409</v>
      </c>
      <c r="F37" s="1153">
        <v>227</v>
      </c>
      <c r="G37" s="1164">
        <v>2013</v>
      </c>
      <c r="H37" s="1165">
        <v>4</v>
      </c>
      <c r="I37" s="1165">
        <v>1.83</v>
      </c>
      <c r="J37" s="1165">
        <v>1.68</v>
      </c>
      <c r="K37" s="1165">
        <v>1.97</v>
      </c>
      <c r="L37" s="1196">
        <v>0.87</v>
      </c>
      <c r="N37" s="1185">
        <f t="shared" si="180"/>
        <v>0.0183</v>
      </c>
      <c r="O37" s="1186">
        <f t="shared" si="176"/>
        <v>0.0168</v>
      </c>
      <c r="P37" s="1186">
        <f t="shared" si="176"/>
        <v>0.0197</v>
      </c>
      <c r="Q37" s="1186">
        <f t="shared" si="176"/>
        <v>0.0087</v>
      </c>
      <c r="R37" s="1212"/>
      <c r="S37" s="1213"/>
      <c r="T37" s="1214"/>
      <c r="U37" s="1214"/>
      <c r="V37" s="1214"/>
      <c r="X37" s="1214"/>
      <c r="Y37" s="1214"/>
      <c r="Z37" s="1214"/>
    </row>
    <row r="38" spans="1:22">
      <c r="A38" s="1140" t="s">
        <v>2176</v>
      </c>
      <c r="B38" s="1141">
        <f t="shared" ref="B38:C40" si="186">B37/(1+N37)</f>
        <v>293.626632622999</v>
      </c>
      <c r="C38" s="1141">
        <f t="shared" si="186"/>
        <v>247.836349331235</v>
      </c>
      <c r="D38" s="1141">
        <f t="shared" si="178"/>
        <v>247.836349331235</v>
      </c>
      <c r="E38" s="1141">
        <f t="shared" ref="E38:F40" si="187">E37/(1+P37)</f>
        <v>401.098362263411</v>
      </c>
      <c r="F38" s="1141">
        <f t="shared" si="187"/>
        <v>225.04213343908</v>
      </c>
      <c r="G38" s="1166"/>
      <c r="H38" s="1157">
        <v>3</v>
      </c>
      <c r="I38" s="1157">
        <v>1.86</v>
      </c>
      <c r="J38" s="1157">
        <v>1.72</v>
      </c>
      <c r="K38" s="1157">
        <v>1.98</v>
      </c>
      <c r="L38" s="1191">
        <v>0.88</v>
      </c>
      <c r="N38" s="1180">
        <f t="shared" si="180"/>
        <v>0.0186</v>
      </c>
      <c r="O38" s="1187">
        <f t="shared" si="176"/>
        <v>0.0172</v>
      </c>
      <c r="P38" s="1187">
        <f t="shared" si="176"/>
        <v>0.0198</v>
      </c>
      <c r="Q38" s="1187">
        <f t="shared" si="176"/>
        <v>0.0088</v>
      </c>
      <c r="R38" s="1212"/>
      <c r="S38" s="1180"/>
      <c r="T38" s="1181"/>
      <c r="U38" s="1181"/>
      <c r="V38" s="1181"/>
    </row>
    <row r="39" spans="1:25">
      <c r="A39" s="1140" t="s">
        <v>2177</v>
      </c>
      <c r="B39" s="1141">
        <f t="shared" si="186"/>
        <v>288.264905382878</v>
      </c>
      <c r="C39" s="1141">
        <f t="shared" si="186"/>
        <v>243.645644250133</v>
      </c>
      <c r="D39" s="1141">
        <f t="shared" si="178"/>
        <v>243.645644250133</v>
      </c>
      <c r="E39" s="1141">
        <f t="shared" si="187"/>
        <v>393.310808259865</v>
      </c>
      <c r="F39" s="1141">
        <f t="shared" si="187"/>
        <v>223.079037905512</v>
      </c>
      <c r="G39" s="1166"/>
      <c r="H39" s="1147">
        <v>2</v>
      </c>
      <c r="I39" s="1147">
        <v>2.04</v>
      </c>
      <c r="J39" s="1147">
        <v>2.33</v>
      </c>
      <c r="K39" s="1147">
        <v>2.07</v>
      </c>
      <c r="L39" s="1184">
        <v>0.69</v>
      </c>
      <c r="N39" s="1180">
        <f t="shared" si="180"/>
        <v>0.0204</v>
      </c>
      <c r="O39" s="1187">
        <f t="shared" si="176"/>
        <v>0.0233</v>
      </c>
      <c r="P39" s="1187">
        <f t="shared" si="176"/>
        <v>0.0207</v>
      </c>
      <c r="Q39" s="1187">
        <f t="shared" si="176"/>
        <v>0.0069</v>
      </c>
      <c r="R39" s="1212"/>
      <c r="S39" s="1180"/>
      <c r="T39" s="1181"/>
      <c r="U39" s="1181"/>
      <c r="V39" s="1181"/>
      <c r="X39" s="1220"/>
      <c r="Y39" s="1226"/>
    </row>
    <row r="40" spans="1:26">
      <c r="A40" s="1140" t="s">
        <v>2178</v>
      </c>
      <c r="B40" s="1141">
        <f t="shared" si="186"/>
        <v>282.501867290158</v>
      </c>
      <c r="C40" s="1141">
        <f t="shared" si="186"/>
        <v>238.097961741555</v>
      </c>
      <c r="D40" s="1141">
        <f t="shared" si="178"/>
        <v>238.097961741555</v>
      </c>
      <c r="E40" s="1141">
        <f t="shared" si="187"/>
        <v>385.334386460141</v>
      </c>
      <c r="F40" s="1141">
        <f t="shared" si="187"/>
        <v>221.550340555677</v>
      </c>
      <c r="G40" s="1167"/>
      <c r="H40" s="1142">
        <v>1</v>
      </c>
      <c r="I40" s="1142">
        <v>1.67</v>
      </c>
      <c r="J40" s="1142">
        <v>1.31</v>
      </c>
      <c r="K40" s="1142">
        <v>1.85</v>
      </c>
      <c r="L40" s="1182">
        <v>0.96</v>
      </c>
      <c r="N40" s="1188">
        <f t="shared" si="180"/>
        <v>0.0167</v>
      </c>
      <c r="O40" s="1189">
        <f t="shared" si="176"/>
        <v>0.0131</v>
      </c>
      <c r="P40" s="1189">
        <f t="shared" si="176"/>
        <v>0.0185</v>
      </c>
      <c r="Q40" s="1189">
        <f t="shared" si="176"/>
        <v>0.0096</v>
      </c>
      <c r="R40" s="1212"/>
      <c r="S40" s="1188">
        <f>B40/B41-1</f>
        <v>0.0161937672307855</v>
      </c>
      <c r="T40" s="1189">
        <f>C40/C41-1</f>
        <v>0.0175126570151909</v>
      </c>
      <c r="U40" s="1189">
        <f>E40/E41-1</f>
        <v>0.016713420739157</v>
      </c>
      <c r="V40" s="1189">
        <f>F40/F41-1</f>
        <v>0.00704700252580626</v>
      </c>
      <c r="X40" s="1221"/>
      <c r="Y40" s="1181"/>
      <c r="Z40" s="1181"/>
    </row>
    <row r="41" ht="13.5" spans="1:26">
      <c r="A41" s="1140" t="s">
        <v>2179</v>
      </c>
      <c r="B41" s="1168">
        <v>278</v>
      </c>
      <c r="C41" s="1168">
        <v>234</v>
      </c>
      <c r="D41" s="1168">
        <f t="shared" si="178"/>
        <v>234</v>
      </c>
      <c r="E41" s="1168">
        <v>379</v>
      </c>
      <c r="F41" s="1169">
        <v>220</v>
      </c>
      <c r="G41" s="1155">
        <v>2012</v>
      </c>
      <c r="H41" s="1156">
        <v>4</v>
      </c>
      <c r="I41" s="1156">
        <v>0.91</v>
      </c>
      <c r="J41" s="1156">
        <v>0.68</v>
      </c>
      <c r="K41" s="1156">
        <v>0.98</v>
      </c>
      <c r="L41" s="1190">
        <v>0.9</v>
      </c>
      <c r="N41" s="1180">
        <f t="shared" si="180"/>
        <v>0.0091</v>
      </c>
      <c r="O41" s="1181">
        <f t="shared" si="180"/>
        <v>0.0068</v>
      </c>
      <c r="P41" s="1181">
        <f t="shared" si="180"/>
        <v>0.0098</v>
      </c>
      <c r="Q41" s="1181">
        <f t="shared" si="180"/>
        <v>0.009</v>
      </c>
      <c r="R41" s="1212"/>
      <c r="S41" s="1213"/>
      <c r="T41" s="1214"/>
      <c r="U41" s="1214"/>
      <c r="V41" s="1214"/>
      <c r="X41" s="1214"/>
      <c r="Y41" s="1214"/>
      <c r="Z41" s="1214"/>
    </row>
    <row r="42" spans="1:22">
      <c r="A42" s="1140" t="s">
        <v>2180</v>
      </c>
      <c r="B42" s="1141">
        <f>B41/(1+N41)</f>
        <v>275.493013576454</v>
      </c>
      <c r="C42" s="1141">
        <f>C41/(1+O41)</f>
        <v>232.419547079857</v>
      </c>
      <c r="D42" s="1141">
        <f t="shared" si="178"/>
        <v>232.419547079857</v>
      </c>
      <c r="E42" s="1141">
        <f t="shared" ref="E42:F44" si="188">E41/(1+P41)</f>
        <v>375.321845910081</v>
      </c>
      <c r="F42" s="1141">
        <f t="shared" si="188"/>
        <v>218.037661050545</v>
      </c>
      <c r="G42" s="1146"/>
      <c r="H42" s="1157">
        <v>3</v>
      </c>
      <c r="I42" s="1157">
        <v>0.09</v>
      </c>
      <c r="J42" s="1157">
        <v>0.29</v>
      </c>
      <c r="K42" s="1157">
        <v>-0.01</v>
      </c>
      <c r="L42" s="1191">
        <v>0.58</v>
      </c>
      <c r="N42" s="1180">
        <f t="shared" si="180"/>
        <v>0.0009</v>
      </c>
      <c r="O42" s="1181">
        <f t="shared" si="180"/>
        <v>0.0029</v>
      </c>
      <c r="P42" s="1181">
        <f t="shared" si="180"/>
        <v>-0.0001</v>
      </c>
      <c r="Q42" s="1181">
        <f t="shared" si="180"/>
        <v>0.0058</v>
      </c>
      <c r="R42" s="1212"/>
      <c r="S42" s="1180"/>
      <c r="T42" s="1181"/>
      <c r="U42" s="1181"/>
      <c r="V42" s="1181"/>
    </row>
    <row r="43" spans="1:22">
      <c r="A43" s="1140" t="s">
        <v>2181</v>
      </c>
      <c r="B43" s="1141">
        <f>B42/(1+N42)</f>
        <v>275.245292812923</v>
      </c>
      <c r="C43" s="1141">
        <f>C42/(1+O42)</f>
        <v>231.747479389627</v>
      </c>
      <c r="D43" s="1141">
        <f t="shared" si="178"/>
        <v>231.747479389627</v>
      </c>
      <c r="E43" s="1141">
        <f t="shared" si="188"/>
        <v>375.359381848266</v>
      </c>
      <c r="F43" s="1141">
        <f t="shared" si="188"/>
        <v>216.780335106925</v>
      </c>
      <c r="G43" s="1146"/>
      <c r="H43" s="1147">
        <v>2</v>
      </c>
      <c r="I43" s="1147">
        <v>0.02</v>
      </c>
      <c r="J43" s="1147">
        <v>0.12</v>
      </c>
      <c r="K43" s="1147">
        <v>-0.08</v>
      </c>
      <c r="L43" s="1184">
        <v>1.24</v>
      </c>
      <c r="N43" s="1180">
        <f t="shared" si="180"/>
        <v>0.0002</v>
      </c>
      <c r="O43" s="1181">
        <f t="shared" si="180"/>
        <v>0.0012</v>
      </c>
      <c r="P43" s="1181">
        <f t="shared" si="180"/>
        <v>-0.0008</v>
      </c>
      <c r="Q43" s="1181">
        <f t="shared" si="180"/>
        <v>0.0124</v>
      </c>
      <c r="R43" s="1212"/>
      <c r="S43" s="1180"/>
      <c r="T43" s="1181"/>
      <c r="U43" s="1181"/>
      <c r="V43" s="1181"/>
    </row>
    <row r="44" ht="13.5" spans="1:26">
      <c r="A44" s="1140" t="s">
        <v>2182</v>
      </c>
      <c r="B44" s="1141">
        <f>B43/(1+N43)</f>
        <v>275.19025476197</v>
      </c>
      <c r="C44" s="1170">
        <v>232</v>
      </c>
      <c r="D44" s="1170">
        <f t="shared" si="178"/>
        <v>232</v>
      </c>
      <c r="E44" s="1141">
        <f t="shared" si="188"/>
        <v>375.659909776087</v>
      </c>
      <c r="F44" s="1141">
        <f t="shared" si="188"/>
        <v>214.125182839713</v>
      </c>
      <c r="G44" s="1154"/>
      <c r="H44" s="1142">
        <v>1</v>
      </c>
      <c r="I44" s="1142">
        <v>0.02</v>
      </c>
      <c r="J44" s="1142">
        <v>0.13</v>
      </c>
      <c r="K44" s="1142">
        <v>-0.04</v>
      </c>
      <c r="L44" s="1182">
        <v>0.46</v>
      </c>
      <c r="N44" s="1180">
        <f t="shared" si="180"/>
        <v>0.0002</v>
      </c>
      <c r="O44" s="1181">
        <f t="shared" si="180"/>
        <v>0.0013</v>
      </c>
      <c r="P44" s="1181">
        <f t="shared" si="180"/>
        <v>-0.0004</v>
      </c>
      <c r="Q44" s="1181">
        <f t="shared" si="180"/>
        <v>0.0046</v>
      </c>
      <c r="R44" s="1212"/>
      <c r="S44" s="1188">
        <f>B44/B45-1</f>
        <v>0.000691835498073612</v>
      </c>
      <c r="T44" s="1189">
        <f>C44/C45-1</f>
        <v>0</v>
      </c>
      <c r="U44" s="1189">
        <f>E44/E45-1</f>
        <v>-0.000904495276364603</v>
      </c>
      <c r="V44" s="1189">
        <f>F44/F45-1</f>
        <v>0.00528254854325128</v>
      </c>
      <c r="X44" s="1181"/>
      <c r="Y44" s="1181"/>
      <c r="Z44" s="1181"/>
    </row>
    <row r="45" ht="13.5" spans="1:26">
      <c r="A45" s="1140" t="s">
        <v>2183</v>
      </c>
      <c r="B45" s="1152">
        <v>275</v>
      </c>
      <c r="C45" s="1152">
        <v>232</v>
      </c>
      <c r="D45" s="1152">
        <f t="shared" si="178"/>
        <v>232</v>
      </c>
      <c r="E45" s="1152">
        <v>376</v>
      </c>
      <c r="F45" s="1153">
        <v>213</v>
      </c>
      <c r="G45" s="1155">
        <v>2011</v>
      </c>
      <c r="H45" s="1156">
        <v>4</v>
      </c>
      <c r="I45" s="1156">
        <v>-0.2</v>
      </c>
      <c r="J45" s="1156">
        <v>0.04</v>
      </c>
      <c r="K45" s="1156">
        <v>-0.34</v>
      </c>
      <c r="L45" s="1190">
        <v>0.46</v>
      </c>
      <c r="N45" s="1185">
        <f t="shared" si="180"/>
        <v>-0.002</v>
      </c>
      <c r="O45" s="1186">
        <f t="shared" si="180"/>
        <v>0.0004</v>
      </c>
      <c r="P45" s="1186">
        <f t="shared" si="180"/>
        <v>-0.0034</v>
      </c>
      <c r="Q45" s="1186">
        <f t="shared" si="180"/>
        <v>0.0046</v>
      </c>
      <c r="R45" s="1212"/>
      <c r="S45" s="1213"/>
      <c r="T45" s="1214"/>
      <c r="U45" s="1214"/>
      <c r="V45" s="1214"/>
      <c r="X45" s="1214"/>
      <c r="Y45" s="1214"/>
      <c r="Z45" s="1214"/>
    </row>
    <row r="46" spans="1:22">
      <c r="A46" s="1140" t="s">
        <v>2184</v>
      </c>
      <c r="B46" s="1141">
        <f t="shared" ref="B46:C48" si="189">B45/(1+N45)</f>
        <v>275.551102204409</v>
      </c>
      <c r="C46" s="1141">
        <f t="shared" si="189"/>
        <v>231.907237105158</v>
      </c>
      <c r="D46" s="1141">
        <f t="shared" si="178"/>
        <v>231.907237105158</v>
      </c>
      <c r="E46" s="1141">
        <f t="shared" ref="E46:F48" si="190">E45/(1+P45)</f>
        <v>377.282761388722</v>
      </c>
      <c r="F46" s="1141">
        <f t="shared" si="190"/>
        <v>212.024686442365</v>
      </c>
      <c r="G46" s="1146">
        <v>2011</v>
      </c>
      <c r="H46" s="1157">
        <v>3</v>
      </c>
      <c r="I46" s="1157">
        <v>0.13</v>
      </c>
      <c r="J46" s="1157">
        <v>0.75</v>
      </c>
      <c r="K46" s="1157">
        <v>-0.08</v>
      </c>
      <c r="L46" s="1191">
        <v>0.53</v>
      </c>
      <c r="N46" s="1180">
        <f t="shared" si="180"/>
        <v>0.0013</v>
      </c>
      <c r="O46" s="1187">
        <f t="shared" si="180"/>
        <v>0.0075</v>
      </c>
      <c r="P46" s="1187">
        <f t="shared" si="180"/>
        <v>-0.0008</v>
      </c>
      <c r="Q46" s="1187">
        <f t="shared" si="180"/>
        <v>0.0053</v>
      </c>
      <c r="R46" s="1212"/>
      <c r="S46" s="1180"/>
      <c r="T46" s="1181"/>
      <c r="U46" s="1181"/>
      <c r="V46" s="1181"/>
    </row>
    <row r="47" spans="1:22">
      <c r="A47" s="1140" t="s">
        <v>2185</v>
      </c>
      <c r="B47" s="1141">
        <f t="shared" si="189"/>
        <v>275.193350848306</v>
      </c>
      <c r="C47" s="1141">
        <f t="shared" si="189"/>
        <v>230.180880501397</v>
      </c>
      <c r="D47" s="1141">
        <f t="shared" si="178"/>
        <v>230.180880501397</v>
      </c>
      <c r="E47" s="1141">
        <f t="shared" si="190"/>
        <v>377.584829252123</v>
      </c>
      <c r="F47" s="1141">
        <f t="shared" si="190"/>
        <v>210.906879978479</v>
      </c>
      <c r="G47" s="1146">
        <v>2011</v>
      </c>
      <c r="H47" s="1147">
        <v>2</v>
      </c>
      <c r="I47" s="1147">
        <v>-0.4</v>
      </c>
      <c r="J47" s="1147">
        <v>0.17</v>
      </c>
      <c r="K47" s="1147">
        <v>-0.58</v>
      </c>
      <c r="L47" s="1184">
        <v>-0.2</v>
      </c>
      <c r="N47" s="1180">
        <f t="shared" si="180"/>
        <v>-0.004</v>
      </c>
      <c r="O47" s="1187">
        <f t="shared" si="180"/>
        <v>0.0017</v>
      </c>
      <c r="P47" s="1187">
        <f t="shared" si="180"/>
        <v>-0.0058</v>
      </c>
      <c r="Q47" s="1187">
        <f t="shared" si="180"/>
        <v>-0.002</v>
      </c>
      <c r="R47" s="1212"/>
      <c r="S47" s="1180"/>
      <c r="T47" s="1181"/>
      <c r="U47" s="1181"/>
      <c r="V47" s="1181"/>
    </row>
    <row r="48" ht="13.5" spans="1:26">
      <c r="A48" s="1140" t="s">
        <v>2186</v>
      </c>
      <c r="B48" s="1141">
        <f t="shared" si="189"/>
        <v>276.29854502842</v>
      </c>
      <c r="C48" s="1141">
        <f t="shared" si="189"/>
        <v>229.79023709833</v>
      </c>
      <c r="D48" s="1141">
        <f t="shared" si="178"/>
        <v>229.79023709833</v>
      </c>
      <c r="E48" s="1141">
        <f t="shared" si="190"/>
        <v>379.787597316559</v>
      </c>
      <c r="F48" s="1141">
        <f t="shared" si="190"/>
        <v>211.329539056592</v>
      </c>
      <c r="G48" s="1154">
        <v>2011</v>
      </c>
      <c r="H48" s="1142">
        <v>1</v>
      </c>
      <c r="I48" s="1142">
        <v>2.65</v>
      </c>
      <c r="J48" s="1142">
        <v>3.76</v>
      </c>
      <c r="K48" s="1142">
        <v>1.89</v>
      </c>
      <c r="L48" s="1182">
        <v>7.95</v>
      </c>
      <c r="N48" s="1188">
        <f t="shared" si="180"/>
        <v>0.0265</v>
      </c>
      <c r="O48" s="1189">
        <f t="shared" si="180"/>
        <v>0.0376</v>
      </c>
      <c r="P48" s="1189">
        <f t="shared" si="180"/>
        <v>0.0189</v>
      </c>
      <c r="Q48" s="1189">
        <f t="shared" si="180"/>
        <v>0.0795</v>
      </c>
      <c r="R48" s="1212"/>
      <c r="S48" s="1188">
        <f>B48/B49-1</f>
        <v>0.0271321376521179</v>
      </c>
      <c r="T48" s="1189">
        <f>C48/C49-1</f>
        <v>0.0397748284992319</v>
      </c>
      <c r="U48" s="1189">
        <f>E48/E49-1</f>
        <v>0.0181973118406418</v>
      </c>
      <c r="V48" s="1189">
        <f>F48/F49-1</f>
        <v>0.0782119339622058</v>
      </c>
      <c r="X48" s="1181"/>
      <c r="Y48" s="1181"/>
      <c r="Z48" s="1181"/>
    </row>
    <row r="49" ht="13.5" spans="1:26">
      <c r="A49" s="1140" t="s">
        <v>2187</v>
      </c>
      <c r="B49" s="1152">
        <v>269</v>
      </c>
      <c r="C49" s="1152">
        <v>221</v>
      </c>
      <c r="D49" s="1152">
        <f t="shared" si="178"/>
        <v>221</v>
      </c>
      <c r="E49" s="1152">
        <v>373</v>
      </c>
      <c r="F49" s="1153">
        <v>196</v>
      </c>
      <c r="G49" s="1155">
        <v>2010</v>
      </c>
      <c r="H49" s="1156">
        <v>4</v>
      </c>
      <c r="I49" s="1156">
        <v>5.72</v>
      </c>
      <c r="J49" s="1156">
        <v>6.57</v>
      </c>
      <c r="K49" s="1156">
        <v>5.72</v>
      </c>
      <c r="L49" s="1190">
        <v>2.72</v>
      </c>
      <c r="N49" s="1180">
        <f t="shared" si="180"/>
        <v>0.0572</v>
      </c>
      <c r="O49" s="1181">
        <f t="shared" si="180"/>
        <v>0.0657</v>
      </c>
      <c r="P49" s="1181">
        <f t="shared" si="180"/>
        <v>0.0572</v>
      </c>
      <c r="Q49" s="1181">
        <f t="shared" si="180"/>
        <v>0.0272</v>
      </c>
      <c r="R49" s="1212"/>
      <c r="S49" s="1213"/>
      <c r="T49" s="1214"/>
      <c r="U49" s="1214"/>
      <c r="V49" s="1214"/>
      <c r="X49" s="1214"/>
      <c r="Y49" s="1214"/>
      <c r="Z49" s="1214"/>
    </row>
    <row r="50" spans="1:22">
      <c r="A50" s="1140" t="s">
        <v>2188</v>
      </c>
      <c r="B50" s="1141">
        <f t="shared" ref="B50:C52" si="191">B49/(1+N49)</f>
        <v>254.445705637533</v>
      </c>
      <c r="C50" s="1141">
        <f t="shared" si="191"/>
        <v>207.375433987051</v>
      </c>
      <c r="D50" s="1141">
        <f t="shared" si="178"/>
        <v>207.375433987051</v>
      </c>
      <c r="E50" s="1141">
        <f t="shared" ref="E50:F52" si="192">E49/(1+P49)</f>
        <v>352.818766553159</v>
      </c>
      <c r="F50" s="1141">
        <f t="shared" si="192"/>
        <v>190.809968847352</v>
      </c>
      <c r="G50" s="1146">
        <v>2010</v>
      </c>
      <c r="H50" s="1157">
        <v>3</v>
      </c>
      <c r="I50" s="1157">
        <v>4.73</v>
      </c>
      <c r="J50" s="1157">
        <v>3.9</v>
      </c>
      <c r="K50" s="1157">
        <v>5.03</v>
      </c>
      <c r="L50" s="1191">
        <v>4.21</v>
      </c>
      <c r="N50" s="1180">
        <f t="shared" si="180"/>
        <v>0.0473</v>
      </c>
      <c r="O50" s="1181">
        <f t="shared" si="180"/>
        <v>0.039</v>
      </c>
      <c r="P50" s="1181">
        <f t="shared" si="180"/>
        <v>0.0503</v>
      </c>
      <c r="Q50" s="1181">
        <f t="shared" si="180"/>
        <v>0.0421</v>
      </c>
      <c r="R50" s="1212"/>
      <c r="S50" s="1180"/>
      <c r="T50" s="1181"/>
      <c r="U50" s="1181"/>
      <c r="V50" s="1181"/>
    </row>
    <row r="51" spans="1:22">
      <c r="A51" s="1140" t="s">
        <v>2189</v>
      </c>
      <c r="B51" s="1141">
        <f t="shared" si="191"/>
        <v>242.953982275884</v>
      </c>
      <c r="C51" s="1141">
        <f t="shared" si="191"/>
        <v>199.591370536141</v>
      </c>
      <c r="D51" s="1141">
        <f t="shared" si="178"/>
        <v>199.591370536141</v>
      </c>
      <c r="E51" s="1141">
        <f t="shared" si="192"/>
        <v>335.921895223421</v>
      </c>
      <c r="F51" s="1141">
        <f t="shared" si="192"/>
        <v>183.101399911095</v>
      </c>
      <c r="G51" s="1146">
        <v>2010</v>
      </c>
      <c r="H51" s="1147">
        <v>2</v>
      </c>
      <c r="I51" s="1147">
        <v>4.69</v>
      </c>
      <c r="J51" s="1147">
        <v>3.55</v>
      </c>
      <c r="K51" s="1147">
        <v>5.07</v>
      </c>
      <c r="L51" s="1184">
        <v>4.23</v>
      </c>
      <c r="N51" s="1180">
        <f t="shared" si="180"/>
        <v>0.0469</v>
      </c>
      <c r="O51" s="1181">
        <f t="shared" si="180"/>
        <v>0.0355</v>
      </c>
      <c r="P51" s="1181">
        <f t="shared" si="180"/>
        <v>0.0507</v>
      </c>
      <c r="Q51" s="1181">
        <f t="shared" si="180"/>
        <v>0.0423</v>
      </c>
      <c r="R51" s="1212"/>
      <c r="S51" s="1180"/>
      <c r="T51" s="1181"/>
      <c r="U51" s="1181"/>
      <c r="V51" s="1181"/>
    </row>
    <row r="52" ht="13.5" spans="1:26">
      <c r="A52" s="1140" t="s">
        <v>2190</v>
      </c>
      <c r="B52" s="1141">
        <f t="shared" si="191"/>
        <v>232.069903788216</v>
      </c>
      <c r="C52" s="1141">
        <f t="shared" si="191"/>
        <v>192.748788542869</v>
      </c>
      <c r="D52" s="1141">
        <f t="shared" si="178"/>
        <v>192.748788542869</v>
      </c>
      <c r="E52" s="1141">
        <f t="shared" si="192"/>
        <v>319.71247284993</v>
      </c>
      <c r="F52" s="1141">
        <f t="shared" si="192"/>
        <v>175.670536228624</v>
      </c>
      <c r="G52" s="1154">
        <v>2010</v>
      </c>
      <c r="H52" s="1142">
        <v>1</v>
      </c>
      <c r="I52" s="1142">
        <v>5.4</v>
      </c>
      <c r="J52" s="1142">
        <v>3.2</v>
      </c>
      <c r="K52" s="1142">
        <v>6.16</v>
      </c>
      <c r="L52" s="1182">
        <v>4.51</v>
      </c>
      <c r="N52" s="1180">
        <f t="shared" si="180"/>
        <v>0.054</v>
      </c>
      <c r="O52" s="1181">
        <f t="shared" si="180"/>
        <v>0.032</v>
      </c>
      <c r="P52" s="1181">
        <f t="shared" si="180"/>
        <v>0.0616</v>
      </c>
      <c r="Q52" s="1181">
        <f t="shared" si="180"/>
        <v>0.0451</v>
      </c>
      <c r="R52" s="1212"/>
      <c r="S52" s="1188">
        <f>B52/B53-1</f>
        <v>0.0548631990373476</v>
      </c>
      <c r="T52" s="1189">
        <f>C52/C53-1</f>
        <v>0.0307421847212266</v>
      </c>
      <c r="U52" s="1189">
        <f>E52/E53-1</f>
        <v>0.0621676838868102</v>
      </c>
      <c r="V52" s="1189">
        <f>F52/F53-1</f>
        <v>0.04565795374181</v>
      </c>
      <c r="X52" s="1181"/>
      <c r="Y52" s="1181"/>
      <c r="Z52" s="1181"/>
    </row>
    <row r="53" ht="13.5" spans="1:26">
      <c r="A53" s="1140" t="s">
        <v>2191</v>
      </c>
      <c r="B53" s="1152">
        <v>220</v>
      </c>
      <c r="C53" s="1152">
        <v>187</v>
      </c>
      <c r="D53" s="1152">
        <f t="shared" si="178"/>
        <v>187</v>
      </c>
      <c r="E53" s="1152">
        <v>301</v>
      </c>
      <c r="F53" s="1153">
        <v>168</v>
      </c>
      <c r="G53" s="1155">
        <v>2009</v>
      </c>
      <c r="H53" s="1156">
        <v>4</v>
      </c>
      <c r="I53" s="1156">
        <v>2.3</v>
      </c>
      <c r="J53" s="1156">
        <v>1.04</v>
      </c>
      <c r="K53" s="1156">
        <v>2.84</v>
      </c>
      <c r="L53" s="1190">
        <v>0.67</v>
      </c>
      <c r="N53" s="1185">
        <f t="shared" si="180"/>
        <v>0.023</v>
      </c>
      <c r="O53" s="1186">
        <f t="shared" si="180"/>
        <v>0.0104</v>
      </c>
      <c r="P53" s="1186">
        <f t="shared" si="180"/>
        <v>0.0284</v>
      </c>
      <c r="Q53" s="1186">
        <f t="shared" si="180"/>
        <v>0.0067</v>
      </c>
      <c r="R53" s="1212"/>
      <c r="S53" s="1213"/>
      <c r="T53" s="1214"/>
      <c r="U53" s="1214"/>
      <c r="V53" s="1214"/>
      <c r="X53" s="1214"/>
      <c r="Y53" s="1214"/>
      <c r="Z53" s="1214"/>
    </row>
    <row r="54" spans="1:22">
      <c r="A54" s="1140" t="s">
        <v>2192</v>
      </c>
      <c r="B54" s="1141">
        <f t="shared" ref="B54:C56" si="193">B53/(1+N53)</f>
        <v>215.05376344086</v>
      </c>
      <c r="C54" s="1141">
        <f t="shared" si="193"/>
        <v>185.07521773555</v>
      </c>
      <c r="D54" s="1141">
        <f t="shared" si="178"/>
        <v>185.07521773555</v>
      </c>
      <c r="E54" s="1141">
        <f t="shared" ref="E54:F56" si="194">E53/(1+P53)</f>
        <v>292.68767016725</v>
      </c>
      <c r="F54" s="1141">
        <f t="shared" si="194"/>
        <v>166.881891328102</v>
      </c>
      <c r="G54" s="1146">
        <v>2009</v>
      </c>
      <c r="H54" s="1157">
        <v>3</v>
      </c>
      <c r="I54" s="1157">
        <v>2.1</v>
      </c>
      <c r="J54" s="1157">
        <v>1.86</v>
      </c>
      <c r="K54" s="1157">
        <v>2.29</v>
      </c>
      <c r="L54" s="1191">
        <v>0.85</v>
      </c>
      <c r="N54" s="1180">
        <f t="shared" si="180"/>
        <v>0.021</v>
      </c>
      <c r="O54" s="1187">
        <f t="shared" si="180"/>
        <v>0.0186</v>
      </c>
      <c r="P54" s="1187">
        <f t="shared" si="180"/>
        <v>0.0229</v>
      </c>
      <c r="Q54" s="1187">
        <f t="shared" si="180"/>
        <v>0.0085</v>
      </c>
      <c r="R54" s="1212"/>
      <c r="S54" s="1180"/>
      <c r="T54" s="1181"/>
      <c r="U54" s="1181"/>
      <c r="V54" s="1181"/>
    </row>
    <row r="55" spans="1:22">
      <c r="A55" s="1140" t="s">
        <v>2193</v>
      </c>
      <c r="B55" s="1141">
        <f t="shared" si="193"/>
        <v>210.630522469011</v>
      </c>
      <c r="C55" s="1141">
        <f t="shared" si="193"/>
        <v>181.695678122472</v>
      </c>
      <c r="D55" s="1141">
        <f t="shared" si="178"/>
        <v>181.695678122472</v>
      </c>
      <c r="E55" s="1141">
        <f t="shared" si="194"/>
        <v>286.135174667367</v>
      </c>
      <c r="F55" s="1141">
        <f t="shared" si="194"/>
        <v>165.475350845911</v>
      </c>
      <c r="G55" s="1146">
        <v>2009</v>
      </c>
      <c r="H55" s="1147">
        <v>2</v>
      </c>
      <c r="I55" s="1147">
        <v>0.86</v>
      </c>
      <c r="J55" s="1147">
        <v>-1.13</v>
      </c>
      <c r="K55" s="1147">
        <v>1.79</v>
      </c>
      <c r="L55" s="1184">
        <v>-2.07</v>
      </c>
      <c r="N55" s="1180">
        <f t="shared" si="180"/>
        <v>0.0086</v>
      </c>
      <c r="O55" s="1187">
        <f t="shared" si="180"/>
        <v>-0.0113</v>
      </c>
      <c r="P55" s="1187">
        <f t="shared" si="180"/>
        <v>0.0179</v>
      </c>
      <c r="Q55" s="1187">
        <f t="shared" si="180"/>
        <v>-0.0207</v>
      </c>
      <c r="R55" s="1212"/>
      <c r="S55" s="1180"/>
      <c r="T55" s="1181"/>
      <c r="U55" s="1181"/>
      <c r="V55" s="1181"/>
    </row>
    <row r="56" spans="1:26">
      <c r="A56" s="1140" t="s">
        <v>2194</v>
      </c>
      <c r="B56" s="1141">
        <f t="shared" si="193"/>
        <v>208.834545378754</v>
      </c>
      <c r="C56" s="1141">
        <f t="shared" si="193"/>
        <v>183.772305170904</v>
      </c>
      <c r="D56" s="1141">
        <f t="shared" si="178"/>
        <v>183.772305170904</v>
      </c>
      <c r="E56" s="1141">
        <f t="shared" si="194"/>
        <v>281.103423388709</v>
      </c>
      <c r="F56" s="1141">
        <f t="shared" si="194"/>
        <v>168.973093889423</v>
      </c>
      <c r="G56" s="1154">
        <v>2009</v>
      </c>
      <c r="H56" s="1142">
        <v>1</v>
      </c>
      <c r="I56" s="1142">
        <v>-2.64</v>
      </c>
      <c r="J56" s="1142">
        <v>-2.53</v>
      </c>
      <c r="K56" s="1142">
        <v>-3.02</v>
      </c>
      <c r="L56" s="1182">
        <v>1.52</v>
      </c>
      <c r="N56" s="1188">
        <f t="shared" si="180"/>
        <v>-0.0264</v>
      </c>
      <c r="O56" s="1189">
        <f t="shared" si="180"/>
        <v>-0.0253</v>
      </c>
      <c r="P56" s="1189">
        <f t="shared" si="180"/>
        <v>-0.0302</v>
      </c>
      <c r="Q56" s="1189">
        <f t="shared" si="180"/>
        <v>0.0152</v>
      </c>
      <c r="R56" s="1212"/>
      <c r="S56" s="1188">
        <f>B56/B57-1</f>
        <v>-0.0241376384170388</v>
      </c>
      <c r="T56" s="1189">
        <f>C56/C57-1</f>
        <v>-0.022487738452641</v>
      </c>
      <c r="U56" s="1189">
        <f>E56/E57-1</f>
        <v>-0.0273237945027354</v>
      </c>
      <c r="V56" s="1189">
        <f>F56/F57-1</f>
        <v>0.017910204153148</v>
      </c>
      <c r="X56" s="1181"/>
      <c r="Y56" s="1181"/>
      <c r="Z56" s="1181"/>
    </row>
    <row r="57" ht="13.5" spans="1:26">
      <c r="A57" s="1140" t="s">
        <v>2195</v>
      </c>
      <c r="B57" s="1168">
        <v>214</v>
      </c>
      <c r="C57" s="1168">
        <v>188</v>
      </c>
      <c r="D57" s="1168">
        <f t="shared" si="178"/>
        <v>188</v>
      </c>
      <c r="E57" s="1168">
        <v>289</v>
      </c>
      <c r="F57" s="1169">
        <v>166</v>
      </c>
      <c r="G57" s="1155">
        <v>2008</v>
      </c>
      <c r="H57" s="1156">
        <v>4</v>
      </c>
      <c r="I57" s="1156">
        <v>1.73</v>
      </c>
      <c r="J57" s="1156">
        <v>0.03</v>
      </c>
      <c r="K57" s="1156">
        <v>2.59</v>
      </c>
      <c r="L57" s="1190">
        <v>-1.66</v>
      </c>
      <c r="N57" s="1180">
        <f t="shared" si="180"/>
        <v>0.0173</v>
      </c>
      <c r="O57" s="1181">
        <f t="shared" si="180"/>
        <v>0.0003</v>
      </c>
      <c r="P57" s="1181">
        <f t="shared" si="180"/>
        <v>0.0259</v>
      </c>
      <c r="Q57" s="1181">
        <f t="shared" si="180"/>
        <v>-0.0166</v>
      </c>
      <c r="R57" s="1212"/>
      <c r="S57" s="1213"/>
      <c r="T57" s="1214"/>
      <c r="U57" s="1214"/>
      <c r="V57" s="1214"/>
      <c r="X57" s="1214"/>
      <c r="Y57" s="1214"/>
      <c r="Z57" s="1214"/>
    </row>
    <row r="58" spans="1:22">
      <c r="A58" s="1140" t="s">
        <v>2196</v>
      </c>
      <c r="B58" s="1141">
        <f t="shared" ref="B58:C60" si="195">B57/(1+N57)</f>
        <v>210.360758871523</v>
      </c>
      <c r="C58" s="1141">
        <f t="shared" si="195"/>
        <v>187.943616914926</v>
      </c>
      <c r="D58" s="1141">
        <f t="shared" si="178"/>
        <v>187.943616914926</v>
      </c>
      <c r="E58" s="1141">
        <f t="shared" ref="E58:F60" si="196">E57/(1+P57)</f>
        <v>281.703869772882</v>
      </c>
      <c r="F58" s="1141">
        <f t="shared" si="196"/>
        <v>168.80211511084</v>
      </c>
      <c r="G58" s="1146">
        <v>2008</v>
      </c>
      <c r="H58" s="1157">
        <v>3</v>
      </c>
      <c r="I58" s="1157">
        <v>1.96</v>
      </c>
      <c r="J58" s="1157">
        <v>2.36</v>
      </c>
      <c r="K58" s="1157">
        <v>1.82</v>
      </c>
      <c r="L58" s="1191">
        <v>2.22</v>
      </c>
      <c r="N58" s="1180">
        <f t="shared" si="180"/>
        <v>0.0196</v>
      </c>
      <c r="O58" s="1181">
        <f t="shared" si="180"/>
        <v>0.0236</v>
      </c>
      <c r="P58" s="1181">
        <f t="shared" si="180"/>
        <v>0.0182</v>
      </c>
      <c r="Q58" s="1181">
        <f t="shared" si="180"/>
        <v>0.0222</v>
      </c>
      <c r="R58" s="1212"/>
      <c r="S58" s="1180"/>
      <c r="T58" s="1181"/>
      <c r="U58" s="1181"/>
      <c r="V58" s="1181"/>
    </row>
    <row r="59" spans="1:22">
      <c r="A59" s="1140" t="s">
        <v>2197</v>
      </c>
      <c r="B59" s="1141">
        <f t="shared" si="195"/>
        <v>206.316946715891</v>
      </c>
      <c r="C59" s="1141">
        <f t="shared" si="195"/>
        <v>183.610411210361</v>
      </c>
      <c r="D59" s="1141">
        <f t="shared" si="178"/>
        <v>183.610411210361</v>
      </c>
      <c r="E59" s="1141">
        <f t="shared" si="196"/>
        <v>276.668503017956</v>
      </c>
      <c r="F59" s="1141">
        <f t="shared" si="196"/>
        <v>165.136093827861</v>
      </c>
      <c r="G59" s="1146">
        <v>2008</v>
      </c>
      <c r="H59" s="1147">
        <v>2</v>
      </c>
      <c r="I59" s="1147">
        <v>4.93</v>
      </c>
      <c r="J59" s="1147">
        <v>7.38</v>
      </c>
      <c r="K59" s="1147">
        <v>3.98</v>
      </c>
      <c r="L59" s="1184">
        <v>6.86</v>
      </c>
      <c r="N59" s="1180">
        <f t="shared" si="180"/>
        <v>0.0493</v>
      </c>
      <c r="O59" s="1181">
        <f t="shared" si="180"/>
        <v>0.0738</v>
      </c>
      <c r="P59" s="1181">
        <f t="shared" si="180"/>
        <v>0.0398</v>
      </c>
      <c r="Q59" s="1181">
        <f t="shared" si="180"/>
        <v>0.0686</v>
      </c>
      <c r="R59" s="1212"/>
      <c r="S59" s="1180"/>
      <c r="T59" s="1181"/>
      <c r="U59" s="1181"/>
      <c r="V59" s="1181"/>
    </row>
    <row r="60" s="1120" customFormat="1" ht="13.5" spans="1:26">
      <c r="A60" s="1140" t="s">
        <v>2198</v>
      </c>
      <c r="B60" s="1171">
        <f t="shared" si="195"/>
        <v>196.623412480598</v>
      </c>
      <c r="C60" s="1171">
        <f t="shared" si="195"/>
        <v>170.99125648199</v>
      </c>
      <c r="D60" s="1171">
        <f t="shared" si="178"/>
        <v>170.99125648199</v>
      </c>
      <c r="E60" s="1171">
        <f t="shared" si="196"/>
        <v>266.078575704901</v>
      </c>
      <c r="F60" s="1171">
        <f t="shared" si="196"/>
        <v>154.534993288285</v>
      </c>
      <c r="G60" s="1154">
        <v>2008</v>
      </c>
      <c r="H60" s="1172">
        <v>1</v>
      </c>
      <c r="I60" s="1172">
        <v>4.14</v>
      </c>
      <c r="J60" s="1172">
        <v>3.45</v>
      </c>
      <c r="K60" s="1172">
        <v>4.95</v>
      </c>
      <c r="L60" s="1197">
        <v>4.82</v>
      </c>
      <c r="N60" s="1198">
        <f t="shared" si="180"/>
        <v>0.0414</v>
      </c>
      <c r="O60" s="1199">
        <f t="shared" si="180"/>
        <v>0.0345</v>
      </c>
      <c r="P60" s="1199">
        <f t="shared" si="180"/>
        <v>0.0495</v>
      </c>
      <c r="Q60" s="1199">
        <f t="shared" si="180"/>
        <v>0.0482</v>
      </c>
      <c r="R60" s="1222"/>
      <c r="S60" s="1198">
        <f>B60/B61-1</f>
        <v>0.0458692153223283</v>
      </c>
      <c r="T60" s="1199">
        <f>C60/C61-1</f>
        <v>0.0363106453453947</v>
      </c>
      <c r="U60" s="1199">
        <f>E60/E61-1</f>
        <v>0.0475534476570887</v>
      </c>
      <c r="V60" s="1199">
        <f>F60/F61-1</f>
        <v>0.0441553600559801</v>
      </c>
      <c r="X60" s="1199"/>
      <c r="Y60" s="1199"/>
      <c r="Z60" s="1199"/>
    </row>
    <row r="61" ht="13.5" spans="1:26">
      <c r="A61" s="1140" t="s">
        <v>2199</v>
      </c>
      <c r="B61" s="1152">
        <v>188</v>
      </c>
      <c r="C61" s="1152">
        <v>165</v>
      </c>
      <c r="D61" s="1152">
        <f t="shared" si="178"/>
        <v>165</v>
      </c>
      <c r="E61" s="1152">
        <v>254</v>
      </c>
      <c r="F61" s="1153">
        <v>148</v>
      </c>
      <c r="G61" s="1155">
        <v>2007</v>
      </c>
      <c r="H61" s="1173">
        <v>4</v>
      </c>
      <c r="I61" s="1173">
        <v>5.51</v>
      </c>
      <c r="J61" s="1173">
        <v>4.89</v>
      </c>
      <c r="K61" s="1173">
        <v>6.43</v>
      </c>
      <c r="L61" s="1200">
        <v>5.36</v>
      </c>
      <c r="N61" s="1201">
        <f t="shared" ref="N61:O64" si="197">B61/B62-1</f>
        <v>0.0413397183652455</v>
      </c>
      <c r="O61" s="1202">
        <f t="shared" si="197"/>
        <v>0.040324492593776</v>
      </c>
      <c r="P61" s="1202">
        <f t="shared" ref="P61:Q64" si="198">E61/E62-1</f>
        <v>0.061625555347991</v>
      </c>
      <c r="Q61" s="1202">
        <f t="shared" si="198"/>
        <v>0.0467575692505906</v>
      </c>
      <c r="R61" s="1212"/>
      <c r="S61" s="1213"/>
      <c r="T61" s="1214"/>
      <c r="U61" s="1214"/>
      <c r="V61" s="1214"/>
      <c r="X61" s="1214"/>
      <c r="Y61" s="1214"/>
      <c r="Z61" s="1214"/>
    </row>
    <row r="62" spans="1:26">
      <c r="A62" s="1140" t="s">
        <v>2200</v>
      </c>
      <c r="B62" s="1141">
        <f t="shared" ref="B62:C64" si="199">B63+(B$61-B$65)*I62/SUM(I$61:I$64)</f>
        <v>180.536665109762</v>
      </c>
      <c r="C62" s="1141">
        <f t="shared" si="199"/>
        <v>158.604359673025</v>
      </c>
      <c r="D62" s="1141">
        <f t="shared" si="178"/>
        <v>158.604359673025</v>
      </c>
      <c r="E62" s="1141">
        <f t="shared" ref="E62:F64" si="200">E63+(E$61-E$65)*K62/SUM(K$61:K$64)</f>
        <v>239.255732607851</v>
      </c>
      <c r="F62" s="1141">
        <f t="shared" si="200"/>
        <v>141.3889943074</v>
      </c>
      <c r="G62" s="1146">
        <v>2007</v>
      </c>
      <c r="H62" s="1157">
        <v>3</v>
      </c>
      <c r="I62" s="1157">
        <v>8.65</v>
      </c>
      <c r="J62" s="1157">
        <v>8.06</v>
      </c>
      <c r="K62" s="1157">
        <v>9.94</v>
      </c>
      <c r="L62" s="1191">
        <v>5.8</v>
      </c>
      <c r="N62" s="1201">
        <f t="shared" si="197"/>
        <v>0.0694021757174001</v>
      </c>
      <c r="O62" s="1202">
        <f t="shared" si="197"/>
        <v>0.0711974824711534</v>
      </c>
      <c r="P62" s="1202">
        <f t="shared" si="198"/>
        <v>0.105296799225796</v>
      </c>
      <c r="Q62" s="1202">
        <f t="shared" si="198"/>
        <v>0.0532922450595121</v>
      </c>
      <c r="R62" s="1212"/>
      <c r="S62" s="1180"/>
      <c r="T62" s="1181"/>
      <c r="U62" s="1181"/>
      <c r="V62" s="1181"/>
      <c r="X62" s="1223"/>
      <c r="Y62" s="1223"/>
      <c r="Z62" s="1223"/>
    </row>
    <row r="63" spans="1:26">
      <c r="A63" s="1140" t="s">
        <v>2201</v>
      </c>
      <c r="B63" s="1141">
        <f t="shared" si="199"/>
        <v>168.820177487156</v>
      </c>
      <c r="C63" s="1141">
        <f t="shared" si="199"/>
        <v>148.062670299728</v>
      </c>
      <c r="D63" s="1141">
        <f t="shared" si="178"/>
        <v>148.062670299728</v>
      </c>
      <c r="E63" s="1141">
        <f t="shared" si="200"/>
        <v>216.462883793237</v>
      </c>
      <c r="F63" s="1141">
        <f t="shared" si="200"/>
        <v>134.235294117647</v>
      </c>
      <c r="G63" s="1146">
        <v>2007</v>
      </c>
      <c r="H63" s="1147">
        <v>2</v>
      </c>
      <c r="I63" s="1147">
        <v>3.67</v>
      </c>
      <c r="J63" s="1147">
        <v>2.32</v>
      </c>
      <c r="K63" s="1147">
        <v>5.02</v>
      </c>
      <c r="L63" s="1184">
        <v>6.71</v>
      </c>
      <c r="N63" s="1201">
        <f t="shared" si="197"/>
        <v>0.030339138143848</v>
      </c>
      <c r="O63" s="1202">
        <f t="shared" si="197"/>
        <v>0.0209223415887905</v>
      </c>
      <c r="P63" s="1202">
        <f t="shared" si="198"/>
        <v>0.056164796592717</v>
      </c>
      <c r="Q63" s="1202">
        <f t="shared" si="198"/>
        <v>0.0657045367238873</v>
      </c>
      <c r="R63" s="1212"/>
      <c r="S63" s="1180"/>
      <c r="T63" s="1181"/>
      <c r="U63" s="1181"/>
      <c r="V63" s="1181"/>
      <c r="X63" s="1223"/>
      <c r="Y63" s="1223"/>
      <c r="Z63" s="1223"/>
    </row>
    <row r="64" spans="1:26">
      <c r="A64" s="1140" t="s">
        <v>2202</v>
      </c>
      <c r="B64" s="1141">
        <f t="shared" si="199"/>
        <v>163.849135917795</v>
      </c>
      <c r="C64" s="1141">
        <f t="shared" si="199"/>
        <v>145.028337874659</v>
      </c>
      <c r="D64" s="1141">
        <f t="shared" si="178"/>
        <v>145.028337874659</v>
      </c>
      <c r="E64" s="1141">
        <f t="shared" si="200"/>
        <v>204.951807228916</v>
      </c>
      <c r="F64" s="1141">
        <f t="shared" si="200"/>
        <v>125.959203036053</v>
      </c>
      <c r="G64" s="1154">
        <v>2007</v>
      </c>
      <c r="H64" s="1142">
        <v>1</v>
      </c>
      <c r="I64" s="1142">
        <v>3.58</v>
      </c>
      <c r="J64" s="1142">
        <v>3.08</v>
      </c>
      <c r="K64" s="1142">
        <v>4.34</v>
      </c>
      <c r="L64" s="1182">
        <v>3.21</v>
      </c>
      <c r="N64" s="1203">
        <f t="shared" si="197"/>
        <v>0.0304977101748141</v>
      </c>
      <c r="O64" s="1204">
        <f t="shared" si="197"/>
        <v>0.028569772160705</v>
      </c>
      <c r="P64" s="1204">
        <f t="shared" si="198"/>
        <v>0.0510349088662343</v>
      </c>
      <c r="Q64" s="1204">
        <f t="shared" si="198"/>
        <v>0.0324524839020748</v>
      </c>
      <c r="R64" s="1212"/>
      <c r="S64" s="1188">
        <f>B64/B65-1</f>
        <v>0.0304977101748141</v>
      </c>
      <c r="T64" s="1189">
        <f>C64/C65-1</f>
        <v>0.028569772160705</v>
      </c>
      <c r="U64" s="1189">
        <f>E64/E65-1</f>
        <v>0.0510349088662343</v>
      </c>
      <c r="V64" s="1189">
        <f>F64/F65-1</f>
        <v>0.0324524839020748</v>
      </c>
      <c r="X64" s="1223"/>
      <c r="Y64" s="1223"/>
      <c r="Z64" s="1223"/>
    </row>
    <row r="65" ht="13.5" spans="1:26">
      <c r="A65" s="1140" t="s">
        <v>2203</v>
      </c>
      <c r="B65" s="1158">
        <v>159</v>
      </c>
      <c r="C65" s="1158">
        <v>141</v>
      </c>
      <c r="D65" s="1158">
        <f t="shared" si="178"/>
        <v>141</v>
      </c>
      <c r="E65" s="1158">
        <v>195</v>
      </c>
      <c r="F65" s="1159">
        <v>122</v>
      </c>
      <c r="G65" s="1155">
        <v>2006</v>
      </c>
      <c r="H65" s="1156">
        <v>4</v>
      </c>
      <c r="I65" s="1156">
        <v>3.79</v>
      </c>
      <c r="J65" s="1156">
        <v>2.21</v>
      </c>
      <c r="K65" s="1156">
        <v>5.65</v>
      </c>
      <c r="L65" s="1190">
        <v>5.41</v>
      </c>
      <c r="N65" s="1201">
        <f t="shared" ref="N65:O68" si="201">I65/SUM(I$65:I$68)*(B$65/B$69-1)</f>
        <v>0.0724546646274853</v>
      </c>
      <c r="O65" s="1202">
        <f t="shared" si="201"/>
        <v>0.0232372300380628</v>
      </c>
      <c r="P65" s="1202">
        <f t="shared" ref="P65:Q68" si="202">K65/SUM(K$65:K$68)*(E$65/E$69-1)</f>
        <v>0.161468938663237</v>
      </c>
      <c r="Q65" s="1202">
        <f t="shared" si="202"/>
        <v>0.0507552303217938</v>
      </c>
      <c r="R65" s="1212"/>
      <c r="S65" s="1213"/>
      <c r="T65" s="1214"/>
      <c r="U65" s="1214"/>
      <c r="V65" s="1214"/>
      <c r="X65" s="1223"/>
      <c r="Y65" s="1223"/>
      <c r="Z65" s="1223"/>
    </row>
    <row r="66" spans="1:26">
      <c r="A66" s="1140" t="s">
        <v>2204</v>
      </c>
      <c r="B66" s="1141">
        <f t="shared" ref="B66:C68" si="203">B67+(B$65-B$69)*I66/SUM(I$65:I$68)</f>
        <v>149.001256281407</v>
      </c>
      <c r="C66" s="1141">
        <f t="shared" si="203"/>
        <v>137.955922865014</v>
      </c>
      <c r="D66" s="1141">
        <f t="shared" si="178"/>
        <v>137.955922865014</v>
      </c>
      <c r="E66" s="1141">
        <f t="shared" ref="E66:F68" si="204">E67+(E$65-E$69)*K66/SUM(K$65:K$68)</f>
        <v>169.972314507198</v>
      </c>
      <c r="F66" s="1141">
        <f t="shared" si="204"/>
        <v>116.213903743316</v>
      </c>
      <c r="G66" s="1146">
        <v>2006</v>
      </c>
      <c r="H66" s="1157">
        <v>3</v>
      </c>
      <c r="I66" s="1157">
        <v>0.92</v>
      </c>
      <c r="J66" s="1157">
        <v>1.08</v>
      </c>
      <c r="K66" s="1157">
        <v>0.73</v>
      </c>
      <c r="L66" s="1191">
        <v>1.08</v>
      </c>
      <c r="N66" s="1201">
        <f t="shared" si="201"/>
        <v>0.0175879396984925</v>
      </c>
      <c r="O66" s="1202">
        <f t="shared" si="201"/>
        <v>0.0113557504258406</v>
      </c>
      <c r="P66" s="1202">
        <f t="shared" si="202"/>
        <v>0.0208623584467545</v>
      </c>
      <c r="Q66" s="1202">
        <f t="shared" si="202"/>
        <v>0.010132282578103</v>
      </c>
      <c r="R66" s="1212"/>
      <c r="S66" s="1180"/>
      <c r="T66" s="1181"/>
      <c r="U66" s="1181"/>
      <c r="V66" s="1181"/>
      <c r="X66" s="1223"/>
      <c r="Y66" s="1223"/>
      <c r="Z66" s="1223"/>
    </row>
    <row r="67" spans="1:26">
      <c r="A67" s="1140" t="s">
        <v>2205</v>
      </c>
      <c r="B67" s="1141">
        <f t="shared" si="203"/>
        <v>146.574120603015</v>
      </c>
      <c r="C67" s="1141">
        <f t="shared" si="203"/>
        <v>136.468319559229</v>
      </c>
      <c r="D67" s="1141">
        <f t="shared" si="178"/>
        <v>136.468319559229</v>
      </c>
      <c r="E67" s="1141">
        <f t="shared" si="204"/>
        <v>166.738648947951</v>
      </c>
      <c r="F67" s="1141">
        <f t="shared" si="204"/>
        <v>115.058823529412</v>
      </c>
      <c r="G67" s="1146">
        <v>2006</v>
      </c>
      <c r="H67" s="1147">
        <v>2</v>
      </c>
      <c r="I67" s="1147">
        <v>0.96</v>
      </c>
      <c r="J67" s="1147">
        <v>0.25</v>
      </c>
      <c r="K67" s="1147">
        <v>1.9</v>
      </c>
      <c r="L67" s="1184">
        <v>0.95</v>
      </c>
      <c r="N67" s="1201">
        <f t="shared" si="201"/>
        <v>0.0183526327288617</v>
      </c>
      <c r="O67" s="1202">
        <f t="shared" si="201"/>
        <v>0.00262864593190755</v>
      </c>
      <c r="P67" s="1202">
        <f t="shared" si="202"/>
        <v>0.0542992891079913</v>
      </c>
      <c r="Q67" s="1202">
        <f t="shared" si="202"/>
        <v>0.0089126559714795</v>
      </c>
      <c r="R67" s="1212"/>
      <c r="S67" s="1180"/>
      <c r="T67" s="1181"/>
      <c r="U67" s="1181"/>
      <c r="V67" s="1181"/>
      <c r="X67" s="1223"/>
      <c r="Y67" s="1223"/>
      <c r="Z67" s="1223"/>
    </row>
    <row r="68" spans="1:26">
      <c r="A68" s="1140" t="s">
        <v>2206</v>
      </c>
      <c r="B68" s="1141">
        <f t="shared" si="203"/>
        <v>144.041457286432</v>
      </c>
      <c r="C68" s="1141">
        <f t="shared" si="203"/>
        <v>136.123966942149</v>
      </c>
      <c r="D68" s="1141">
        <f t="shared" si="178"/>
        <v>136.123966942149</v>
      </c>
      <c r="E68" s="1141">
        <f t="shared" si="204"/>
        <v>158.322259136213</v>
      </c>
      <c r="F68" s="1141">
        <f t="shared" si="204"/>
        <v>114.042780748663</v>
      </c>
      <c r="G68" s="1154">
        <v>2006</v>
      </c>
      <c r="H68" s="1142">
        <v>1</v>
      </c>
      <c r="I68" s="1142">
        <v>2.29</v>
      </c>
      <c r="J68" s="1142">
        <v>3.72</v>
      </c>
      <c r="K68" s="1142">
        <v>0.75</v>
      </c>
      <c r="L68" s="1182">
        <v>0.04</v>
      </c>
      <c r="N68" s="1203">
        <f t="shared" si="201"/>
        <v>0.0437786759886388</v>
      </c>
      <c r="O68" s="1204">
        <f t="shared" si="201"/>
        <v>0.0391142514667844</v>
      </c>
      <c r="P68" s="1204">
        <f t="shared" si="202"/>
        <v>0.0214339299110492</v>
      </c>
      <c r="Q68" s="1204">
        <f t="shared" si="202"/>
        <v>0.000375269725114926</v>
      </c>
      <c r="R68" s="1212"/>
      <c r="S68" s="1188">
        <f>B68/B69-1</f>
        <v>0.0437786759886387</v>
      </c>
      <c r="T68" s="1189">
        <f>C68/C69-1</f>
        <v>0.0391142514667846</v>
      </c>
      <c r="U68" s="1189">
        <f>E68/E69-1</f>
        <v>0.0214339299110493</v>
      </c>
      <c r="V68" s="1189">
        <f>F68/F69-1</f>
        <v>0.000375269725114924</v>
      </c>
      <c r="X68" s="1223"/>
      <c r="Y68" s="1223"/>
      <c r="Z68" s="1223"/>
    </row>
    <row r="69" ht="13.5" spans="1:26">
      <c r="A69" s="1140" t="s">
        <v>2207</v>
      </c>
      <c r="B69" s="1158">
        <v>138</v>
      </c>
      <c r="C69" s="1158">
        <v>131</v>
      </c>
      <c r="D69" s="1158">
        <f t="shared" si="178"/>
        <v>131</v>
      </c>
      <c r="E69" s="1158">
        <v>155</v>
      </c>
      <c r="F69" s="1159">
        <v>114</v>
      </c>
      <c r="G69" s="1155">
        <v>2005</v>
      </c>
      <c r="H69" s="1156">
        <v>4</v>
      </c>
      <c r="I69" s="1156">
        <v>3.29</v>
      </c>
      <c r="J69" s="1156">
        <v>1.44</v>
      </c>
      <c r="K69" s="1156">
        <v>0.66</v>
      </c>
      <c r="L69" s="1190">
        <v>7.78</v>
      </c>
      <c r="N69" s="1201">
        <f t="shared" ref="N69:O72" si="205">I69/SUM(I$69:I$72)*(B$69/B$73-1)</f>
        <v>0.0994046032169199</v>
      </c>
      <c r="O69" s="1202">
        <f t="shared" si="205"/>
        <v>0.0476365507608616</v>
      </c>
      <c r="P69" s="1202">
        <f t="shared" ref="P69:Q72" si="206">K69/SUM(K$69:K$72)*(E$69/E$73-1)</f>
        <v>0.083756345177665</v>
      </c>
      <c r="Q69" s="1202">
        <f t="shared" si="206"/>
        <v>0.0521487666615596</v>
      </c>
      <c r="R69" s="1212"/>
      <c r="S69" s="1213"/>
      <c r="T69" s="1214"/>
      <c r="U69" s="1214"/>
      <c r="V69" s="1214"/>
      <c r="X69" s="1223"/>
      <c r="Y69" s="1223"/>
      <c r="Z69" s="1223"/>
    </row>
    <row r="70" spans="1:26">
      <c r="A70" s="1140" t="s">
        <v>2208</v>
      </c>
      <c r="B70" s="1141">
        <f t="shared" ref="B70:C72" si="207">B71+(B$69-B$73)*I70/SUM(I$69:I$72)</f>
        <v>125.972043010753</v>
      </c>
      <c r="C70" s="1141">
        <f t="shared" si="207"/>
        <v>125.188340807175</v>
      </c>
      <c r="D70" s="1141">
        <f t="shared" si="178"/>
        <v>125.188340807175</v>
      </c>
      <c r="E70" s="1141">
        <f t="shared" ref="E70:F72" si="208">E71+(E$69-E$73)*K70/SUM(K$69:K$72)</f>
        <v>144.61421319797</v>
      </c>
      <c r="F70" s="1141">
        <f t="shared" si="208"/>
        <v>108.420081967213</v>
      </c>
      <c r="G70" s="1146">
        <v>2005</v>
      </c>
      <c r="H70" s="1157">
        <v>3</v>
      </c>
      <c r="I70" s="1157">
        <v>0.46</v>
      </c>
      <c r="J70" s="1157">
        <v>0.32</v>
      </c>
      <c r="K70" s="1157">
        <v>0.42</v>
      </c>
      <c r="L70" s="1191">
        <v>0.64</v>
      </c>
      <c r="N70" s="1201">
        <f t="shared" si="205"/>
        <v>0.0138985159513019</v>
      </c>
      <c r="O70" s="1202">
        <f t="shared" si="205"/>
        <v>0.0105859001690803</v>
      </c>
      <c r="P70" s="1202">
        <f t="shared" si="206"/>
        <v>0.0532994923857868</v>
      </c>
      <c r="Q70" s="1202">
        <f t="shared" si="206"/>
        <v>0.00428987283591236</v>
      </c>
      <c r="R70" s="1212"/>
      <c r="S70" s="1180"/>
      <c r="T70" s="1181"/>
      <c r="U70" s="1181"/>
      <c r="V70" s="1181"/>
      <c r="X70" s="1223"/>
      <c r="Y70" s="1223"/>
      <c r="Z70" s="1223"/>
    </row>
    <row r="71" spans="1:26">
      <c r="A71" s="1140" t="s">
        <v>2209</v>
      </c>
      <c r="B71" s="1141">
        <f t="shared" si="207"/>
        <v>124.290322580645</v>
      </c>
      <c r="C71" s="1141">
        <f t="shared" si="207"/>
        <v>123.896860986547</v>
      </c>
      <c r="D71" s="1141">
        <f t="shared" si="178"/>
        <v>123.896860986547</v>
      </c>
      <c r="E71" s="1141">
        <f t="shared" si="208"/>
        <v>138.005076142132</v>
      </c>
      <c r="F71" s="1141">
        <f t="shared" si="208"/>
        <v>107.96106557377</v>
      </c>
      <c r="G71" s="1146">
        <v>2005</v>
      </c>
      <c r="H71" s="1147">
        <v>2</v>
      </c>
      <c r="I71" s="1147">
        <v>0.47</v>
      </c>
      <c r="J71" s="1147">
        <v>0.1</v>
      </c>
      <c r="K71" s="1147">
        <v>0.52</v>
      </c>
      <c r="L71" s="1184">
        <v>0.79</v>
      </c>
      <c r="N71" s="1201">
        <f t="shared" si="205"/>
        <v>0.0142006576024171</v>
      </c>
      <c r="O71" s="1202">
        <f t="shared" si="205"/>
        <v>0.00330809380283761</v>
      </c>
      <c r="P71" s="1202">
        <f t="shared" si="206"/>
        <v>0.065989847715736</v>
      </c>
      <c r="Q71" s="1202">
        <f t="shared" si="206"/>
        <v>0.00529531178182932</v>
      </c>
      <c r="R71" s="1212"/>
      <c r="S71" s="1180"/>
      <c r="T71" s="1181"/>
      <c r="U71" s="1181"/>
      <c r="V71" s="1181"/>
      <c r="X71" s="1223"/>
      <c r="Y71" s="1223"/>
      <c r="Z71" s="1223"/>
    </row>
    <row r="72" spans="1:26">
      <c r="A72" s="1140" t="s">
        <v>2210</v>
      </c>
      <c r="B72" s="1141">
        <f t="shared" si="207"/>
        <v>122.572043010753</v>
      </c>
      <c r="C72" s="1141">
        <f t="shared" si="207"/>
        <v>123.493273542601</v>
      </c>
      <c r="D72" s="1141">
        <f t="shared" si="178"/>
        <v>123.493273542601</v>
      </c>
      <c r="E72" s="1141">
        <f t="shared" si="208"/>
        <v>129.822335025381</v>
      </c>
      <c r="F72" s="1141">
        <f t="shared" si="208"/>
        <v>107.394467213115</v>
      </c>
      <c r="G72" s="1154">
        <v>2005</v>
      </c>
      <c r="H72" s="1142">
        <v>1</v>
      </c>
      <c r="I72" s="1142">
        <v>0.43</v>
      </c>
      <c r="J72" s="1142">
        <v>0.37</v>
      </c>
      <c r="K72" s="1142">
        <v>0.37</v>
      </c>
      <c r="L72" s="1182">
        <v>0.55</v>
      </c>
      <c r="N72" s="1203">
        <f t="shared" si="205"/>
        <v>0.0129920909979561</v>
      </c>
      <c r="O72" s="1204">
        <f t="shared" si="205"/>
        <v>0.0122399470704992</v>
      </c>
      <c r="P72" s="1204">
        <f t="shared" si="206"/>
        <v>0.0469543147208122</v>
      </c>
      <c r="Q72" s="1204">
        <f t="shared" si="206"/>
        <v>0.00368660946836218</v>
      </c>
      <c r="R72" s="1212"/>
      <c r="S72" s="1188">
        <f>B72/B73-1</f>
        <v>0.0129920909979562</v>
      </c>
      <c r="T72" s="1189">
        <f>C72/C73-1</f>
        <v>0.0122399470704992</v>
      </c>
      <c r="U72" s="1189">
        <f>E72/E73-1</f>
        <v>0.0469543147208122</v>
      </c>
      <c r="V72" s="1189">
        <f>F72/F73-1</f>
        <v>0.00368660946836208</v>
      </c>
      <c r="X72" s="1223"/>
      <c r="Y72" s="1223"/>
      <c r="Z72" s="1223"/>
    </row>
    <row r="73" ht="13.5" spans="1:26">
      <c r="A73" s="1140" t="s">
        <v>2211</v>
      </c>
      <c r="B73" s="1168">
        <v>121</v>
      </c>
      <c r="C73" s="1168">
        <v>122</v>
      </c>
      <c r="D73" s="1168">
        <f t="shared" si="178"/>
        <v>122</v>
      </c>
      <c r="E73" s="1168">
        <v>124</v>
      </c>
      <c r="F73" s="1169">
        <v>107</v>
      </c>
      <c r="G73" s="1155">
        <v>2004</v>
      </c>
      <c r="H73" s="1156">
        <v>4</v>
      </c>
      <c r="I73" s="1156">
        <v>0.33</v>
      </c>
      <c r="J73" s="1156">
        <v>0.5</v>
      </c>
      <c r="K73" s="1156">
        <v>0.5</v>
      </c>
      <c r="L73" s="1190">
        <v>0</v>
      </c>
      <c r="N73" s="1201">
        <f t="shared" ref="N73:O76" si="209">I73/SUM(I$73:I$76)*(B$73/B$77-1)</f>
        <v>0.0133917701485269</v>
      </c>
      <c r="O73" s="1202">
        <f t="shared" si="209"/>
        <v>0.0106326422115896</v>
      </c>
      <c r="P73" s="1202">
        <f t="shared" ref="P73:Q76" si="210">K73/SUM(K$73:K$76)*(E$73/E$77-1)</f>
        <v>0.0222444666889111</v>
      </c>
      <c r="Q73" s="1202">
        <f t="shared" si="210"/>
        <v>0</v>
      </c>
      <c r="R73" s="1212"/>
      <c r="S73" s="1213"/>
      <c r="T73" s="1214"/>
      <c r="U73" s="1214"/>
      <c r="V73" s="1214"/>
      <c r="X73" s="1223"/>
      <c r="Y73" s="1223"/>
      <c r="Z73" s="1223"/>
    </row>
    <row r="74" spans="1:26">
      <c r="A74" s="1140" t="s">
        <v>2212</v>
      </c>
      <c r="B74" s="1141">
        <f t="shared" ref="B74:C76" si="211">B75+(B$73-B$77)*I74/SUM(I$73:I$76)</f>
        <v>119.513513513514</v>
      </c>
      <c r="C74" s="1141">
        <f t="shared" si="211"/>
        <v>120.787878787879</v>
      </c>
      <c r="D74" s="1141">
        <f t="shared" si="178"/>
        <v>120.787878787879</v>
      </c>
      <c r="E74" s="1141">
        <f t="shared" ref="E74:F76" si="212">E75+(E$73-E$77)*K74/SUM(K$73:K$76)</f>
        <v>121.597597597598</v>
      </c>
      <c r="F74" s="1141">
        <f t="shared" si="212"/>
        <v>107</v>
      </c>
      <c r="G74" s="1146">
        <v>2004</v>
      </c>
      <c r="H74" s="1157">
        <v>3</v>
      </c>
      <c r="I74" s="1157">
        <v>0.56</v>
      </c>
      <c r="J74" s="1157">
        <v>0.8</v>
      </c>
      <c r="K74" s="1157">
        <v>0.83</v>
      </c>
      <c r="L74" s="1191">
        <v>0.06</v>
      </c>
      <c r="N74" s="1201">
        <f t="shared" si="209"/>
        <v>0.0227254281308335</v>
      </c>
      <c r="O74" s="1202">
        <f t="shared" si="209"/>
        <v>0.0170122275385433</v>
      </c>
      <c r="P74" s="1202">
        <f t="shared" si="210"/>
        <v>0.0369258147035925</v>
      </c>
      <c r="Q74" s="1202">
        <f t="shared" si="210"/>
        <v>0.0288461538461537</v>
      </c>
      <c r="R74" s="1212"/>
      <c r="S74" s="1180"/>
      <c r="T74" s="1181"/>
      <c r="U74" s="1181"/>
      <c r="V74" s="1181"/>
      <c r="X74" s="1223"/>
      <c r="Y74" s="1223"/>
      <c r="Z74" s="1223"/>
    </row>
    <row r="75" spans="1:26">
      <c r="A75" s="1140" t="s">
        <v>2213</v>
      </c>
      <c r="B75" s="1141">
        <f t="shared" si="211"/>
        <v>116.990990990991</v>
      </c>
      <c r="C75" s="1141">
        <f t="shared" si="211"/>
        <v>118.848484848485</v>
      </c>
      <c r="D75" s="1141">
        <f t="shared" si="178"/>
        <v>118.848484848485</v>
      </c>
      <c r="E75" s="1141">
        <f t="shared" si="212"/>
        <v>117.60960960961</v>
      </c>
      <c r="F75" s="1141">
        <f t="shared" si="212"/>
        <v>104</v>
      </c>
      <c r="G75" s="1146">
        <v>2004</v>
      </c>
      <c r="H75" s="1147">
        <v>2</v>
      </c>
      <c r="I75" s="1147">
        <v>1</v>
      </c>
      <c r="J75" s="1147">
        <v>1.5</v>
      </c>
      <c r="K75" s="1147">
        <v>1.5</v>
      </c>
      <c r="L75" s="1184">
        <v>0</v>
      </c>
      <c r="N75" s="1201">
        <f t="shared" si="209"/>
        <v>0.0405811216622027</v>
      </c>
      <c r="O75" s="1202">
        <f t="shared" si="209"/>
        <v>0.0318979266347687</v>
      </c>
      <c r="P75" s="1202">
        <f t="shared" si="210"/>
        <v>0.0667334000667334</v>
      </c>
      <c r="Q75" s="1202">
        <f t="shared" si="210"/>
        <v>0</v>
      </c>
      <c r="R75" s="1212"/>
      <c r="S75" s="1180"/>
      <c r="T75" s="1181"/>
      <c r="U75" s="1181"/>
      <c r="V75" s="1181"/>
      <c r="X75" s="1223"/>
      <c r="Y75" s="1223"/>
      <c r="Z75" s="1223"/>
    </row>
    <row r="76" s="1120" customFormat="1" ht="13.5" spans="1:26">
      <c r="A76" s="1140" t="s">
        <v>2214</v>
      </c>
      <c r="B76" s="1171">
        <f t="shared" si="211"/>
        <v>112.486486486486</v>
      </c>
      <c r="C76" s="1171">
        <f t="shared" si="211"/>
        <v>115.212121212121</v>
      </c>
      <c r="D76" s="1171">
        <f t="shared" si="178"/>
        <v>115.212121212121</v>
      </c>
      <c r="E76" s="1171">
        <f t="shared" si="212"/>
        <v>110.402402402402</v>
      </c>
      <c r="F76" s="1171">
        <f t="shared" si="212"/>
        <v>104</v>
      </c>
      <c r="G76" s="1154">
        <v>2004</v>
      </c>
      <c r="H76" s="1172">
        <v>1</v>
      </c>
      <c r="I76" s="1172">
        <v>0.33</v>
      </c>
      <c r="J76" s="1172">
        <v>0.5</v>
      </c>
      <c r="K76" s="1172">
        <v>0.5</v>
      </c>
      <c r="L76" s="1197">
        <v>0</v>
      </c>
      <c r="N76" s="1239">
        <f t="shared" si="209"/>
        <v>0.0133917701485269</v>
      </c>
      <c r="O76" s="1240">
        <f t="shared" si="209"/>
        <v>0.0106326422115896</v>
      </c>
      <c r="P76" s="1240">
        <f t="shared" si="210"/>
        <v>0.0222444666889111</v>
      </c>
      <c r="Q76" s="1240">
        <f t="shared" si="210"/>
        <v>0</v>
      </c>
      <c r="R76" s="1222"/>
      <c r="S76" s="1198">
        <f>B76/B77-1</f>
        <v>0.0133917701485269</v>
      </c>
      <c r="T76" s="1199">
        <f>C76/C77-1</f>
        <v>0.0106326422115897</v>
      </c>
      <c r="U76" s="1199">
        <f>E76/E77-1</f>
        <v>0.0222444666889112</v>
      </c>
      <c r="V76" s="1199">
        <f>F76/F77-1</f>
        <v>0</v>
      </c>
      <c r="X76" s="1247"/>
      <c r="Y76" s="1247"/>
      <c r="Z76" s="1247"/>
    </row>
    <row r="77" ht="13.5" spans="1:26">
      <c r="A77" s="1140" t="s">
        <v>2215</v>
      </c>
      <c r="B77" s="1227">
        <v>111</v>
      </c>
      <c r="C77" s="1227">
        <v>114</v>
      </c>
      <c r="D77" s="1227">
        <f t="shared" si="178"/>
        <v>114</v>
      </c>
      <c r="E77" s="1227">
        <v>108</v>
      </c>
      <c r="F77" s="1228">
        <v>104</v>
      </c>
      <c r="G77" s="1155">
        <v>2003</v>
      </c>
      <c r="H77" s="1173">
        <v>4</v>
      </c>
      <c r="I77" s="1241"/>
      <c r="J77" s="1241"/>
      <c r="K77" s="1241"/>
      <c r="L77" s="1241"/>
      <c r="N77" s="1242"/>
      <c r="O77" s="1241"/>
      <c r="P77" s="1241"/>
      <c r="Q77" s="1241"/>
      <c r="S77" s="1242"/>
      <c r="T77" s="1241"/>
      <c r="U77" s="1241"/>
      <c r="V77" s="1241"/>
      <c r="X77" s="1223"/>
      <c r="Y77" s="1223"/>
      <c r="Z77" s="1223"/>
    </row>
    <row r="78" spans="1:26">
      <c r="A78" s="1140" t="s">
        <v>2216</v>
      </c>
      <c r="B78" s="1229">
        <f t="shared" ref="B78:C80" si="213">B79+(B$77-B$81)/4</f>
        <v>109.75</v>
      </c>
      <c r="C78" s="1229">
        <f t="shared" si="213"/>
        <v>112.25</v>
      </c>
      <c r="D78" s="1229">
        <f t="shared" si="178"/>
        <v>112.25</v>
      </c>
      <c r="E78" s="1229">
        <f t="shared" ref="E78:F80" si="214">E79+(E$77-E$81)/4</f>
        <v>107.25</v>
      </c>
      <c r="F78" s="1229">
        <f t="shared" si="214"/>
        <v>103.5</v>
      </c>
      <c r="G78" s="1146">
        <v>2003</v>
      </c>
      <c r="H78" s="1157">
        <v>3</v>
      </c>
      <c r="I78" s="1241"/>
      <c r="J78" s="1241"/>
      <c r="K78" s="1241"/>
      <c r="L78" s="1241"/>
      <c r="X78" s="1223"/>
      <c r="Y78" s="1223"/>
      <c r="Z78" s="1223"/>
    </row>
    <row r="79" spans="1:26">
      <c r="A79" s="1140" t="s">
        <v>2217</v>
      </c>
      <c r="B79" s="1229">
        <f t="shared" si="213"/>
        <v>108.5</v>
      </c>
      <c r="C79" s="1229">
        <f t="shared" si="213"/>
        <v>110.5</v>
      </c>
      <c r="D79" s="1229">
        <f t="shared" si="178"/>
        <v>110.5</v>
      </c>
      <c r="E79" s="1229">
        <f t="shared" si="214"/>
        <v>106.5</v>
      </c>
      <c r="F79" s="1229">
        <f t="shared" si="214"/>
        <v>103</v>
      </c>
      <c r="G79" s="1146">
        <v>2003</v>
      </c>
      <c r="H79" s="1147">
        <v>2</v>
      </c>
      <c r="I79" s="1241"/>
      <c r="J79" s="1241"/>
      <c r="K79" s="1241"/>
      <c r="L79" s="1241"/>
      <c r="X79" s="1223"/>
      <c r="Y79" s="1223"/>
      <c r="Z79" s="1223"/>
    </row>
    <row r="80" ht="13.5" spans="1:26">
      <c r="A80" s="1140" t="s">
        <v>2218</v>
      </c>
      <c r="B80" s="1229">
        <f t="shared" si="213"/>
        <v>107.25</v>
      </c>
      <c r="C80" s="1229">
        <f t="shared" si="213"/>
        <v>108.75</v>
      </c>
      <c r="D80" s="1229">
        <f t="shared" si="178"/>
        <v>108.75</v>
      </c>
      <c r="E80" s="1229">
        <f t="shared" si="214"/>
        <v>105.75</v>
      </c>
      <c r="F80" s="1229">
        <f t="shared" si="214"/>
        <v>102.5</v>
      </c>
      <c r="G80" s="1154">
        <v>2003</v>
      </c>
      <c r="H80" s="1230">
        <v>1</v>
      </c>
      <c r="I80" s="1241"/>
      <c r="J80" s="1241"/>
      <c r="K80" s="1241"/>
      <c r="L80" s="1241"/>
      <c r="S80" s="1180"/>
      <c r="T80" s="1181"/>
      <c r="U80" s="1181"/>
      <c r="X80" s="1223"/>
      <c r="Y80" s="1223"/>
      <c r="Z80" s="1223"/>
    </row>
    <row r="81" ht="13.5" spans="1:26">
      <c r="A81" s="1140" t="s">
        <v>2219</v>
      </c>
      <c r="B81" s="1231">
        <v>106</v>
      </c>
      <c r="C81" s="1231">
        <v>107</v>
      </c>
      <c r="D81" s="1231">
        <f t="shared" si="178"/>
        <v>107</v>
      </c>
      <c r="E81" s="1231">
        <v>105</v>
      </c>
      <c r="F81" s="1232">
        <v>102</v>
      </c>
      <c r="G81" s="1155">
        <v>2002</v>
      </c>
      <c r="H81" s="1156">
        <v>4</v>
      </c>
      <c r="I81" s="1241"/>
      <c r="J81" s="1241"/>
      <c r="K81" s="1241"/>
      <c r="L81" s="1241"/>
      <c r="N81" s="1242"/>
      <c r="O81" s="1241"/>
      <c r="P81" s="1241"/>
      <c r="Q81" s="1241"/>
      <c r="S81" s="1242"/>
      <c r="T81" s="1241"/>
      <c r="U81" s="1241"/>
      <c r="V81" s="1241"/>
      <c r="X81" s="1223"/>
      <c r="Y81" s="1223"/>
      <c r="Z81" s="1223"/>
    </row>
    <row r="82" spans="1:26">
      <c r="A82" s="1140" t="s">
        <v>2220</v>
      </c>
      <c r="B82" s="1229">
        <f t="shared" ref="B82:C84" si="215">B83+(B$81-B$85)/4</f>
        <v>105</v>
      </c>
      <c r="C82" s="1229">
        <f t="shared" si="215"/>
        <v>106</v>
      </c>
      <c r="D82" s="1229">
        <f t="shared" si="178"/>
        <v>106</v>
      </c>
      <c r="E82" s="1229">
        <f t="shared" ref="E82:F84" si="216">E83+(E$81-E$85)/4</f>
        <v>104.5</v>
      </c>
      <c r="F82" s="1229">
        <f t="shared" si="216"/>
        <v>101.5</v>
      </c>
      <c r="G82" s="1146">
        <v>2002</v>
      </c>
      <c r="H82" s="1157">
        <v>3</v>
      </c>
      <c r="I82" s="1241"/>
      <c r="J82" s="1241"/>
      <c r="K82" s="1241"/>
      <c r="L82" s="1241"/>
      <c r="X82" s="1223"/>
      <c r="Y82" s="1223"/>
      <c r="Z82" s="1223"/>
    </row>
    <row r="83" spans="1:26">
      <c r="A83" s="1140" t="s">
        <v>2221</v>
      </c>
      <c r="B83" s="1229">
        <f t="shared" si="215"/>
        <v>104</v>
      </c>
      <c r="C83" s="1229">
        <f t="shared" si="215"/>
        <v>105</v>
      </c>
      <c r="D83" s="1229">
        <f t="shared" si="178"/>
        <v>105</v>
      </c>
      <c r="E83" s="1229">
        <f t="shared" si="216"/>
        <v>104</v>
      </c>
      <c r="F83" s="1229">
        <f t="shared" si="216"/>
        <v>101</v>
      </c>
      <c r="G83" s="1146">
        <v>2002</v>
      </c>
      <c r="H83" s="1147">
        <v>2</v>
      </c>
      <c r="I83" s="1241"/>
      <c r="J83" s="1241"/>
      <c r="K83" s="1241"/>
      <c r="L83" s="1241"/>
      <c r="X83" s="1223"/>
      <c r="Y83" s="1223"/>
      <c r="Z83" s="1223"/>
    </row>
    <row r="84" s="1119" customFormat="1" ht="13.5" spans="1:26">
      <c r="A84" s="1161" t="s">
        <v>2222</v>
      </c>
      <c r="B84" s="1215">
        <f t="shared" si="215"/>
        <v>103</v>
      </c>
      <c r="C84" s="1215">
        <f t="shared" si="215"/>
        <v>104</v>
      </c>
      <c r="D84" s="1215">
        <f t="shared" si="178"/>
        <v>104</v>
      </c>
      <c r="E84" s="1215">
        <f t="shared" si="216"/>
        <v>103.5</v>
      </c>
      <c r="F84" s="1215">
        <f t="shared" si="216"/>
        <v>100.5</v>
      </c>
      <c r="G84" s="1154">
        <v>2002</v>
      </c>
      <c r="H84" s="1233">
        <v>1</v>
      </c>
      <c r="I84" s="1243"/>
      <c r="J84" s="1243"/>
      <c r="K84" s="1243"/>
      <c r="L84" s="1243"/>
      <c r="N84" s="1244"/>
      <c r="S84" s="1244"/>
      <c r="X84" s="1248"/>
      <c r="Y84" s="1248"/>
      <c r="Z84" s="1248"/>
    </row>
    <row r="85" ht="13.5" spans="2:26">
      <c r="B85" s="1234">
        <v>102</v>
      </c>
      <c r="C85" s="1235">
        <v>103</v>
      </c>
      <c r="D85" s="1235">
        <f t="shared" si="178"/>
        <v>103</v>
      </c>
      <c r="E85" s="1235">
        <v>103</v>
      </c>
      <c r="F85" s="1236">
        <v>100</v>
      </c>
      <c r="I85" s="1241"/>
      <c r="J85" s="1241"/>
      <c r="K85" s="1241"/>
      <c r="L85" s="1241"/>
      <c r="N85" s="1242"/>
      <c r="O85" s="1241"/>
      <c r="P85" s="1241"/>
      <c r="Q85" s="1241"/>
      <c r="S85" s="1242"/>
      <c r="T85" s="1241"/>
      <c r="U85" s="1241"/>
      <c r="V85" s="1241"/>
      <c r="X85" s="1214"/>
      <c r="Y85" s="1214"/>
      <c r="Z85" s="1214"/>
    </row>
    <row r="87" s="1121" customFormat="1" spans="1:19">
      <c r="A87" s="1237" t="s">
        <v>2223</v>
      </c>
      <c r="G87" s="1238"/>
      <c r="N87" s="1238"/>
      <c r="S87" s="1238"/>
    </row>
    <row r="88" s="1121" customFormat="1" spans="1:19">
      <c r="A88" s="1121" t="s">
        <v>2224</v>
      </c>
      <c r="G88" s="1238"/>
      <c r="N88" s="1238"/>
      <c r="S88" s="1238"/>
    </row>
    <row r="89" s="1121" customFormat="1" spans="1:22">
      <c r="A89" s="1121" t="s">
        <v>2225</v>
      </c>
      <c r="G89" s="1238"/>
      <c r="I89" s="1245"/>
      <c r="J89" s="1245"/>
      <c r="K89" s="1245"/>
      <c r="L89" s="1245"/>
      <c r="N89" s="1246"/>
      <c r="O89" s="1245"/>
      <c r="P89" s="1245"/>
      <c r="Q89" s="1245"/>
      <c r="S89" s="1246"/>
      <c r="T89" s="1245"/>
      <c r="U89" s="1245"/>
      <c r="V89" s="1245"/>
    </row>
    <row r="90" s="1121" customFormat="1" spans="1:19">
      <c r="A90" s="1121" t="s">
        <v>2226</v>
      </c>
      <c r="G90" s="1238"/>
      <c r="N90" s="1238"/>
      <c r="S90" s="1238"/>
    </row>
    <row r="97" ht="13.5"/>
    <row r="98" spans="7:22">
      <c r="G98" s="1122"/>
      <c r="S98" s="1249" t="s">
        <v>2227</v>
      </c>
      <c r="T98" s="1250" t="s">
        <v>2228</v>
      </c>
      <c r="U98" s="1250" t="s">
        <v>2229</v>
      </c>
      <c r="V98" s="1250" t="s">
        <v>2230</v>
      </c>
    </row>
    <row r="99" spans="7:22">
      <c r="G99" s="1122"/>
      <c r="N99" s="1213"/>
      <c r="O99" s="1214"/>
      <c r="P99" s="1214"/>
      <c r="Q99" s="1214"/>
      <c r="S99" s="1251">
        <v>2006</v>
      </c>
      <c r="T99" s="1252">
        <v>15.1</v>
      </c>
      <c r="U99" s="1252">
        <v>7.43</v>
      </c>
      <c r="V99" s="1252">
        <v>26.26</v>
      </c>
    </row>
    <row r="100" spans="7:22">
      <c r="G100" s="1122"/>
      <c r="N100" s="1213"/>
      <c r="O100" s="1214"/>
      <c r="P100" s="1214"/>
      <c r="Q100" s="1214"/>
      <c r="S100" s="1253">
        <v>2005</v>
      </c>
      <c r="T100" s="1254">
        <v>13.9</v>
      </c>
      <c r="U100" s="1254">
        <v>7.49</v>
      </c>
      <c r="V100" s="1254">
        <v>24.92</v>
      </c>
    </row>
    <row r="101" spans="7:22">
      <c r="G101" s="1122"/>
      <c r="N101" s="1213"/>
      <c r="O101" s="1214"/>
      <c r="P101" s="1214"/>
      <c r="Q101" s="1214"/>
      <c r="S101" s="1251">
        <v>2004</v>
      </c>
      <c r="T101" s="1252">
        <v>9.48</v>
      </c>
      <c r="U101" s="1252">
        <v>7.2</v>
      </c>
      <c r="V101" s="1252">
        <v>14.68</v>
      </c>
    </row>
    <row r="102" spans="7:22">
      <c r="G102" s="1122"/>
      <c r="N102" s="1213"/>
      <c r="O102" s="1214"/>
      <c r="P102" s="1214"/>
      <c r="Q102" s="1214"/>
      <c r="S102" s="1253">
        <v>2003</v>
      </c>
      <c r="T102" s="1254">
        <v>4.5</v>
      </c>
      <c r="U102" s="1254">
        <v>6.12</v>
      </c>
      <c r="V102" s="1254">
        <v>2.34</v>
      </c>
    </row>
    <row r="103" ht="13.5" spans="7:22">
      <c r="G103" s="1122"/>
      <c r="N103" s="1213"/>
      <c r="O103" s="1214"/>
      <c r="P103" s="1214"/>
      <c r="Q103" s="1214"/>
      <c r="S103" s="1255">
        <v>2002</v>
      </c>
      <c r="T103" s="1256">
        <v>3.59</v>
      </c>
      <c r="U103" s="1256">
        <v>4.54</v>
      </c>
      <c r="V103" s="1256">
        <v>2.55</v>
      </c>
    </row>
    <row r="104" spans="7:17">
      <c r="G104" s="1122"/>
      <c r="N104" s="1213"/>
      <c r="O104" s="1214"/>
      <c r="P104" s="1214"/>
      <c r="Q104" s="1214"/>
    </row>
    <row r="105" spans="7:17">
      <c r="G105" s="1122"/>
      <c r="N105" s="1213"/>
      <c r="O105" s="1214"/>
      <c r="P105" s="1214"/>
      <c r="Q105" s="1214"/>
    </row>
    <row r="106" spans="7:17">
      <c r="G106" s="1122"/>
      <c r="N106" s="1213"/>
      <c r="O106" s="1214"/>
      <c r="P106" s="1214"/>
      <c r="Q106" s="1214"/>
    </row>
    <row r="107" spans="7:17">
      <c r="G107" s="1122"/>
      <c r="N107" s="1213"/>
      <c r="O107" s="1214"/>
      <c r="P107" s="1214"/>
      <c r="Q107" s="1214"/>
    </row>
    <row r="108" spans="7:17">
      <c r="G108" s="1122"/>
      <c r="N108" s="1213"/>
      <c r="O108" s="1214"/>
      <c r="P108" s="1214"/>
      <c r="Q108" s="1214"/>
    </row>
    <row r="109" spans="7:17">
      <c r="G109" s="1122"/>
      <c r="N109" s="1213"/>
      <c r="O109" s="1214"/>
      <c r="P109" s="1214"/>
      <c r="Q109" s="1214"/>
    </row>
    <row r="110" spans="7:17">
      <c r="G110" s="1122"/>
      <c r="N110" s="1213"/>
      <c r="O110" s="1214"/>
      <c r="P110" s="1214"/>
      <c r="Q110" s="1214"/>
    </row>
    <row r="111" spans="7:17">
      <c r="G111" s="1122"/>
      <c r="N111" s="1213"/>
      <c r="O111" s="1214"/>
      <c r="P111" s="1214"/>
      <c r="Q111" s="1214"/>
    </row>
    <row r="112" spans="7:17">
      <c r="G112" s="1122"/>
      <c r="N112" s="1213"/>
      <c r="O112" s="1214"/>
      <c r="P112" s="1214"/>
      <c r="Q112" s="1214"/>
    </row>
    <row r="113" spans="7:17">
      <c r="G113" s="1122"/>
      <c r="N113" s="1213"/>
      <c r="O113" s="1214"/>
      <c r="P113" s="1214"/>
      <c r="Q113" s="1214"/>
    </row>
    <row r="114" spans="7:19">
      <c r="G114" s="1122"/>
      <c r="N114" s="1213"/>
      <c r="O114" s="1214"/>
      <c r="P114" s="1214"/>
      <c r="Q114" s="1214"/>
      <c r="S114" s="1122"/>
    </row>
    <row r="115" spans="7:19">
      <c r="G115" s="1122"/>
      <c r="N115" s="1213"/>
      <c r="O115" s="1214"/>
      <c r="P115" s="1214"/>
      <c r="Q115" s="1214"/>
      <c r="S115" s="1122"/>
    </row>
    <row r="116" spans="7:19">
      <c r="G116" s="1122"/>
      <c r="N116" s="1213"/>
      <c r="O116" s="1214"/>
      <c r="P116" s="1214"/>
      <c r="Q116" s="1214"/>
      <c r="S116" s="1122"/>
    </row>
    <row r="117" spans="7:19">
      <c r="G117" s="1122"/>
      <c r="N117" s="1213"/>
      <c r="O117" s="1214"/>
      <c r="P117" s="1214"/>
      <c r="Q117" s="1214"/>
      <c r="S117" s="1122"/>
    </row>
    <row r="118" spans="7:19">
      <c r="G118" s="1122"/>
      <c r="N118" s="1213"/>
      <c r="O118" s="1214"/>
      <c r="P118" s="1214"/>
      <c r="Q118" s="1214"/>
      <c r="S118" s="1122"/>
    </row>
    <row r="119" spans="7:19">
      <c r="G119" s="1122"/>
      <c r="N119" s="1213"/>
      <c r="O119" s="1214"/>
      <c r="P119" s="1214"/>
      <c r="Q119" s="1214"/>
      <c r="S119" s="1122"/>
    </row>
  </sheetData>
  <sheetProtection sheet="1" formatCells="0" formatColumns="0" formatRow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pageSetup paperSize="9" scale="75" orientation="landscape"/>
  <headerFooter/>
  <rowBreaks count="1" manualBreakCount="1">
    <brk id="60" max="21" man="1"/>
  </rowBreaks>
  <colBreaks count="1" manualBreakCount="1">
    <brk id="22" max="70"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N29"/>
  <sheetViews>
    <sheetView view="pageBreakPreview" zoomScale="90" zoomScaleNormal="100" workbookViewId="0">
      <selection activeCell="D31" sqref="D31"/>
    </sheetView>
  </sheetViews>
  <sheetFormatPr defaultColWidth="8.875" defaultRowHeight="13.5"/>
  <cols>
    <col min="1" max="1" width="22.75" style="1100" customWidth="1"/>
    <col min="2" max="2" width="12.5" style="1100" customWidth="1"/>
    <col min="3" max="3" width="12.125" style="1100" customWidth="1"/>
    <col min="4" max="4" width="16.625" style="1100" customWidth="1"/>
    <col min="5" max="5" width="12.5" style="1100" customWidth="1"/>
    <col min="6" max="6" width="12.75" style="1100" customWidth="1"/>
    <col min="7" max="16384" width="8.875" style="1100"/>
  </cols>
  <sheetData>
    <row r="1" ht="20.25" spans="1:14">
      <c r="A1" s="1101" t="s">
        <v>324</v>
      </c>
      <c r="B1" s="1102"/>
      <c r="C1" s="1102"/>
      <c r="D1" s="1102"/>
      <c r="E1" s="1102"/>
      <c r="F1" s="1102"/>
      <c r="G1" s="1103"/>
      <c r="H1" s="1103"/>
      <c r="I1" s="1103"/>
      <c r="J1" s="1103"/>
      <c r="K1" s="1103"/>
      <c r="L1" s="1103"/>
      <c r="M1" s="1103"/>
      <c r="N1" s="1103"/>
    </row>
    <row r="2" ht="14.25" spans="1:14">
      <c r="A2" s="1104" t="s">
        <v>775</v>
      </c>
      <c r="B2" s="1105">
        <f ca="1">SUMIF(B7:B14,"&lt;&gt;#ref!",B7:B14)</f>
        <v>0</v>
      </c>
      <c r="C2" s="1104" t="s">
        <v>808</v>
      </c>
      <c r="D2" s="1106"/>
      <c r="E2" s="1106"/>
      <c r="F2" s="1106"/>
      <c r="G2" s="1103"/>
      <c r="H2" s="1103"/>
      <c r="I2" s="1103"/>
      <c r="J2" s="1103"/>
      <c r="K2" s="1103"/>
      <c r="L2" s="1103"/>
      <c r="M2" s="1103"/>
      <c r="N2" s="1103"/>
    </row>
    <row r="3" ht="14.25" spans="1:14">
      <c r="A3" s="1104" t="s">
        <v>714</v>
      </c>
      <c r="B3" s="1105" t="e">
        <f ca="1">ROUND(B2*10000/E3,0)</f>
        <v>#DIV/0!</v>
      </c>
      <c r="C3" s="1104" t="s">
        <v>810</v>
      </c>
      <c r="D3" s="1104" t="s">
        <v>2231</v>
      </c>
      <c r="E3" s="1107">
        <f ca="1">SUMIF(E7:E14,"&lt;&gt;#ref!",E7:E14)</f>
        <v>0</v>
      </c>
      <c r="F3" s="1106"/>
      <c r="G3" s="1103"/>
      <c r="H3" s="1103"/>
      <c r="I3" s="1103"/>
      <c r="J3" s="1103"/>
      <c r="K3" s="1103"/>
      <c r="L3" s="1103"/>
      <c r="M3" s="1103"/>
      <c r="N3" s="1103"/>
    </row>
    <row r="4" ht="14.25" spans="1:14">
      <c r="A4" s="1104" t="s">
        <v>817</v>
      </c>
      <c r="B4" s="1105" t="e">
        <f ca="1">ROUND(B2*10000/E4,0)</f>
        <v>#DIV/0!</v>
      </c>
      <c r="C4" s="1104" t="s">
        <v>810</v>
      </c>
      <c r="D4" s="1104" t="s">
        <v>2232</v>
      </c>
      <c r="E4" s="1107">
        <f ca="1">SUMIF(F7:F14,"&lt;&gt;#ref!",F7:F14)</f>
        <v>0</v>
      </c>
      <c r="F4" s="1106"/>
      <c r="G4" s="1103"/>
      <c r="H4" s="1103"/>
      <c r="I4" s="1103"/>
      <c r="J4" s="1103"/>
      <c r="K4" s="1103"/>
      <c r="L4" s="1103"/>
      <c r="M4" s="1103"/>
      <c r="N4" s="1103"/>
    </row>
    <row r="5" ht="14.25" spans="1:14">
      <c r="A5" s="1108"/>
      <c r="B5" s="1106"/>
      <c r="C5" s="1106"/>
      <c r="D5" s="1106"/>
      <c r="E5" s="1106"/>
      <c r="F5" s="1106"/>
      <c r="G5" s="1103"/>
      <c r="H5" s="1103"/>
      <c r="I5" s="1103"/>
      <c r="J5" s="1103"/>
      <c r="K5" s="1103"/>
      <c r="L5" s="1103"/>
      <c r="M5" s="1103"/>
      <c r="N5" s="1103"/>
    </row>
    <row r="6" ht="28.5" spans="1:14">
      <c r="A6" s="1109" t="s">
        <v>2233</v>
      </c>
      <c r="B6" s="1104" t="s">
        <v>2234</v>
      </c>
      <c r="C6" s="1110"/>
      <c r="D6" s="1106"/>
      <c r="E6" s="1104" t="s">
        <v>389</v>
      </c>
      <c r="F6" s="1104" t="s">
        <v>392</v>
      </c>
      <c r="G6" s="1103"/>
      <c r="H6" s="1103"/>
      <c r="I6" s="1103"/>
      <c r="J6" s="1103"/>
      <c r="K6" s="1103"/>
      <c r="L6" s="1103"/>
      <c r="M6" s="1103"/>
      <c r="N6" s="1103"/>
    </row>
    <row r="7" ht="14.25" spans="1:14">
      <c r="A7" s="1111"/>
      <c r="B7" s="1105" t="e">
        <f ca="1">SUMIF(INDIRECT("'"&amp;A7&amp;"'"&amp;"!A:A"),"总价",INDIRECT("'"&amp;A7&amp;"'"&amp;"!B:B"))</f>
        <v>#REF!</v>
      </c>
      <c r="C7" s="1104" t="s">
        <v>808</v>
      </c>
      <c r="D7" s="1106"/>
      <c r="E7" s="1107" t="e">
        <f ca="1">SUMIF(INDIRECT("'"&amp;A7&amp;"'"&amp;"!C:C"),"建筑面积",INDIRECT("'"&amp;A7&amp;"'"&amp;"!D:D"))</f>
        <v>#REF!</v>
      </c>
      <c r="F7" s="1107" t="e">
        <f ca="1">SUMIF(INDIRECT("'"&amp;A7&amp;"'"&amp;"!E:E"),"土地面积",INDIRECT("'"&amp;A7&amp;"'"&amp;"!F:F"))</f>
        <v>#REF!</v>
      </c>
      <c r="G7" s="1103"/>
      <c r="H7" s="1103"/>
      <c r="I7" s="1103"/>
      <c r="J7" s="1103"/>
      <c r="K7" s="1103"/>
      <c r="L7" s="1103"/>
      <c r="M7" s="1103"/>
      <c r="N7" s="1103"/>
    </row>
    <row r="8" ht="14.25" spans="1:14">
      <c r="A8" s="1111"/>
      <c r="B8" s="1105" t="e">
        <f ca="1" t="shared" ref="B8:B14" si="0">SUMIF(INDIRECT("'"&amp;A8&amp;"'"&amp;"!A:A"),"总价",INDIRECT("'"&amp;A8&amp;"'"&amp;"!B:B"))</f>
        <v>#REF!</v>
      </c>
      <c r="C8" s="1104" t="s">
        <v>808</v>
      </c>
      <c r="D8" s="1106"/>
      <c r="E8" s="1107" t="e">
        <f ca="1" t="shared" ref="E8:E14" si="1">SUMIF(INDIRECT("'"&amp;A8&amp;"'"&amp;"!C:C"),"建筑面积",INDIRECT("'"&amp;A8&amp;"'"&amp;"!D:D"))</f>
        <v>#REF!</v>
      </c>
      <c r="F8" s="1107" t="e">
        <f ca="1" t="shared" ref="F8:F14" si="2">SUMIF(INDIRECT("'"&amp;A8&amp;"'"&amp;"!E:E"),"土地面积",INDIRECT("'"&amp;A8&amp;"'"&amp;"!F:F"))</f>
        <v>#REF!</v>
      </c>
      <c r="G8" s="1103"/>
      <c r="H8" s="1103"/>
      <c r="I8" s="1103"/>
      <c r="J8" s="1103"/>
      <c r="K8" s="1103"/>
      <c r="L8" s="1103"/>
      <c r="M8" s="1103"/>
      <c r="N8" s="1103"/>
    </row>
    <row r="9" ht="14.25" spans="1:14">
      <c r="A9" s="1111"/>
      <c r="B9" s="1105" t="e">
        <f ca="1" t="shared" si="0"/>
        <v>#REF!</v>
      </c>
      <c r="C9" s="1104" t="s">
        <v>808</v>
      </c>
      <c r="D9" s="1106"/>
      <c r="E9" s="1107" t="e">
        <f ca="1" t="shared" si="1"/>
        <v>#REF!</v>
      </c>
      <c r="F9" s="1107" t="e">
        <f ca="1" t="shared" si="2"/>
        <v>#REF!</v>
      </c>
      <c r="G9" s="1103"/>
      <c r="H9" s="1103"/>
      <c r="I9" s="1103"/>
      <c r="J9" s="1103"/>
      <c r="K9" s="1103"/>
      <c r="L9" s="1103"/>
      <c r="M9" s="1103"/>
      <c r="N9" s="1103"/>
    </row>
    <row r="10" ht="14.25" spans="1:14">
      <c r="A10" s="1111"/>
      <c r="B10" s="1105" t="e">
        <f ca="1" t="shared" si="0"/>
        <v>#REF!</v>
      </c>
      <c r="C10" s="1104" t="s">
        <v>808</v>
      </c>
      <c r="D10" s="1106"/>
      <c r="E10" s="1107" t="e">
        <f ca="1" t="shared" si="1"/>
        <v>#REF!</v>
      </c>
      <c r="F10" s="1107" t="e">
        <f ca="1" t="shared" si="2"/>
        <v>#REF!</v>
      </c>
      <c r="G10" s="1103"/>
      <c r="H10" s="1103"/>
      <c r="I10" s="1103"/>
      <c r="J10" s="1103"/>
      <c r="K10" s="1103"/>
      <c r="L10" s="1103"/>
      <c r="M10" s="1103"/>
      <c r="N10" s="1103"/>
    </row>
    <row r="11" ht="14.25" spans="1:14">
      <c r="A11" s="1111"/>
      <c r="B11" s="1105" t="e">
        <f ca="1" t="shared" si="0"/>
        <v>#REF!</v>
      </c>
      <c r="C11" s="1104" t="s">
        <v>808</v>
      </c>
      <c r="D11" s="1106"/>
      <c r="E11" s="1107" t="e">
        <f ca="1" t="shared" si="1"/>
        <v>#REF!</v>
      </c>
      <c r="F11" s="1107" t="e">
        <f ca="1" t="shared" si="2"/>
        <v>#REF!</v>
      </c>
      <c r="G11" s="1103"/>
      <c r="H11" s="1103"/>
      <c r="I11" s="1103"/>
      <c r="J11" s="1103"/>
      <c r="K11" s="1103"/>
      <c r="L11" s="1103"/>
      <c r="M11" s="1103"/>
      <c r="N11" s="1103"/>
    </row>
    <row r="12" ht="14.25" spans="1:14">
      <c r="A12" s="1111"/>
      <c r="B12" s="1105" t="e">
        <f ca="1" t="shared" si="0"/>
        <v>#REF!</v>
      </c>
      <c r="C12" s="1104" t="s">
        <v>808</v>
      </c>
      <c r="D12" s="1106"/>
      <c r="E12" s="1107" t="e">
        <f ca="1" t="shared" si="1"/>
        <v>#REF!</v>
      </c>
      <c r="F12" s="1107" t="e">
        <f ca="1" t="shared" si="2"/>
        <v>#REF!</v>
      </c>
      <c r="G12" s="1103"/>
      <c r="H12" s="1103"/>
      <c r="I12" s="1103"/>
      <c r="J12" s="1103"/>
      <c r="K12" s="1103"/>
      <c r="L12" s="1103"/>
      <c r="M12" s="1103"/>
      <c r="N12" s="1103"/>
    </row>
    <row r="13" ht="14.25" spans="1:14">
      <c r="A13" s="1111"/>
      <c r="B13" s="1105" t="e">
        <f ca="1" t="shared" si="0"/>
        <v>#REF!</v>
      </c>
      <c r="C13" s="1104" t="s">
        <v>808</v>
      </c>
      <c r="D13" s="1106"/>
      <c r="E13" s="1107" t="e">
        <f ca="1" t="shared" si="1"/>
        <v>#REF!</v>
      </c>
      <c r="F13" s="1107" t="e">
        <f ca="1" t="shared" si="2"/>
        <v>#REF!</v>
      </c>
      <c r="G13" s="1103"/>
      <c r="H13" s="1103"/>
      <c r="I13" s="1103"/>
      <c r="J13" s="1103"/>
      <c r="K13" s="1103"/>
      <c r="L13" s="1103"/>
      <c r="M13" s="1103"/>
      <c r="N13" s="1103"/>
    </row>
    <row r="14" ht="14.25" spans="1:14">
      <c r="A14" s="1112"/>
      <c r="B14" s="1105" t="e">
        <f ca="1" t="shared" si="0"/>
        <v>#REF!</v>
      </c>
      <c r="C14" s="1104" t="s">
        <v>808</v>
      </c>
      <c r="D14" s="1106"/>
      <c r="E14" s="1107" t="e">
        <f ca="1" t="shared" si="1"/>
        <v>#REF!</v>
      </c>
      <c r="F14" s="1107" t="e">
        <f ca="1" t="shared" si="2"/>
        <v>#REF!</v>
      </c>
      <c r="G14" s="1103"/>
      <c r="H14" s="1103"/>
      <c r="I14" s="1103"/>
      <c r="J14" s="1103"/>
      <c r="K14" s="1103"/>
      <c r="L14" s="1103"/>
      <c r="M14" s="1103"/>
      <c r="N14" s="1103"/>
    </row>
    <row r="15" spans="1:14">
      <c r="A15" s="1103"/>
      <c r="B15" s="1103"/>
      <c r="C15" s="1103"/>
      <c r="D15" s="1103"/>
      <c r="E15" s="1103"/>
      <c r="F15" s="1103"/>
      <c r="G15" s="1103"/>
      <c r="H15" s="1103"/>
      <c r="I15" s="1103"/>
      <c r="J15" s="1103"/>
      <c r="K15" s="1103"/>
      <c r="L15" s="1103"/>
      <c r="M15" s="1103"/>
      <c r="N15" s="1103"/>
    </row>
    <row r="16" spans="1:14">
      <c r="A16" s="1103"/>
      <c r="B16" s="1103"/>
      <c r="C16" s="1103"/>
      <c r="D16" s="1103"/>
      <c r="E16" s="1103"/>
      <c r="F16" s="1103"/>
      <c r="G16" s="1103"/>
      <c r="H16" s="1103"/>
      <c r="I16" s="1103"/>
      <c r="J16" s="1103"/>
      <c r="K16" s="1103"/>
      <c r="L16" s="1103"/>
      <c r="M16" s="1103"/>
      <c r="N16" s="1103"/>
    </row>
    <row r="17" spans="1:14">
      <c r="A17" s="1103"/>
      <c r="B17" s="1103"/>
      <c r="C17" s="1103"/>
      <c r="D17" s="1103"/>
      <c r="E17" s="1103"/>
      <c r="F17" s="1103"/>
      <c r="G17" s="1103"/>
      <c r="H17" s="1103"/>
      <c r="I17" s="1103"/>
      <c r="J17" s="1103"/>
      <c r="K17" s="1103"/>
      <c r="L17" s="1103"/>
      <c r="M17" s="1103"/>
      <c r="N17" s="1103"/>
    </row>
    <row r="18" spans="1:14">
      <c r="A18" s="1103"/>
      <c r="B18" s="1103"/>
      <c r="C18" s="1103"/>
      <c r="D18" s="1103"/>
      <c r="E18" s="1103"/>
      <c r="F18" s="1103"/>
      <c r="G18" s="1103"/>
      <c r="H18" s="1103"/>
      <c r="I18" s="1103"/>
      <c r="J18" s="1103"/>
      <c r="K18" s="1103"/>
      <c r="L18" s="1103"/>
      <c r="M18" s="1103"/>
      <c r="N18" s="1103"/>
    </row>
    <row r="19" spans="1:14">
      <c r="A19" s="1103"/>
      <c r="B19" s="1103"/>
      <c r="C19" s="1103"/>
      <c r="D19" s="1103"/>
      <c r="E19" s="1103"/>
      <c r="F19" s="1103"/>
      <c r="G19" s="1103"/>
      <c r="H19" s="1103"/>
      <c r="I19" s="1103"/>
      <c r="J19" s="1103"/>
      <c r="K19" s="1103"/>
      <c r="L19" s="1103"/>
      <c r="M19" s="1103"/>
      <c r="N19" s="1103"/>
    </row>
    <row r="20" spans="1:14">
      <c r="A20" s="1103"/>
      <c r="B20" s="1103"/>
      <c r="C20" s="1103"/>
      <c r="D20" s="1103"/>
      <c r="E20" s="1103"/>
      <c r="F20" s="1103"/>
      <c r="G20" s="1103"/>
      <c r="H20" s="1103"/>
      <c r="I20" s="1103"/>
      <c r="J20" s="1103"/>
      <c r="K20" s="1103"/>
      <c r="L20" s="1103"/>
      <c r="M20" s="1103"/>
      <c r="N20" s="1103"/>
    </row>
    <row r="21" spans="1:14">
      <c r="A21" s="1103"/>
      <c r="B21" s="1103"/>
      <c r="C21" s="1103"/>
      <c r="D21" s="1103"/>
      <c r="E21" s="1103"/>
      <c r="F21" s="1103"/>
      <c r="G21" s="1103"/>
      <c r="H21" s="1103"/>
      <c r="I21" s="1103"/>
      <c r="J21" s="1103"/>
      <c r="K21" s="1103"/>
      <c r="L21" s="1103"/>
      <c r="M21" s="1103"/>
      <c r="N21" s="1103"/>
    </row>
    <row r="22" spans="1:14">
      <c r="A22" s="1103"/>
      <c r="B22" s="1103"/>
      <c r="C22" s="1103"/>
      <c r="D22" s="1103"/>
      <c r="E22" s="1103"/>
      <c r="F22" s="1103"/>
      <c r="G22" s="1103"/>
      <c r="H22" s="1103"/>
      <c r="I22" s="1103"/>
      <c r="J22" s="1103"/>
      <c r="K22" s="1103"/>
      <c r="L22" s="1103"/>
      <c r="M22" s="1103"/>
      <c r="N22" s="1103"/>
    </row>
    <row r="23" spans="1:14">
      <c r="A23" s="1103"/>
      <c r="B23" s="1103"/>
      <c r="C23" s="1103"/>
      <c r="D23" s="1103"/>
      <c r="E23" s="1103"/>
      <c r="F23" s="1103"/>
      <c r="G23" s="1103"/>
      <c r="H23" s="1103"/>
      <c r="I23" s="1103"/>
      <c r="J23" s="1103"/>
      <c r="K23" s="1103"/>
      <c r="L23" s="1103"/>
      <c r="M23" s="1103"/>
      <c r="N23" s="1103"/>
    </row>
    <row r="24" spans="1:14">
      <c r="A24" s="1103"/>
      <c r="B24" s="1103"/>
      <c r="C24" s="1103"/>
      <c r="D24" s="1103"/>
      <c r="E24" s="1103"/>
      <c r="F24" s="1103"/>
      <c r="G24" s="1103"/>
      <c r="H24" s="1103"/>
      <c r="I24" s="1103"/>
      <c r="J24" s="1103"/>
      <c r="K24" s="1103"/>
      <c r="L24" s="1103"/>
      <c r="M24" s="1103"/>
      <c r="N24" s="1103"/>
    </row>
    <row r="25" spans="1:14">
      <c r="A25" s="1103"/>
      <c r="B25" s="1103"/>
      <c r="C25" s="1103"/>
      <c r="D25" s="1103"/>
      <c r="E25" s="1103"/>
      <c r="F25" s="1103"/>
      <c r="G25" s="1103"/>
      <c r="H25" s="1103"/>
      <c r="I25" s="1103"/>
      <c r="J25" s="1103"/>
      <c r="K25" s="1103"/>
      <c r="L25" s="1103"/>
      <c r="M25" s="1103"/>
      <c r="N25" s="1103"/>
    </row>
    <row r="26" spans="1:14">
      <c r="A26" s="1103"/>
      <c r="B26" s="1103"/>
      <c r="C26" s="1103"/>
      <c r="D26" s="1103"/>
      <c r="E26" s="1103"/>
      <c r="F26" s="1103"/>
      <c r="G26" s="1103"/>
      <c r="H26" s="1103"/>
      <c r="I26" s="1103"/>
      <c r="J26" s="1103"/>
      <c r="K26" s="1103"/>
      <c r="L26" s="1103"/>
      <c r="M26" s="1103"/>
      <c r="N26" s="1103"/>
    </row>
    <row r="27" spans="1:14">
      <c r="A27" s="1103"/>
      <c r="B27" s="1103"/>
      <c r="C27" s="1103"/>
      <c r="D27" s="1103"/>
      <c r="E27" s="1103"/>
      <c r="F27" s="1103"/>
      <c r="G27" s="1103"/>
      <c r="H27" s="1103"/>
      <c r="I27" s="1103"/>
      <c r="J27" s="1103"/>
      <c r="K27" s="1103"/>
      <c r="L27" s="1103"/>
      <c r="M27" s="1103"/>
      <c r="N27" s="1103"/>
    </row>
    <row r="28" spans="1:14">
      <c r="A28" s="1103"/>
      <c r="B28" s="1103"/>
      <c r="C28" s="1103"/>
      <c r="D28" s="1103"/>
      <c r="E28" s="1103"/>
      <c r="F28" s="1103"/>
      <c r="G28" s="1103"/>
      <c r="H28" s="1103"/>
      <c r="I28" s="1103"/>
      <c r="J28" s="1103"/>
      <c r="K28" s="1103"/>
      <c r="L28" s="1103"/>
      <c r="M28" s="1103"/>
      <c r="N28" s="1103"/>
    </row>
    <row r="29" spans="1:14">
      <c r="A29" s="1103"/>
      <c r="B29" s="1103"/>
      <c r="C29" s="1103"/>
      <c r="D29" s="1103"/>
      <c r="E29" s="1103"/>
      <c r="F29" s="1103"/>
      <c r="G29" s="1103"/>
      <c r="H29" s="1103"/>
      <c r="I29" s="1103"/>
      <c r="J29" s="1103"/>
      <c r="K29" s="1103"/>
      <c r="L29" s="1103"/>
      <c r="M29" s="1103"/>
      <c r="N29" s="1103"/>
    </row>
  </sheetData>
  <sheetProtection password="CEE9" sheet="1" formatCells="0" formatColumns="0" formatRows="0" objects="1" scenarios="1"/>
  <dataValidations count="1">
    <dataValidation type="list" allowBlank="1" showInputMessage="1" showErrorMessage="1" sqref="A7:A14">
      <formula1>估价方法</formula1>
    </dataValidation>
  </dataValidation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92D050"/>
    <pageSetUpPr fitToPage="1"/>
  </sheetPr>
  <dimension ref="A1:Y94"/>
  <sheetViews>
    <sheetView view="pageBreakPreview" zoomScale="60" zoomScaleNormal="60" topLeftCell="A19" workbookViewId="0">
      <selection activeCell="D31" sqref="D31"/>
    </sheetView>
  </sheetViews>
  <sheetFormatPr defaultColWidth="9" defaultRowHeight="15"/>
  <cols>
    <col min="1" max="1" width="9" style="832" customWidth="1"/>
    <col min="2" max="2" width="20.625" style="833" customWidth="1"/>
    <col min="3" max="3" width="11.875" style="833" customWidth="1"/>
    <col min="4" max="4" width="40.5" style="834" customWidth="1"/>
    <col min="5" max="5" width="15.75" style="834" customWidth="1"/>
    <col min="6" max="6" width="10.625" style="834" customWidth="1"/>
    <col min="7" max="7" width="4.875" style="834" customWidth="1"/>
    <col min="8" max="8" width="8.5" style="834" customWidth="1"/>
    <col min="9" max="9" width="21.25" style="834" customWidth="1"/>
    <col min="10" max="10" width="12.25" style="834" customWidth="1"/>
    <col min="11" max="11" width="40.125" style="835" customWidth="1"/>
    <col min="12" max="12" width="18.375" style="834" customWidth="1"/>
    <col min="13" max="13" width="13" style="834" customWidth="1"/>
    <col min="14" max="14" width="9.5" style="716" customWidth="1"/>
    <col min="15" max="15" width="8.375" style="716" customWidth="1"/>
    <col min="16" max="16" width="30.25" style="716" customWidth="1"/>
    <col min="17" max="17" width="13.75" style="716" customWidth="1"/>
    <col min="18" max="18" width="22.25" style="716" customWidth="1"/>
    <col min="19" max="19" width="1.5" style="716" customWidth="1"/>
    <col min="20" max="25" width="9" style="716"/>
    <col min="26" max="16384" width="9" style="834"/>
  </cols>
  <sheetData>
    <row r="1" s="830" customFormat="1" ht="20.25" spans="1:25">
      <c r="A1" s="836" t="s">
        <v>2235</v>
      </c>
      <c r="B1" s="837"/>
      <c r="C1" s="838"/>
      <c r="D1" s="839"/>
      <c r="E1" s="840" t="s">
        <v>605</v>
      </c>
      <c r="F1" s="841">
        <f ca="1">J54</f>
        <v>-1.5</v>
      </c>
      <c r="G1" s="842">
        <f>MATCH(C1,'数据-取费表'!A6:A16,0)+5</f>
        <v>9</v>
      </c>
      <c r="H1" s="843"/>
      <c r="I1" s="994"/>
      <c r="J1" s="994"/>
      <c r="K1" s="995"/>
      <c r="L1" s="994"/>
      <c r="M1" s="994"/>
      <c r="N1" s="996"/>
      <c r="O1" s="996"/>
      <c r="P1" s="996"/>
      <c r="Q1" s="996"/>
      <c r="R1" s="996"/>
      <c r="S1" s="996"/>
      <c r="T1" s="996"/>
      <c r="U1" s="996"/>
      <c r="V1" s="996"/>
      <c r="W1" s="996"/>
      <c r="X1" s="996"/>
      <c r="Y1" s="996"/>
    </row>
    <row r="2" ht="18" customHeight="1" spans="1:13">
      <c r="A2" s="844" t="s">
        <v>1202</v>
      </c>
      <c r="B2" s="121">
        <f ca="1">IF(ISERROR(C45+J31),0,C45+J31)</f>
        <v>0</v>
      </c>
      <c r="C2" s="845"/>
      <c r="D2" s="846"/>
      <c r="E2" s="847"/>
      <c r="F2" s="847"/>
      <c r="G2" s="848"/>
      <c r="H2" s="849"/>
      <c r="I2" s="997"/>
      <c r="J2" s="997"/>
      <c r="K2" s="998"/>
      <c r="L2" s="997"/>
      <c r="M2" s="997"/>
    </row>
    <row r="3" ht="18" customHeight="1" spans="1:13">
      <c r="A3" s="850" t="s">
        <v>714</v>
      </c>
      <c r="B3" s="851">
        <f ca="1">ROUND(B2*10000/'数据-汇总表'!E3,0)</f>
        <v>0</v>
      </c>
      <c r="C3" s="845"/>
      <c r="D3" s="846"/>
      <c r="E3" s="847"/>
      <c r="F3" s="847"/>
      <c r="G3" s="848"/>
      <c r="H3" s="852" t="s">
        <v>1369</v>
      </c>
      <c r="I3" s="997"/>
      <c r="J3" s="997"/>
      <c r="K3" s="998"/>
      <c r="L3" s="997"/>
      <c r="M3" s="997"/>
    </row>
    <row r="4" ht="18" customHeight="1" spans="1:13">
      <c r="A4" s="853" t="s">
        <v>1203</v>
      </c>
      <c r="B4" s="854">
        <f ca="1">ROUND(B2*10000/'数据-汇总表'!D3,0)</f>
        <v>0</v>
      </c>
      <c r="C4" s="855"/>
      <c r="D4" s="846"/>
      <c r="E4" s="847"/>
      <c r="F4" s="847"/>
      <c r="G4" s="848"/>
      <c r="H4" s="852"/>
      <c r="I4" s="997"/>
      <c r="J4" s="997"/>
      <c r="K4" s="998"/>
      <c r="L4" s="997"/>
      <c r="M4" s="997"/>
    </row>
    <row r="5" ht="18" customHeight="1" spans="1:13">
      <c r="A5" s="856"/>
      <c r="B5" s="735">
        <f ca="1">ROUND(B2/('数据-汇总表'!D3/666.67),0)</f>
        <v>0</v>
      </c>
      <c r="C5" s="736" t="s">
        <v>1204</v>
      </c>
      <c r="D5" s="846"/>
      <c r="E5" s="847"/>
      <c r="F5" s="847"/>
      <c r="G5" s="848"/>
      <c r="H5" s="852"/>
      <c r="I5" s="997"/>
      <c r="J5" s="997"/>
      <c r="K5" s="998"/>
      <c r="L5" s="997"/>
      <c r="M5" s="997"/>
    </row>
    <row r="6" ht="18" customHeight="1" spans="1:13">
      <c r="A6" s="857" t="s">
        <v>1370</v>
      </c>
      <c r="B6" s="858" t="s">
        <v>1371</v>
      </c>
      <c r="C6" s="858" t="s">
        <v>1372</v>
      </c>
      <c r="D6" s="858" t="s">
        <v>1373</v>
      </c>
      <c r="E6" s="859" t="s">
        <v>1374</v>
      </c>
      <c r="F6" s="860"/>
      <c r="G6" s="861"/>
      <c r="H6" s="857" t="s">
        <v>1370</v>
      </c>
      <c r="I6" s="858" t="s">
        <v>1371</v>
      </c>
      <c r="J6" s="858" t="s">
        <v>1372</v>
      </c>
      <c r="K6" s="858" t="s">
        <v>1373</v>
      </c>
      <c r="L6" s="859" t="s">
        <v>1374</v>
      </c>
      <c r="M6" s="860"/>
    </row>
    <row r="7" ht="18" customHeight="1" spans="1:13">
      <c r="A7" s="862">
        <v>1</v>
      </c>
      <c r="B7" s="863" t="s">
        <v>1375</v>
      </c>
      <c r="C7" s="123">
        <f ca="1">C8+C12+C14</f>
        <v>0</v>
      </c>
      <c r="D7" s="864" t="s">
        <v>1376</v>
      </c>
      <c r="E7" s="865"/>
      <c r="F7" s="866"/>
      <c r="G7" s="861"/>
      <c r="H7" s="862">
        <v>1</v>
      </c>
      <c r="I7" s="863" t="s">
        <v>1375</v>
      </c>
      <c r="J7" s="123">
        <f ca="1">J8+J12+J14</f>
        <v>0</v>
      </c>
      <c r="K7" s="864" t="s">
        <v>1376</v>
      </c>
      <c r="L7" s="865"/>
      <c r="M7" s="866"/>
    </row>
    <row r="8" ht="18" customHeight="1" spans="1:13">
      <c r="A8" s="867" t="s">
        <v>1145</v>
      </c>
      <c r="B8" s="868" t="s">
        <v>1377</v>
      </c>
      <c r="C8" s="869">
        <f ca="1">ROUND(F8*F10*F9*(1-F11)/10000,0)</f>
        <v>0</v>
      </c>
      <c r="D8" s="870" t="s">
        <v>2236</v>
      </c>
      <c r="E8" s="871" t="s">
        <v>1379</v>
      </c>
      <c r="F8" s="872">
        <f ca="1">INDIRECT("'数据-取费表'!u"&amp;$G$1)</f>
        <v>0</v>
      </c>
      <c r="G8" s="861"/>
      <c r="H8" s="873" t="s">
        <v>1145</v>
      </c>
      <c r="I8" s="868" t="s">
        <v>1377</v>
      </c>
      <c r="J8" s="999">
        <f ca="1">ROUND(M8*M10*M9*(1-M11)/10000,0)</f>
        <v>0</v>
      </c>
      <c r="K8" s="948" t="s">
        <v>2236</v>
      </c>
      <c r="L8" s="910" t="s">
        <v>1379</v>
      </c>
      <c r="M8" s="872">
        <f ca="1">INDIRECT("'数据-取费表'!z"&amp;$G$1)</f>
        <v>0</v>
      </c>
    </row>
    <row r="9" ht="18" customHeight="1" spans="1:13">
      <c r="A9" s="874"/>
      <c r="B9" s="875"/>
      <c r="C9" s="876"/>
      <c r="D9" s="877"/>
      <c r="E9" s="871" t="s">
        <v>1381</v>
      </c>
      <c r="F9" s="872">
        <f ca="1">IF(INDIRECT("'数据-取费表'!ah"&amp;$G$1)="",INDIRECT("'数据-取费表'!k"&amp;$G$1),INDIRECT("'数据-取费表'!ah"&amp;$G$1))</f>
        <v>0</v>
      </c>
      <c r="G9" s="861"/>
      <c r="H9" s="878"/>
      <c r="I9" s="875"/>
      <c r="J9" s="1000"/>
      <c r="K9" s="893"/>
      <c r="L9" s="910" t="s">
        <v>1381</v>
      </c>
      <c r="M9" s="872">
        <f ca="1">F9</f>
        <v>0</v>
      </c>
    </row>
    <row r="10" ht="18" customHeight="1" spans="1:13">
      <c r="A10" s="879"/>
      <c r="B10" s="880"/>
      <c r="C10" s="876"/>
      <c r="D10" s="877"/>
      <c r="E10" s="871" t="s">
        <v>1382</v>
      </c>
      <c r="F10" s="872">
        <f ca="1">INDIRECT("'数据-取费表'!ai"&amp;$G$1)</f>
        <v>0</v>
      </c>
      <c r="G10" s="861"/>
      <c r="H10" s="878"/>
      <c r="I10" s="880"/>
      <c r="J10" s="1000"/>
      <c r="K10" s="893"/>
      <c r="L10" s="910" t="s">
        <v>1382</v>
      </c>
      <c r="M10" s="872">
        <f ca="1">INDIRECT("'数据-取费表'!ai"&amp;$G$1)</f>
        <v>0</v>
      </c>
    </row>
    <row r="11" ht="18" customHeight="1" spans="1:13">
      <c r="A11" s="881"/>
      <c r="B11" s="882"/>
      <c r="C11" s="876"/>
      <c r="D11" s="877"/>
      <c r="E11" s="871" t="s">
        <v>1383</v>
      </c>
      <c r="F11" s="883">
        <f ca="1">INDIRECT("'数据-取费表'!w"&amp;$G$1)</f>
        <v>0</v>
      </c>
      <c r="G11" s="861"/>
      <c r="H11" s="884"/>
      <c r="I11" s="880"/>
      <c r="J11" s="1000"/>
      <c r="K11" s="893"/>
      <c r="L11" s="907" t="s">
        <v>1383</v>
      </c>
      <c r="M11" s="894">
        <f ca="1">INDIRECT("'数据-取费表'!ab"&amp;$G$1)</f>
        <v>0</v>
      </c>
    </row>
    <row r="12" ht="18" customHeight="1" spans="1:13">
      <c r="A12" s="867" t="s">
        <v>1147</v>
      </c>
      <c r="B12" s="885" t="s">
        <v>1384</v>
      </c>
      <c r="C12" s="122">
        <f ca="1">ROUND(IF(F12="押一",C8/12*F13,IF(F12="押二",C8/12*2*F13,IF(F12="押三",C8/12*3*F13,C13*F13))),0)</f>
        <v>0</v>
      </c>
      <c r="D12" s="886" t="s">
        <v>1385</v>
      </c>
      <c r="E12" s="887" t="s">
        <v>1386</v>
      </c>
      <c r="F12" s="888"/>
      <c r="G12" s="861"/>
      <c r="H12" s="889" t="s">
        <v>1147</v>
      </c>
      <c r="I12" s="1001" t="s">
        <v>1384</v>
      </c>
      <c r="J12" s="999">
        <f ca="1">ROUND(IF(M12="押一",J8/12*M13,IF(M12="押二",J8/12*2*M13,IF(M12="押三",J8/12*3*M13,J13*M13))),0)</f>
        <v>0</v>
      </c>
      <c r="K12" s="886" t="s">
        <v>1385</v>
      </c>
      <c r="L12" s="887" t="s">
        <v>1386</v>
      </c>
      <c r="M12" s="888"/>
    </row>
    <row r="13" ht="18" customHeight="1" spans="1:13">
      <c r="A13" s="890"/>
      <c r="B13" s="891" t="s">
        <v>1388</v>
      </c>
      <c r="C13" s="892"/>
      <c r="D13" s="893"/>
      <c r="E13" s="887" t="s">
        <v>653</v>
      </c>
      <c r="F13" s="894">
        <f ca="1">'数据-取费表'!B39</f>
        <v>0.015</v>
      </c>
      <c r="G13" s="861"/>
      <c r="H13" s="895"/>
      <c r="I13" s="891" t="s">
        <v>1388</v>
      </c>
      <c r="J13" s="892"/>
      <c r="K13" s="1002"/>
      <c r="L13" s="887" t="s">
        <v>653</v>
      </c>
      <c r="M13" s="1003">
        <f ca="1">'数据-取费表'!B39</f>
        <v>0.015</v>
      </c>
    </row>
    <row r="14" ht="18" customHeight="1" spans="1:13">
      <c r="A14" s="896" t="s">
        <v>1209</v>
      </c>
      <c r="B14" s="897" t="s">
        <v>1389</v>
      </c>
      <c r="C14" s="898"/>
      <c r="D14" s="899"/>
      <c r="E14" s="900"/>
      <c r="F14" s="901"/>
      <c r="G14" s="861"/>
      <c r="H14" s="902" t="s">
        <v>1209</v>
      </c>
      <c r="I14" s="1004" t="s">
        <v>1389</v>
      </c>
      <c r="J14" s="1005"/>
      <c r="K14" s="899"/>
      <c r="L14" s="900"/>
      <c r="M14" s="1006"/>
    </row>
    <row r="15" ht="18" customHeight="1" spans="1:13">
      <c r="A15" s="903" t="s">
        <v>890</v>
      </c>
      <c r="B15" s="904" t="s">
        <v>2237</v>
      </c>
      <c r="C15" s="905">
        <f ca="1">ROUND(C31*F15,0)</f>
        <v>0</v>
      </c>
      <c r="D15" s="906" t="s">
        <v>1393</v>
      </c>
      <c r="E15" s="907" t="s">
        <v>1392</v>
      </c>
      <c r="F15" s="908">
        <f ca="1">INDIRECT("'数据-取费表'!y"&amp;$G$1)</f>
        <v>0</v>
      </c>
      <c r="G15" s="861"/>
      <c r="H15" s="903" t="s">
        <v>890</v>
      </c>
      <c r="I15" s="904" t="s">
        <v>1390</v>
      </c>
      <c r="J15" s="1007">
        <f ca="1">ROUND(J16*J17,0)</f>
        <v>0</v>
      </c>
      <c r="K15" s="936" t="s">
        <v>1393</v>
      </c>
      <c r="L15" s="1008"/>
      <c r="M15" s="1009"/>
    </row>
    <row r="16" ht="18" customHeight="1" spans="1:13">
      <c r="A16" s="909" t="s">
        <v>1166</v>
      </c>
      <c r="B16" s="910" t="s">
        <v>1216</v>
      </c>
      <c r="C16" s="911">
        <f ca="1">INDIRECT("'数据-取费表'!m"&amp;$G$1)+INDIRECT("'数据-取费表'!t"&amp;$G$1)</f>
        <v>0</v>
      </c>
      <c r="D16" s="912" t="s">
        <v>1394</v>
      </c>
      <c r="E16" s="913"/>
      <c r="F16" s="914"/>
      <c r="G16" s="861"/>
      <c r="H16" s="909" t="s">
        <v>1145</v>
      </c>
      <c r="I16" s="1010" t="s">
        <v>1395</v>
      </c>
      <c r="J16" s="123">
        <f ca="1">C31</f>
        <v>0</v>
      </c>
      <c r="K16" s="1011"/>
      <c r="L16" s="1008"/>
      <c r="M16" s="1009"/>
    </row>
    <row r="17" s="831" customFormat="1" ht="18" customHeight="1" spans="1:25">
      <c r="A17" s="909" t="s">
        <v>1217</v>
      </c>
      <c r="B17" s="910" t="s">
        <v>1218</v>
      </c>
      <c r="C17" s="123">
        <f ca="1">ROUND(C16*F17,0)</f>
        <v>0</v>
      </c>
      <c r="D17" s="915" t="s">
        <v>1396</v>
      </c>
      <c r="E17" s="915" t="s">
        <v>1397</v>
      </c>
      <c r="F17" s="916">
        <f>'数据-取费表'!B33</f>
        <v>0.03</v>
      </c>
      <c r="G17" s="917"/>
      <c r="H17" s="909" t="s">
        <v>1147</v>
      </c>
      <c r="I17" s="910" t="s">
        <v>1392</v>
      </c>
      <c r="J17" s="1012">
        <f ca="1">INDIRECT("'数据-取费表'!ad"&amp;$G$1)</f>
        <v>0</v>
      </c>
      <c r="K17" s="1011"/>
      <c r="L17" s="1008"/>
      <c r="M17" s="1009"/>
      <c r="N17" s="1013"/>
      <c r="O17" s="1013"/>
      <c r="P17" s="1013"/>
      <c r="Q17" s="1013"/>
      <c r="R17" s="1013"/>
      <c r="S17" s="1013"/>
      <c r="T17" s="1013"/>
      <c r="U17" s="1013"/>
      <c r="V17" s="1013"/>
      <c r="W17" s="1013"/>
      <c r="X17" s="1013"/>
      <c r="Y17" s="1013"/>
    </row>
    <row r="18" ht="18" customHeight="1" spans="1:13">
      <c r="A18" s="909" t="s">
        <v>1220</v>
      </c>
      <c r="B18" s="910" t="s">
        <v>1221</v>
      </c>
      <c r="C18" s="123">
        <f ca="1">ROUND(INDIRECT("'数据-取费表'!m"&amp;$G$1)*F18,0)</f>
        <v>0</v>
      </c>
      <c r="D18" s="910" t="s">
        <v>1396</v>
      </c>
      <c r="E18" s="910" t="s">
        <v>1397</v>
      </c>
      <c r="F18" s="918">
        <f ca="1">IF(INDIRECT("'数据-取费表'!c"&amp;$G$1)="住宅",'数据-取费表'!B34,0)</f>
        <v>0</v>
      </c>
      <c r="G18" s="861"/>
      <c r="H18" s="919" t="s">
        <v>892</v>
      </c>
      <c r="I18" s="1014" t="s">
        <v>1399</v>
      </c>
      <c r="J18" s="122">
        <f ca="1">ROUND(J19+J24+J25+J26,0)</f>
        <v>0</v>
      </c>
      <c r="K18" s="1011" t="s">
        <v>1400</v>
      </c>
      <c r="L18" s="125"/>
      <c r="M18" s="920"/>
    </row>
    <row r="19" s="831" customFormat="1" ht="18" customHeight="1" spans="1:25">
      <c r="A19" s="909" t="s">
        <v>1223</v>
      </c>
      <c r="B19" s="910" t="s">
        <v>1402</v>
      </c>
      <c r="C19" s="123">
        <f ca="1">ROUND(F19*(INDIRECT("'数据-取费表'!k"&amp;$G$1)+INDIRECT("'数据-取费表'!S"&amp;$G$1))/10000,0)</f>
        <v>0</v>
      </c>
      <c r="D19" s="910" t="s">
        <v>1403</v>
      </c>
      <c r="E19" s="910" t="s">
        <v>1404</v>
      </c>
      <c r="F19" s="920">
        <f>'数据-取费表'!B35</f>
        <v>200</v>
      </c>
      <c r="G19" s="917"/>
      <c r="H19" s="909" t="s">
        <v>1145</v>
      </c>
      <c r="I19" s="910" t="s">
        <v>1405</v>
      </c>
      <c r="J19" s="940">
        <f ca="1">ROUND(IF(AND(项目基本情况!B11="自然人",项目基本情况!B10="北京市"),J8*M19/(1+'数据-取费表'!C42),J20+J21+J22),0)</f>
        <v>0</v>
      </c>
      <c r="K19" s="912" t="s">
        <v>1406</v>
      </c>
      <c r="L19" s="941" t="s">
        <v>1407</v>
      </c>
      <c r="M19" s="942" t="str">
        <f ca="1">IF(项目基本情况!B11="企业","——",IF('数据-取费表'!B10="住宅",IF(M8*M9*M10/12/(1+'数据-取费表'!F30)&gt;100000,4%,2.5%),IF(M8*M9*M10/12/(1+'数据-取费表'!F30)&gt;100000,12%,7%)))</f>
        <v>——</v>
      </c>
      <c r="N19" s="1013"/>
      <c r="O19" s="1013"/>
      <c r="P19" s="1013"/>
      <c r="Q19" s="1013"/>
      <c r="R19" s="1013"/>
      <c r="S19" s="1013"/>
      <c r="T19" s="1013"/>
      <c r="U19" s="1013"/>
      <c r="V19" s="1013"/>
      <c r="W19" s="1013"/>
      <c r="X19" s="1013"/>
      <c r="Y19" s="1013"/>
    </row>
    <row r="20" s="831" customFormat="1" ht="18" customHeight="1" spans="1:25">
      <c r="A20" s="909" t="s">
        <v>1225</v>
      </c>
      <c r="B20" s="910" t="s">
        <v>1226</v>
      </c>
      <c r="C20" s="123">
        <f ca="1">ROUND(C16*F20,0)</f>
        <v>0</v>
      </c>
      <c r="D20" s="910" t="s">
        <v>1396</v>
      </c>
      <c r="E20" s="910" t="s">
        <v>1397</v>
      </c>
      <c r="F20" s="918">
        <f>'数据-取费表'!B36</f>
        <v>0.015</v>
      </c>
      <c r="G20" s="917"/>
      <c r="H20" s="909" t="s">
        <v>1166</v>
      </c>
      <c r="I20" s="910" t="s">
        <v>1409</v>
      </c>
      <c r="J20" s="123">
        <f ca="1">ROUND(J8*M20/(1+'数据-取费表'!C42),1)</f>
        <v>0</v>
      </c>
      <c r="K20" s="941" t="s">
        <v>1410</v>
      </c>
      <c r="L20" s="910" t="s">
        <v>1397</v>
      </c>
      <c r="M20" s="918">
        <f>'数据-取费表'!B41</f>
        <v>0.056</v>
      </c>
      <c r="N20" s="1013"/>
      <c r="O20" s="1013"/>
      <c r="P20" s="1013"/>
      <c r="Q20" s="1013"/>
      <c r="R20" s="1013"/>
      <c r="S20" s="1013"/>
      <c r="T20" s="1013"/>
      <c r="U20" s="1013"/>
      <c r="V20" s="1013"/>
      <c r="W20" s="1013"/>
      <c r="X20" s="1013"/>
      <c r="Y20" s="1013"/>
    </row>
    <row r="21" ht="18" customHeight="1" spans="1:13">
      <c r="A21" s="909" t="s">
        <v>1145</v>
      </c>
      <c r="B21" s="910" t="s">
        <v>1411</v>
      </c>
      <c r="C21" s="123">
        <f ca="1">SUM(C16:C20)</f>
        <v>0</v>
      </c>
      <c r="D21" s="921" t="s">
        <v>1412</v>
      </c>
      <c r="E21" s="125"/>
      <c r="F21" s="920"/>
      <c r="G21" s="861"/>
      <c r="H21" s="867" t="s">
        <v>1217</v>
      </c>
      <c r="I21" s="910" t="s">
        <v>1413</v>
      </c>
      <c r="J21" s="123">
        <f ca="1">IF(K21="按租金收入计税",ROUND(J8*M21/(1+'数据-取费表'!C42),1),ROUND(C31*F35*0.7,1))</f>
        <v>0</v>
      </c>
      <c r="K21" s="945" t="s">
        <v>1414</v>
      </c>
      <c r="L21" s="910" t="s">
        <v>1397</v>
      </c>
      <c r="M21" s="918">
        <f>IF(K21="按租金收入计税",'数据-取费表'!B51,'数据-取费表'!B50)</f>
        <v>0.012</v>
      </c>
    </row>
    <row r="22" s="831" customFormat="1" ht="18" customHeight="1" spans="1:25">
      <c r="A22" s="909" t="s">
        <v>2238</v>
      </c>
      <c r="B22" s="910" t="s">
        <v>1415</v>
      </c>
      <c r="C22" s="123">
        <f ca="1">ROUND(C21*F22,0)</f>
        <v>0</v>
      </c>
      <c r="D22" s="922" t="s">
        <v>1416</v>
      </c>
      <c r="E22" s="910" t="s">
        <v>1397</v>
      </c>
      <c r="F22" s="918">
        <f>'数据-取费表'!B37</f>
        <v>0.02</v>
      </c>
      <c r="G22" s="917"/>
      <c r="H22" s="923" t="s">
        <v>1220</v>
      </c>
      <c r="I22" s="870" t="s">
        <v>1417</v>
      </c>
      <c r="J22" s="949">
        <f ca="1">ROUND(M22*M23/10000,0)</f>
        <v>0</v>
      </c>
      <c r="K22" s="950" t="s">
        <v>1418</v>
      </c>
      <c r="L22" s="910" t="s">
        <v>1419</v>
      </c>
      <c r="M22" s="928">
        <f>'数据-取费表'!B52</f>
        <v>12</v>
      </c>
      <c r="N22" s="1013"/>
      <c r="O22" s="1013"/>
      <c r="P22" s="1013"/>
      <c r="Q22" s="1013"/>
      <c r="R22" s="1013"/>
      <c r="S22" s="1013"/>
      <c r="T22" s="1013"/>
      <c r="U22" s="1013"/>
      <c r="V22" s="1013"/>
      <c r="W22" s="1013"/>
      <c r="X22" s="1013"/>
      <c r="Y22" s="1013"/>
    </row>
    <row r="23" s="831" customFormat="1" ht="18" customHeight="1" spans="1:25">
      <c r="A23" s="909" t="s">
        <v>2239</v>
      </c>
      <c r="B23" s="910" t="s">
        <v>1420</v>
      </c>
      <c r="C23" s="123" t="s">
        <v>138</v>
      </c>
      <c r="D23" s="922" t="s">
        <v>2240</v>
      </c>
      <c r="E23" s="910" t="s">
        <v>1422</v>
      </c>
      <c r="F23" s="918">
        <f>'数据-取费表'!B38</f>
        <v>0.02</v>
      </c>
      <c r="G23" s="917"/>
      <c r="H23" s="924"/>
      <c r="I23" s="1015"/>
      <c r="J23" s="953"/>
      <c r="K23" s="954"/>
      <c r="L23" s="910" t="s">
        <v>1423</v>
      </c>
      <c r="M23" s="872">
        <f ca="1">INDIRECT("'数据-取费表'!r"&amp;$G$1)</f>
        <v>0</v>
      </c>
      <c r="N23" s="1013"/>
      <c r="O23" s="1013"/>
      <c r="P23" s="1013"/>
      <c r="Q23" s="1013"/>
      <c r="R23" s="1013"/>
      <c r="S23" s="1013"/>
      <c r="T23" s="1013"/>
      <c r="U23" s="1013"/>
      <c r="V23" s="1013"/>
      <c r="W23" s="1013"/>
      <c r="X23" s="1013"/>
      <c r="Y23" s="1013"/>
    </row>
    <row r="24" ht="18" customHeight="1" spans="1:13">
      <c r="A24" s="909" t="s">
        <v>2241</v>
      </c>
      <c r="B24" s="910" t="s">
        <v>1425</v>
      </c>
      <c r="C24" s="123"/>
      <c r="D24" s="925" t="str">
        <f>IF(F25&lt;=1,"单利计息。","复利计息。")&amp;"建造成本、管理费用、销售费用产生的利息。"</f>
        <v>复利计息。建造成本、管理费用、销售费用产生的利息。</v>
      </c>
      <c r="E24" s="125"/>
      <c r="F24" s="920"/>
      <c r="G24" s="861"/>
      <c r="H24" s="926" t="s">
        <v>1147</v>
      </c>
      <c r="I24" s="910" t="s">
        <v>1426</v>
      </c>
      <c r="J24" s="123">
        <f ca="1">ROUND(J16*M24,0)</f>
        <v>0</v>
      </c>
      <c r="K24" s="941" t="s">
        <v>1427</v>
      </c>
      <c r="L24" s="910" t="s">
        <v>1397</v>
      </c>
      <c r="M24" s="955">
        <f ca="1">INDIRECT("'数据-取费表'!Ak"&amp;$G$1)</f>
        <v>0</v>
      </c>
    </row>
    <row r="25" s="831" customFormat="1" ht="18" customHeight="1" spans="1:25">
      <c r="A25" s="909" t="s">
        <v>1166</v>
      </c>
      <c r="B25" s="910" t="s">
        <v>1428</v>
      </c>
      <c r="C25" s="123">
        <f ca="1">ROUND(IF('数据-取费表'!B22&lt;=1,(C21+C22)*F26*F25/2,(C21+C22)*(POWER((1+F26),F25/2)-1)),0)</f>
        <v>0</v>
      </c>
      <c r="D25" s="927" t="str">
        <f>IF(F25&lt;=1,"(建造成本+管理费用)×利率×(建设周期÷2)","(建造成本+管理费用)×((1+利率)^(建设周期÷2)-1)")</f>
        <v>(建造成本+管理费用)×((1+利率)^(建设周期÷2)-1)</v>
      </c>
      <c r="E25" s="910" t="s">
        <v>1429</v>
      </c>
      <c r="F25" s="928">
        <f>'数据-取费表'!B20</f>
        <v>1.5</v>
      </c>
      <c r="G25" s="917"/>
      <c r="H25" s="909" t="s">
        <v>2239</v>
      </c>
      <c r="I25" s="910" t="s">
        <v>1430</v>
      </c>
      <c r="J25" s="123">
        <f ca="1">ROUND(J15*M25,0)</f>
        <v>0</v>
      </c>
      <c r="K25" s="941" t="s">
        <v>1431</v>
      </c>
      <c r="L25" s="910" t="s">
        <v>1397</v>
      </c>
      <c r="M25" s="956">
        <f ca="1">INDIRECT("'数据-取费表'!Al"&amp;$G$1)</f>
        <v>0</v>
      </c>
      <c r="N25" s="1013"/>
      <c r="O25" s="1013"/>
      <c r="P25" s="1013"/>
      <c r="Q25" s="1013"/>
      <c r="R25" s="1013"/>
      <c r="S25" s="1013"/>
      <c r="T25" s="1013"/>
      <c r="U25" s="1013"/>
      <c r="V25" s="1013"/>
      <c r="W25" s="1013"/>
      <c r="X25" s="1013"/>
      <c r="Y25" s="1013"/>
    </row>
    <row r="26" s="831" customFormat="1" ht="18" customHeight="1" spans="1:25">
      <c r="A26" s="909" t="s">
        <v>1217</v>
      </c>
      <c r="B26" s="910" t="s">
        <v>1432</v>
      </c>
      <c r="C26" s="123">
        <f ca="1">ROUND(IF('数据-取费表'!B22&lt;=1,F23*F26*F25/2,F23*(POWER((1+F26),F25/2)-1)),4)</f>
        <v>0.0007</v>
      </c>
      <c r="D26" s="927" t="str">
        <f>IF(F25&lt;=1,"销售费用×利率×(建设周期÷2)","销售费用×((1+利率)^(建设周期÷2)-1)")</f>
        <v>销售费用×((1+利率)^(建设周期÷2)-1)</v>
      </c>
      <c r="E26" s="910" t="s">
        <v>1433</v>
      </c>
      <c r="F26" s="929">
        <f ca="1">'数据-取费表'!B40</f>
        <v>0.0475</v>
      </c>
      <c r="G26" s="917"/>
      <c r="H26" s="909" t="s">
        <v>2241</v>
      </c>
      <c r="I26" s="910" t="s">
        <v>1415</v>
      </c>
      <c r="J26" s="123">
        <f ca="1">ROUND(J7*M26,0)</f>
        <v>0</v>
      </c>
      <c r="K26" s="941" t="s">
        <v>1434</v>
      </c>
      <c r="L26" s="910" t="s">
        <v>1397</v>
      </c>
      <c r="M26" s="883">
        <f ca="1">INDIRECT("'数据-取费表'!Am"&amp;$G$1)</f>
        <v>0</v>
      </c>
      <c r="N26" s="1013"/>
      <c r="O26" s="1013"/>
      <c r="P26" s="1013"/>
      <c r="Q26" s="1013"/>
      <c r="R26" s="1013"/>
      <c r="S26" s="1013"/>
      <c r="T26" s="1013"/>
      <c r="U26" s="1013"/>
      <c r="V26" s="1013"/>
      <c r="W26" s="1013"/>
      <c r="X26" s="1013"/>
      <c r="Y26" s="1013"/>
    </row>
    <row r="27" ht="18" customHeight="1" spans="1:13">
      <c r="A27" s="909" t="s">
        <v>2242</v>
      </c>
      <c r="B27" s="910" t="s">
        <v>1435</v>
      </c>
      <c r="C27" s="123"/>
      <c r="D27" s="921" t="s">
        <v>1436</v>
      </c>
      <c r="E27" s="125"/>
      <c r="F27" s="920"/>
      <c r="G27" s="861"/>
      <c r="H27" s="919" t="s">
        <v>898</v>
      </c>
      <c r="I27" s="1016" t="s">
        <v>1438</v>
      </c>
      <c r="J27" s="122">
        <f ca="1">J7-J18</f>
        <v>0</v>
      </c>
      <c r="K27" s="912" t="s">
        <v>1439</v>
      </c>
      <c r="L27" s="962"/>
      <c r="M27" s="963"/>
    </row>
    <row r="28" ht="18" customHeight="1" spans="1:13">
      <c r="A28" s="909" t="s">
        <v>1166</v>
      </c>
      <c r="B28" s="910" t="s">
        <v>1440</v>
      </c>
      <c r="C28" s="123">
        <f ca="1">ROUND((C21+C22)*F28,0)</f>
        <v>0</v>
      </c>
      <c r="D28" s="922" t="s">
        <v>1441</v>
      </c>
      <c r="E28" s="907" t="s">
        <v>1442</v>
      </c>
      <c r="F28" s="883">
        <f ca="1">INDIRECT("'数据-取费表'!q"&amp;$G$1)</f>
        <v>0</v>
      </c>
      <c r="G28" s="861"/>
      <c r="H28" s="862" t="s">
        <v>907</v>
      </c>
      <c r="I28" s="863" t="s">
        <v>2243</v>
      </c>
      <c r="J28" s="999">
        <f ca="1">IF(J7&lt;&gt;0,ROUND(J27*(1-((1+M30)/(1+M28))^M29)/(M28-M30),0),0)</f>
        <v>0</v>
      </c>
      <c r="K28" s="950" t="s">
        <v>1445</v>
      </c>
      <c r="L28" s="910" t="s">
        <v>1546</v>
      </c>
      <c r="M28" s="883">
        <f ca="1">INDIRECT("'数据-取费表'!I"&amp;$G$1)</f>
        <v>0</v>
      </c>
    </row>
    <row r="29" ht="18" customHeight="1" spans="1:13">
      <c r="A29" s="909" t="s">
        <v>1217</v>
      </c>
      <c r="B29" s="910" t="s">
        <v>1447</v>
      </c>
      <c r="C29" s="123">
        <f ca="1">ROUND(F23*F28,4)</f>
        <v>0</v>
      </c>
      <c r="D29" s="922" t="s">
        <v>1448</v>
      </c>
      <c r="E29" s="915"/>
      <c r="F29" s="916"/>
      <c r="G29" s="861"/>
      <c r="H29" s="881"/>
      <c r="I29" s="1017"/>
      <c r="J29" s="1000"/>
      <c r="K29" s="1018" t="s">
        <v>1449</v>
      </c>
      <c r="L29" s="910" t="s">
        <v>1450</v>
      </c>
      <c r="M29" s="1019">
        <f ca="1">INDIRECT("'数据-取费表'!ag"&amp;$G$1)</f>
        <v>0</v>
      </c>
    </row>
    <row r="30" s="831" customFormat="1" ht="18" customHeight="1" spans="1:25">
      <c r="A30" s="909" t="s">
        <v>2244</v>
      </c>
      <c r="B30" s="910" t="s">
        <v>1451</v>
      </c>
      <c r="C30" s="123">
        <f>ROUND(F30/(1+'数据-取费表'!C42),4)</f>
        <v>0.0533</v>
      </c>
      <c r="D30" s="922" t="s">
        <v>2245</v>
      </c>
      <c r="E30" s="910" t="s">
        <v>1397</v>
      </c>
      <c r="F30" s="918">
        <f>'数据-取费表'!B41</f>
        <v>0.056</v>
      </c>
      <c r="G30" s="917"/>
      <c r="H30" s="890"/>
      <c r="I30" s="1020"/>
      <c r="J30" s="905"/>
      <c r="K30" s="954"/>
      <c r="L30" s="910" t="s">
        <v>1453</v>
      </c>
      <c r="M30" s="883">
        <f ca="1">INDIRECT("'数据-取费表'!aa"&amp;$G$1)</f>
        <v>0</v>
      </c>
      <c r="N30" s="1013"/>
      <c r="O30" s="1013"/>
      <c r="P30" s="1013"/>
      <c r="Q30" s="1013"/>
      <c r="R30" s="1013"/>
      <c r="S30" s="1013"/>
      <c r="T30" s="1013"/>
      <c r="U30" s="1013"/>
      <c r="V30" s="1013"/>
      <c r="W30" s="1013"/>
      <c r="X30" s="1013"/>
      <c r="Y30" s="1013"/>
    </row>
    <row r="31" s="831" customFormat="1" ht="18" customHeight="1" spans="1:25">
      <c r="A31" s="930" t="s">
        <v>2246</v>
      </c>
      <c r="B31" s="900" t="s">
        <v>1455</v>
      </c>
      <c r="C31" s="931">
        <f ca="1">ROUND((C21+C22+C25+C28)/(1-F23-C26-C29-C30),0)</f>
        <v>0</v>
      </c>
      <c r="D31" s="932"/>
      <c r="E31" s="933"/>
      <c r="F31" s="934"/>
      <c r="G31" s="917"/>
      <c r="H31" s="935" t="s">
        <v>912</v>
      </c>
      <c r="I31" s="1021" t="s">
        <v>2247</v>
      </c>
      <c r="J31" s="1022">
        <f ca="1">ROUND(J28/(1+F45)^F46,0)</f>
        <v>0</v>
      </c>
      <c r="K31" s="1023" t="s">
        <v>1458</v>
      </c>
      <c r="L31" s="1024"/>
      <c r="M31" s="980">
        <f ca="1">INDIRECT("'数据-取费表'!k"&amp;$G$1)</f>
        <v>0</v>
      </c>
      <c r="N31" s="1013"/>
      <c r="O31" s="1013"/>
      <c r="P31" s="1013"/>
      <c r="Q31" s="1013"/>
      <c r="R31" s="1013"/>
      <c r="S31" s="1013"/>
      <c r="T31" s="1013"/>
      <c r="U31" s="1013"/>
      <c r="V31" s="1013"/>
      <c r="W31" s="1013"/>
      <c r="X31" s="1013"/>
      <c r="Y31" s="1013"/>
    </row>
    <row r="32" ht="18" customHeight="1" spans="1:13">
      <c r="A32" s="903" t="s">
        <v>1398</v>
      </c>
      <c r="B32" s="904" t="s">
        <v>2248</v>
      </c>
      <c r="C32" s="905">
        <f ca="1">ROUND(C33+C38+C39+C40,0)</f>
        <v>0</v>
      </c>
      <c r="D32" s="936" t="s">
        <v>1400</v>
      </c>
      <c r="E32" s="937"/>
      <c r="F32" s="866"/>
      <c r="G32" s="938"/>
      <c r="H32" s="939"/>
      <c r="I32" s="1025"/>
      <c r="J32" s="1026"/>
      <c r="K32" s="1027"/>
      <c r="L32" s="1028"/>
      <c r="M32" s="1029"/>
    </row>
    <row r="33" ht="18" customHeight="1" spans="1:13">
      <c r="A33" s="909" t="s">
        <v>1145</v>
      </c>
      <c r="B33" s="910" t="s">
        <v>1405</v>
      </c>
      <c r="C33" s="940">
        <f ca="1">ROUND(IF(AND(项目基本情况!B11="自然人",项目基本情况!B10="北京市"),C8*F33/(1+'数据-取费表'!C42),C34+C35+C36),0)</f>
        <v>0</v>
      </c>
      <c r="D33" s="912" t="s">
        <v>1406</v>
      </c>
      <c r="E33" s="941" t="s">
        <v>1407</v>
      </c>
      <c r="F33" s="942" t="str">
        <f ca="1">IF(项目基本情况!B11="企业","——",IF('数据-取费表'!B10="住宅",IF(F8*F9*F10/12/(1+'数据-取费表'!F30)&gt;100000,4%,2.5%),IF(F8*F9*F10/12/(1+'数据-取费表'!F30)&gt;100000,12%,7%)))</f>
        <v>——</v>
      </c>
      <c r="G33" s="938"/>
      <c r="H33" s="943" t="s">
        <v>1459</v>
      </c>
      <c r="I33" s="1025"/>
      <c r="J33" s="1026"/>
      <c r="K33" s="1027"/>
      <c r="L33" s="1028"/>
      <c r="M33" s="1029"/>
    </row>
    <row r="34" ht="18" customHeight="1" spans="1:13">
      <c r="A34" s="909" t="s">
        <v>1166</v>
      </c>
      <c r="B34" s="910" t="s">
        <v>1409</v>
      </c>
      <c r="C34" s="123">
        <f ca="1">ROUND(C8*F34/(1+'数据-取费表'!C42),1)</f>
        <v>0</v>
      </c>
      <c r="D34" s="941" t="s">
        <v>1410</v>
      </c>
      <c r="E34" s="910" t="s">
        <v>1397</v>
      </c>
      <c r="F34" s="918">
        <f>'数据-取费表'!B41</f>
        <v>0.056</v>
      </c>
      <c r="G34" s="938"/>
      <c r="H34" s="944"/>
      <c r="I34" s="1030"/>
      <c r="J34" s="1031"/>
      <c r="K34" s="1032"/>
      <c r="L34" s="1033"/>
      <c r="M34" s="1034"/>
    </row>
    <row r="35" ht="18" customHeight="1" spans="1:13">
      <c r="A35" s="909" t="s">
        <v>1217</v>
      </c>
      <c r="B35" s="910" t="s">
        <v>1413</v>
      </c>
      <c r="C35" s="123">
        <f ca="1">IF(D35="按租金收入计税",ROUND(C8*F35/(1+'数据-取费表'!C42),1),IF(D35="按房产原值计税",ROUND(C31*F35*0.7,1),INDIRECT("'数据-取费表'!Aj"&amp;$G$1)))</f>
        <v>0</v>
      </c>
      <c r="D35" s="945" t="s">
        <v>2249</v>
      </c>
      <c r="E35" s="910" t="s">
        <v>1397</v>
      </c>
      <c r="F35" s="918">
        <f>IF(D35="按租金收入计税",'数据-取费表'!B51,'数据-取费表'!B50)</f>
        <v>0.012</v>
      </c>
      <c r="G35" s="938"/>
      <c r="H35" s="946"/>
      <c r="I35" s="946"/>
      <c r="J35" s="946"/>
      <c r="K35" s="1035"/>
      <c r="L35" s="946"/>
      <c r="M35" s="946"/>
    </row>
    <row r="36" ht="18" customHeight="1" spans="1:13">
      <c r="A36" s="947" t="s">
        <v>1173</v>
      </c>
      <c r="B36" s="948" t="s">
        <v>1417</v>
      </c>
      <c r="C36" s="949">
        <f ca="1">ROUND(F36*F37/10000,1)</f>
        <v>0</v>
      </c>
      <c r="D36" s="950" t="s">
        <v>1418</v>
      </c>
      <c r="E36" s="910" t="s">
        <v>1419</v>
      </c>
      <c r="F36" s="928">
        <f>'数据-取费表'!B52</f>
        <v>12</v>
      </c>
      <c r="G36" s="938"/>
      <c r="H36" s="939"/>
      <c r="I36" s="1036"/>
      <c r="J36" s="1037"/>
      <c r="K36" s="1038"/>
      <c r="L36" s="1037"/>
      <c r="M36" s="1037"/>
    </row>
    <row r="37" ht="18" customHeight="1" spans="1:13">
      <c r="A37" s="951"/>
      <c r="B37" s="952"/>
      <c r="C37" s="953"/>
      <c r="D37" s="954"/>
      <c r="E37" s="910" t="s">
        <v>1423</v>
      </c>
      <c r="F37" s="872">
        <f ca="1">INDIRECT("'数据-取费表'!r"&amp;$G$1)</f>
        <v>0</v>
      </c>
      <c r="G37" s="938"/>
      <c r="H37" s="939"/>
      <c r="I37" s="1036"/>
      <c r="J37" s="946"/>
      <c r="K37" s="1035"/>
      <c r="L37" s="946"/>
      <c r="M37" s="946"/>
    </row>
    <row r="38" ht="18" customHeight="1" spans="1:13">
      <c r="A38" s="909" t="s">
        <v>2238</v>
      </c>
      <c r="B38" s="910" t="s">
        <v>1426</v>
      </c>
      <c r="C38" s="123">
        <f ca="1">ROUND(C31*F38,1)</f>
        <v>0</v>
      </c>
      <c r="D38" s="941" t="s">
        <v>1463</v>
      </c>
      <c r="E38" s="910" t="s">
        <v>1397</v>
      </c>
      <c r="F38" s="955">
        <f ca="1">INDIRECT("'数据-取费表'!Ak"&amp;$G$1)</f>
        <v>0</v>
      </c>
      <c r="G38" s="938"/>
      <c r="H38" s="946"/>
      <c r="I38" s="1036"/>
      <c r="J38" s="1039"/>
      <c r="K38" s="1040"/>
      <c r="L38" s="946"/>
      <c r="M38" s="946"/>
    </row>
    <row r="39" ht="18" customHeight="1" spans="1:13">
      <c r="A39" s="909" t="s">
        <v>2239</v>
      </c>
      <c r="B39" s="910" t="s">
        <v>1430</v>
      </c>
      <c r="C39" s="123">
        <f ca="1">ROUND(C15*F39,1)</f>
        <v>0</v>
      </c>
      <c r="D39" s="941" t="s">
        <v>1431</v>
      </c>
      <c r="E39" s="910" t="s">
        <v>1397</v>
      </c>
      <c r="F39" s="956">
        <f ca="1">INDIRECT("'数据-取费表'!Al"&amp;$G$1)</f>
        <v>0</v>
      </c>
      <c r="G39" s="938"/>
      <c r="H39" s="946"/>
      <c r="I39" s="1036"/>
      <c r="J39" s="1039"/>
      <c r="K39" s="1040"/>
      <c r="L39" s="946"/>
      <c r="M39" s="946"/>
    </row>
    <row r="40" ht="18" customHeight="1" spans="1:13">
      <c r="A40" s="930" t="s">
        <v>2241</v>
      </c>
      <c r="B40" s="933" t="s">
        <v>1415</v>
      </c>
      <c r="C40" s="931">
        <f ca="1">ROUND(C7*F40,1)</f>
        <v>0</v>
      </c>
      <c r="D40" s="932" t="s">
        <v>1434</v>
      </c>
      <c r="E40" s="933" t="s">
        <v>1397</v>
      </c>
      <c r="F40" s="901">
        <f ca="1">INDIRECT("'数据-取费表'!Am"&amp;$G$1)</f>
        <v>0</v>
      </c>
      <c r="G40" s="938"/>
      <c r="H40" s="946"/>
      <c r="I40" s="1036"/>
      <c r="J40" s="1039"/>
      <c r="K40" s="1041"/>
      <c r="L40" s="946"/>
      <c r="M40" s="946"/>
    </row>
    <row r="41" ht="18" customHeight="1" spans="1:13">
      <c r="A41" s="903">
        <v>4</v>
      </c>
      <c r="B41" s="904" t="s">
        <v>2250</v>
      </c>
      <c r="C41" s="957"/>
      <c r="D41" s="958"/>
      <c r="E41" s="958"/>
      <c r="F41" s="959"/>
      <c r="G41" s="938"/>
      <c r="H41" s="938"/>
      <c r="I41" s="938"/>
      <c r="J41" s="938"/>
      <c r="K41" s="1041"/>
      <c r="L41" s="938"/>
      <c r="M41" s="938"/>
    </row>
    <row r="42" ht="18" customHeight="1" spans="1:13">
      <c r="A42" s="909" t="s">
        <v>1145</v>
      </c>
      <c r="B42" s="960" t="s">
        <v>2251</v>
      </c>
      <c r="C42" s="961">
        <f ca="1">C7-C32</f>
        <v>0</v>
      </c>
      <c r="D42" s="912" t="s">
        <v>2252</v>
      </c>
      <c r="E42" s="962"/>
      <c r="F42" s="963"/>
      <c r="G42" s="938"/>
      <c r="H42" s="938"/>
      <c r="I42" s="938"/>
      <c r="J42" s="938"/>
      <c r="K42" s="1041"/>
      <c r="L42" s="938"/>
      <c r="M42" s="938"/>
    </row>
    <row r="43" ht="18" customHeight="1" spans="1:13">
      <c r="A43" s="909" t="s">
        <v>2238</v>
      </c>
      <c r="B43" s="960" t="s">
        <v>2253</v>
      </c>
      <c r="C43" s="964">
        <f ca="1">ROUND(C15*F43,0)</f>
        <v>0</v>
      </c>
      <c r="D43" s="965" t="s">
        <v>2254</v>
      </c>
      <c r="E43" s="966" t="s">
        <v>2255</v>
      </c>
      <c r="F43" s="967">
        <f ca="1">INDIRECT("'数据-取费表'!j"&amp;$G$1)</f>
        <v>0</v>
      </c>
      <c r="G43" s="938"/>
      <c r="H43" s="938"/>
      <c r="I43" s="938"/>
      <c r="J43" s="938"/>
      <c r="K43" s="1041"/>
      <c r="L43" s="938"/>
      <c r="M43" s="938"/>
    </row>
    <row r="44" ht="18" customHeight="1" spans="1:13">
      <c r="A44" s="909" t="s">
        <v>2239</v>
      </c>
      <c r="B44" s="960" t="s">
        <v>2256</v>
      </c>
      <c r="C44" s="968">
        <f ca="1">C42-C43</f>
        <v>0</v>
      </c>
      <c r="D44" s="969" t="s">
        <v>2257</v>
      </c>
      <c r="E44" s="970"/>
      <c r="F44" s="971"/>
      <c r="G44" s="938"/>
      <c r="H44" s="938"/>
      <c r="I44" s="938"/>
      <c r="J44" s="938"/>
      <c r="K44" s="1041"/>
      <c r="L44" s="938"/>
      <c r="M44" s="938"/>
    </row>
    <row r="45" ht="18" customHeight="1" spans="1:13">
      <c r="A45" s="909" t="s">
        <v>2241</v>
      </c>
      <c r="B45" s="965" t="s">
        <v>2258</v>
      </c>
      <c r="C45" s="972">
        <f ca="1">ROUND(-PV(F45,F46,C44,0),0)</f>
        <v>0</v>
      </c>
      <c r="D45" s="973" t="s">
        <v>2259</v>
      </c>
      <c r="E45" s="915" t="s">
        <v>2260</v>
      </c>
      <c r="F45" s="974">
        <f ca="1">INDIRECT("'数据-取费表'!h"&amp;$G$1)</f>
        <v>0</v>
      </c>
      <c r="G45" s="938"/>
      <c r="H45" s="938"/>
      <c r="I45" s="938"/>
      <c r="J45" s="938"/>
      <c r="K45" s="1041"/>
      <c r="L45" s="938"/>
      <c r="M45" s="938"/>
    </row>
    <row r="46" ht="18" customHeight="1" spans="1:13">
      <c r="A46" s="975"/>
      <c r="B46" s="976"/>
      <c r="C46" s="977"/>
      <c r="D46" s="978"/>
      <c r="E46" s="979" t="s">
        <v>2261</v>
      </c>
      <c r="F46" s="980">
        <f ca="1">IF(INDIRECT("'数据-取费表'!af"&amp;$G$1)=0,INDIRECT("'数据-取费表'!ae"&amp;$G$1),INDIRECT("'数据-取费表'!af"&amp;$G$1))</f>
        <v>0</v>
      </c>
      <c r="G46" s="938"/>
      <c r="H46" s="938"/>
      <c r="I46" s="938"/>
      <c r="J46" s="938"/>
      <c r="K46" s="1041"/>
      <c r="L46" s="938"/>
      <c r="M46" s="938"/>
    </row>
    <row r="47" s="716" customFormat="1" ht="18" customHeight="1" spans="1:18">
      <c r="A47" s="981"/>
      <c r="D47" s="982"/>
      <c r="E47" s="982"/>
      <c r="F47" s="982"/>
      <c r="I47" s="1042" t="s">
        <v>1477</v>
      </c>
      <c r="J47" s="1043"/>
      <c r="K47" s="1044"/>
      <c r="L47" s="1045" t="str">
        <f ca="1">IF(M48="住宅",0,IF(L49&gt;J52,L61,J61))</f>
        <v>0</v>
      </c>
      <c r="O47" s="1046" t="s">
        <v>1478</v>
      </c>
      <c r="P47" s="861"/>
      <c r="Q47" s="661"/>
      <c r="R47" s="861"/>
    </row>
    <row r="48" s="716" customFormat="1" ht="18" customHeight="1" spans="1:18">
      <c r="A48" s="981"/>
      <c r="C48" s="983"/>
      <c r="D48" s="984"/>
      <c r="E48" s="984"/>
      <c r="F48" s="985"/>
      <c r="G48" s="986"/>
      <c r="I48" s="1047" t="s">
        <v>1480</v>
      </c>
      <c r="J48" s="1048"/>
      <c r="K48" s="1049" t="s">
        <v>1482</v>
      </c>
      <c r="L48" s="1050">
        <f ca="1">INDIRECT("'数据-取费表'!d"&amp;$G$1)</f>
        <v>0</v>
      </c>
      <c r="M48" s="1051" t="str">
        <f>IF(ISNUMBER(FIND("住宅",C1)),"住宅","非住宅")</f>
        <v>非住宅</v>
      </c>
      <c r="O48" s="1052" t="s">
        <v>1483</v>
      </c>
      <c r="P48" s="1053" t="s">
        <v>1484</v>
      </c>
      <c r="Q48" s="1093" t="s">
        <v>1485</v>
      </c>
      <c r="R48" s="1053" t="s">
        <v>1486</v>
      </c>
    </row>
    <row r="49" s="716" customFormat="1" ht="18" customHeight="1" spans="1:18">
      <c r="A49" s="981"/>
      <c r="D49" s="987"/>
      <c r="E49" s="988"/>
      <c r="F49" s="985"/>
      <c r="G49" s="986"/>
      <c r="H49" s="989"/>
      <c r="I49" s="1054" t="s">
        <v>1489</v>
      </c>
      <c r="J49" s="1055"/>
      <c r="K49" s="1056" t="s">
        <v>1491</v>
      </c>
      <c r="L49" s="710">
        <f ca="1">INDIRECT("'数据-取费表'!f"&amp;$G$1)</f>
        <v>0</v>
      </c>
      <c r="O49" s="1057" t="s">
        <v>1492</v>
      </c>
      <c r="P49" s="1058" t="s">
        <v>1493</v>
      </c>
      <c r="Q49" s="1094">
        <f ca="1">C41+J31</f>
        <v>0</v>
      </c>
      <c r="R49" s="1058" t="s">
        <v>1494</v>
      </c>
    </row>
    <row r="50" s="716" customFormat="1" ht="18" customHeight="1" spans="1:18">
      <c r="A50" s="981"/>
      <c r="D50" s="990"/>
      <c r="E50" s="990"/>
      <c r="F50" s="984"/>
      <c r="G50" s="991"/>
      <c r="H50" s="989"/>
      <c r="I50" s="1054" t="s">
        <v>1495</v>
      </c>
      <c r="J50" s="1059"/>
      <c r="K50" s="1060" t="s">
        <v>1496</v>
      </c>
      <c r="L50" s="1061"/>
      <c r="O50" s="1057" t="s">
        <v>1497</v>
      </c>
      <c r="P50" s="1058" t="s">
        <v>1498</v>
      </c>
      <c r="Q50" s="1094" t="str">
        <f ca="1">J61</f>
        <v>0</v>
      </c>
      <c r="R50" s="1058" t="s">
        <v>1499</v>
      </c>
    </row>
    <row r="51" s="716" customFormat="1" ht="18" customHeight="1" spans="1:18">
      <c r="A51" s="992"/>
      <c r="D51" s="990"/>
      <c r="E51" s="990"/>
      <c r="F51" s="982"/>
      <c r="H51" s="989"/>
      <c r="I51" s="1054" t="s">
        <v>1500</v>
      </c>
      <c r="J51" s="1062">
        <f>SUMPRODUCT((I64:I66=J48)*(J63:L63=J49)*(J64:L66))</f>
        <v>0</v>
      </c>
      <c r="K51" s="1060" t="s">
        <v>1501</v>
      </c>
      <c r="L51" s="1061"/>
      <c r="O51" s="1063" t="s">
        <v>1502</v>
      </c>
      <c r="P51" s="1058" t="s">
        <v>1503</v>
      </c>
      <c r="Q51" s="1094">
        <f ca="1">C31</f>
        <v>0</v>
      </c>
      <c r="R51" s="1058" t="s">
        <v>1494</v>
      </c>
    </row>
    <row r="52" s="716" customFormat="1" ht="18" customHeight="1" spans="1:18">
      <c r="A52" s="992"/>
      <c r="F52" s="982"/>
      <c r="I52" s="1064" t="s">
        <v>1504</v>
      </c>
      <c r="J52" s="1065">
        <f>IF(J50="",J51,J50+J51-YEAR('数据-取费表'!B3))</f>
        <v>0</v>
      </c>
      <c r="K52" s="1054" t="s">
        <v>1505</v>
      </c>
      <c r="L52" s="1066">
        <f ca="1">C45</f>
        <v>0</v>
      </c>
      <c r="O52" s="1063" t="s">
        <v>1506</v>
      </c>
      <c r="P52" s="1058" t="s">
        <v>1507</v>
      </c>
      <c r="Q52" s="1095" t="e">
        <f ca="1">J59</f>
        <v>#VALUE!</v>
      </c>
      <c r="R52" s="1096"/>
    </row>
    <row r="53" s="716" customFormat="1" ht="18" customHeight="1" spans="1:18">
      <c r="A53" s="992"/>
      <c r="F53" s="982"/>
      <c r="I53" s="1067" t="s">
        <v>1509</v>
      </c>
      <c r="J53" s="1068"/>
      <c r="K53" s="1067" t="s">
        <v>901</v>
      </c>
      <c r="L53" s="1068"/>
      <c r="O53" s="1063" t="s">
        <v>1510</v>
      </c>
      <c r="P53" s="1058" t="s">
        <v>1511</v>
      </c>
      <c r="Q53" s="1095">
        <f>J53</f>
        <v>0</v>
      </c>
      <c r="R53" s="1096"/>
    </row>
    <row r="54" s="716" customFormat="1" ht="29.25" spans="1:18">
      <c r="A54" s="992"/>
      <c r="I54" s="1069" t="s">
        <v>1512</v>
      </c>
      <c r="J54" s="1070">
        <f ca="1">IF(M48="住宅",MAX(J52,L49-'数据-取费表'!B20),MIN(J52,L49-'数据-取费表'!B20))</f>
        <v>-1.5</v>
      </c>
      <c r="K54" s="1071"/>
      <c r="L54" s="1072"/>
      <c r="O54" s="1063" t="s">
        <v>1514</v>
      </c>
      <c r="P54" s="1058" t="s">
        <v>1515</v>
      </c>
      <c r="Q54" s="1094">
        <f ca="1">J54</f>
        <v>-1.5</v>
      </c>
      <c r="R54" s="1058" t="s">
        <v>1516</v>
      </c>
    </row>
    <row r="55" s="716" customFormat="1" ht="18" customHeight="1" spans="1:18">
      <c r="A55" s="992"/>
      <c r="I55" s="1073" t="str">
        <f ca="1">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073"/>
      <c r="K55" s="1074"/>
      <c r="O55" s="1057" t="s">
        <v>1517</v>
      </c>
      <c r="P55" s="1058" t="s">
        <v>1518</v>
      </c>
      <c r="Q55" s="1094">
        <f ca="1">Q49+Q50</f>
        <v>0</v>
      </c>
      <c r="R55" s="1096" t="s">
        <v>1519</v>
      </c>
    </row>
    <row r="56" s="716" customFormat="1" ht="16.5" spans="1:18">
      <c r="A56" s="992"/>
      <c r="B56" s="993"/>
      <c r="C56" s="993"/>
      <c r="I56" s="1075" t="s">
        <v>1520</v>
      </c>
      <c r="J56" s="1076" t="e">
        <f ca="1">ROUND(IF(J48="钢混",J58/J51,1-(1-2%)*(J51-J58)/J51),3)</f>
        <v>#VALUE!</v>
      </c>
      <c r="K56" s="1077" t="s">
        <v>1521</v>
      </c>
      <c r="L56" s="1078"/>
      <c r="O56" s="1079" t="s">
        <v>1522</v>
      </c>
      <c r="P56" s="861"/>
      <c r="Q56" s="661"/>
      <c r="R56" s="861"/>
    </row>
    <row r="57" s="716" customFormat="1" ht="43.5" spans="1:18">
      <c r="A57" s="992"/>
      <c r="B57" s="993"/>
      <c r="C57" s="993"/>
      <c r="I57" s="1080" t="s">
        <v>1523</v>
      </c>
      <c r="J57" s="1081" t="s">
        <v>507</v>
      </c>
      <c r="K57" s="1054" t="s">
        <v>1524</v>
      </c>
      <c r="L57" s="710">
        <f ca="1">IF(L49&lt;J52,"——",L49-J52)</f>
        <v>0</v>
      </c>
      <c r="O57" s="1052" t="s">
        <v>1483</v>
      </c>
      <c r="P57" s="1053" t="s">
        <v>1484</v>
      </c>
      <c r="Q57" s="1093" t="s">
        <v>1485</v>
      </c>
      <c r="R57" s="1053" t="s">
        <v>1486</v>
      </c>
    </row>
    <row r="58" s="716" customFormat="1" ht="29.25" spans="1:18">
      <c r="A58" s="992"/>
      <c r="B58" s="993"/>
      <c r="C58" s="993"/>
      <c r="I58" s="1082" t="s">
        <v>1525</v>
      </c>
      <c r="J58" s="1083" t="str">
        <f ca="1">IF(OR(M48="住宅",J52&lt;L49,J57="是"),"——",J52-L49)</f>
        <v>——</v>
      </c>
      <c r="K58" s="1054" t="s">
        <v>1526</v>
      </c>
      <c r="L58" s="710">
        <f ca="1">IF(L49&lt;J52,"——",IF(L56="比较法",L50,IF(L56="基准地价",L51,L52)))</f>
        <v>0</v>
      </c>
      <c r="O58" s="1057" t="s">
        <v>1492</v>
      </c>
      <c r="P58" s="1058" t="s">
        <v>1493</v>
      </c>
      <c r="Q58" s="1094">
        <f ca="1">C41+J31</f>
        <v>0</v>
      </c>
      <c r="R58" s="1058" t="s">
        <v>1494</v>
      </c>
    </row>
    <row r="59" s="716" customFormat="1" ht="29.25" spans="1:18">
      <c r="A59" s="992"/>
      <c r="B59" s="993"/>
      <c r="C59" s="993"/>
      <c r="I59" s="1082" t="s">
        <v>1527</v>
      </c>
      <c r="J59" s="1084" t="e">
        <f ca="1">IF(J56&lt;0.4,0.4,J56)</f>
        <v>#VALUE!</v>
      </c>
      <c r="K59" s="1054" t="s">
        <v>1528</v>
      </c>
      <c r="L59" s="710">
        <f ca="1">IF(ISERROR(POWER(1+L53,L48-L49)*(POWER(1+L53,L49)-1)/(POWER(1+L53,L48)-1)),0,POWER(1+L53,L48-L49)*(POWER(1+L53,L49)-1)/(POWER(1+L53,L48)-1))</f>
        <v>0</v>
      </c>
      <c r="O59" s="1057" t="s">
        <v>1497</v>
      </c>
      <c r="P59" s="1058" t="s">
        <v>1529</v>
      </c>
      <c r="Q59" s="1094" t="e">
        <f ca="1">L61</f>
        <v>#DIV/0!</v>
      </c>
      <c r="R59" s="1096" t="s">
        <v>1530</v>
      </c>
    </row>
    <row r="60" s="716" customFormat="1" ht="29.25" spans="1:18">
      <c r="A60" s="992"/>
      <c r="B60" s="993"/>
      <c r="C60" s="993"/>
      <c r="I60" s="1082" t="s">
        <v>1531</v>
      </c>
      <c r="J60" s="1083" t="str">
        <f ca="1">IF(OR(M48="住宅",J52&lt;L49,J57="是"),"——",ROUND(C30*J59,0))</f>
        <v>——</v>
      </c>
      <c r="K60" s="1054" t="s">
        <v>2262</v>
      </c>
      <c r="L60" s="710">
        <f ca="1">IF(ISERROR(POWER(1+L53,L48-J52)*(POWER(1+L53,J52)-1)/(POWER(1+L53,L48)-1)),0,POWER(1+L53,L48-J52)*(POWER(1+L53,J52)-1)/(POWER(1+L53,L48)-1))</f>
        <v>0</v>
      </c>
      <c r="O60" s="1063" t="s">
        <v>1502</v>
      </c>
      <c r="P60" s="1058" t="s">
        <v>1532</v>
      </c>
      <c r="Q60" s="1094">
        <f>IF(L56="比较法",L50,IF(L56="基准地价",L51,0))</f>
        <v>0</v>
      </c>
      <c r="R60" s="1058" t="s">
        <v>1494</v>
      </c>
    </row>
    <row r="61" s="716" customFormat="1" ht="15.75" spans="1:18">
      <c r="A61" s="992"/>
      <c r="B61" s="993"/>
      <c r="C61" s="993"/>
      <c r="I61" s="1085" t="s">
        <v>1533</v>
      </c>
      <c r="J61" s="1086" t="str">
        <f ca="1">IF(OR(M48="住宅",J52&lt;L49,J57="是"),"0",ROUND(J60/(1+J53)^J54,0))</f>
        <v>0</v>
      </c>
      <c r="K61" s="1087" t="s">
        <v>1534</v>
      </c>
      <c r="L61" s="1086" t="e">
        <f ca="1">IF(OR(M48="住宅",L49&lt;J52),0,ROUND(L58*(L59/L60-1),0))</f>
        <v>#DIV/0!</v>
      </c>
      <c r="O61" s="1063" t="s">
        <v>1506</v>
      </c>
      <c r="P61" s="1058" t="s">
        <v>1535</v>
      </c>
      <c r="Q61" s="1095">
        <f>L53</f>
        <v>0</v>
      </c>
      <c r="R61" s="1096"/>
    </row>
    <row r="62" s="716" customFormat="1" ht="20.25" spans="1:18">
      <c r="A62" s="992"/>
      <c r="B62" s="993"/>
      <c r="C62" s="993"/>
      <c r="K62" s="1088"/>
      <c r="O62" s="1063" t="s">
        <v>1510</v>
      </c>
      <c r="P62" s="1058" t="s">
        <v>1536</v>
      </c>
      <c r="Q62" s="1094">
        <f ca="1">L59</f>
        <v>0</v>
      </c>
      <c r="R62" s="1096" t="s">
        <v>1537</v>
      </c>
    </row>
    <row r="63" s="716" customFormat="1" ht="20.25" spans="1:18">
      <c r="A63" s="992"/>
      <c r="B63" s="993"/>
      <c r="C63" s="993"/>
      <c r="I63" s="1089" t="s">
        <v>1538</v>
      </c>
      <c r="J63" s="1090" t="s">
        <v>1539</v>
      </c>
      <c r="K63" s="1090" t="s">
        <v>1540</v>
      </c>
      <c r="L63" s="1090" t="s">
        <v>1490</v>
      </c>
      <c r="M63" s="1091" t="s">
        <v>1541</v>
      </c>
      <c r="O63" s="1063" t="s">
        <v>1514</v>
      </c>
      <c r="P63" s="1058" t="s">
        <v>2263</v>
      </c>
      <c r="Q63" s="1094">
        <f ca="1">L60</f>
        <v>0</v>
      </c>
      <c r="R63" s="1096" t="s">
        <v>1542</v>
      </c>
    </row>
    <row r="64" s="716" customFormat="1" ht="15.75" spans="1:18">
      <c r="A64" s="992"/>
      <c r="B64" s="993"/>
      <c r="C64" s="993"/>
      <c r="I64" s="1089" t="s">
        <v>1543</v>
      </c>
      <c r="J64" s="1090">
        <v>70</v>
      </c>
      <c r="K64" s="1090">
        <v>50</v>
      </c>
      <c r="L64" s="1090">
        <v>80</v>
      </c>
      <c r="M64" s="1092">
        <v>0.02</v>
      </c>
      <c r="O64" s="1057" t="s">
        <v>1517</v>
      </c>
      <c r="P64" s="1058" t="s">
        <v>1518</v>
      </c>
      <c r="Q64" s="1094" t="e">
        <f ca="1">Q58+Q59</f>
        <v>#DIV/0!</v>
      </c>
      <c r="R64" s="1096" t="s">
        <v>1519</v>
      </c>
    </row>
    <row r="65" s="716" customFormat="1" ht="16.5" spans="1:18">
      <c r="A65" s="992"/>
      <c r="B65" s="993"/>
      <c r="C65" s="993"/>
      <c r="I65" s="1089" t="s">
        <v>1481</v>
      </c>
      <c r="J65" s="1090">
        <v>50</v>
      </c>
      <c r="K65" s="1090">
        <v>35</v>
      </c>
      <c r="L65" s="1090">
        <v>60</v>
      </c>
      <c r="M65" s="709">
        <v>0</v>
      </c>
      <c r="O65" s="1079" t="s">
        <v>1544</v>
      </c>
      <c r="P65" s="861"/>
      <c r="Q65" s="661"/>
      <c r="R65" s="861"/>
    </row>
    <row r="66" s="716" customFormat="1" ht="15.75" spans="1:18">
      <c r="A66" s="992"/>
      <c r="B66" s="993"/>
      <c r="C66" s="993"/>
      <c r="I66" s="1089" t="s">
        <v>1545</v>
      </c>
      <c r="J66" s="1090">
        <v>40</v>
      </c>
      <c r="K66" s="1090">
        <v>30</v>
      </c>
      <c r="L66" s="1090">
        <v>50</v>
      </c>
      <c r="M66" s="1092">
        <v>0.02</v>
      </c>
      <c r="O66" s="1052" t="s">
        <v>1483</v>
      </c>
      <c r="P66" s="1053" t="s">
        <v>1484</v>
      </c>
      <c r="Q66" s="1093" t="s">
        <v>1485</v>
      </c>
      <c r="R66" s="1053" t="s">
        <v>1486</v>
      </c>
    </row>
    <row r="67" s="716" customFormat="1" ht="15.75" spans="1:18">
      <c r="A67" s="992"/>
      <c r="B67" s="993"/>
      <c r="C67" s="993"/>
      <c r="K67" s="1088"/>
      <c r="O67" s="1057" t="s">
        <v>1492</v>
      </c>
      <c r="P67" s="1058" t="s">
        <v>1493</v>
      </c>
      <c r="Q67" s="1094">
        <f ca="1">C41+J31</f>
        <v>0</v>
      </c>
      <c r="R67" s="1058" t="s">
        <v>1494</v>
      </c>
    </row>
    <row r="68" s="716" customFormat="1" ht="20.25" spans="1:18">
      <c r="A68" s="992"/>
      <c r="B68" s="993"/>
      <c r="C68" s="993"/>
      <c r="K68" s="1088"/>
      <c r="O68" s="1057" t="s">
        <v>1497</v>
      </c>
      <c r="P68" s="1058" t="s">
        <v>1529</v>
      </c>
      <c r="Q68" s="1094" t="e">
        <f ca="1">L61</f>
        <v>#DIV/0!</v>
      </c>
      <c r="R68" s="1096" t="s">
        <v>1530</v>
      </c>
    </row>
    <row r="69" s="716" customFormat="1" ht="24" spans="1:18">
      <c r="A69" s="992"/>
      <c r="B69" s="993"/>
      <c r="C69" s="993"/>
      <c r="K69" s="1088"/>
      <c r="O69" s="1063" t="s">
        <v>1502</v>
      </c>
      <c r="P69" s="1058" t="s">
        <v>1532</v>
      </c>
      <c r="Q69" s="1098">
        <f ca="1">L52</f>
        <v>0</v>
      </c>
      <c r="R69" s="1099" t="s">
        <v>1547</v>
      </c>
    </row>
    <row r="70" s="716" customFormat="1" ht="20.25" spans="1:18">
      <c r="A70" s="992"/>
      <c r="B70" s="993"/>
      <c r="C70" s="993"/>
      <c r="K70" s="1088"/>
      <c r="O70" s="1063" t="s">
        <v>1506</v>
      </c>
      <c r="P70" s="1097" t="s">
        <v>1548</v>
      </c>
      <c r="Q70" s="1094">
        <f ca="1">ROUND(Q71-Q72*Q73,0)</f>
        <v>0</v>
      </c>
      <c r="R70" s="1096"/>
    </row>
    <row r="71" s="716" customFormat="1" ht="15.75" spans="1:18">
      <c r="A71" s="992"/>
      <c r="B71" s="993"/>
      <c r="C71" s="993"/>
      <c r="K71" s="1088"/>
      <c r="O71" s="1063" t="s">
        <v>1549</v>
      </c>
      <c r="P71" s="1097" t="s">
        <v>1550</v>
      </c>
      <c r="Q71" s="1094">
        <f ca="1">C42</f>
        <v>0</v>
      </c>
      <c r="R71" s="1058" t="s">
        <v>1494</v>
      </c>
    </row>
    <row r="72" s="716" customFormat="1" ht="15.75" spans="1:18">
      <c r="A72" s="992"/>
      <c r="B72" s="993"/>
      <c r="C72" s="993"/>
      <c r="K72" s="1088"/>
      <c r="O72" s="1063" t="s">
        <v>1551</v>
      </c>
      <c r="P72" s="1097" t="s">
        <v>1552</v>
      </c>
      <c r="Q72" s="1094">
        <f ca="1">C15</f>
        <v>0</v>
      </c>
      <c r="R72" s="1058" t="s">
        <v>1494</v>
      </c>
    </row>
    <row r="73" s="716" customFormat="1" ht="15.75" spans="1:18">
      <c r="A73" s="992"/>
      <c r="B73" s="993"/>
      <c r="C73" s="993"/>
      <c r="K73" s="1088"/>
      <c r="O73" s="1063" t="s">
        <v>1553</v>
      </c>
      <c r="P73" s="1097" t="s">
        <v>1554</v>
      </c>
      <c r="Q73" s="1095">
        <f ca="1">F43</f>
        <v>0</v>
      </c>
      <c r="R73" s="1096"/>
    </row>
    <row r="74" s="716" customFormat="1" ht="15.75" spans="1:18">
      <c r="A74" s="992"/>
      <c r="B74" s="993"/>
      <c r="C74" s="993"/>
      <c r="K74" s="1088"/>
      <c r="O74" s="1063" t="s">
        <v>1510</v>
      </c>
      <c r="P74" s="1058" t="s">
        <v>1535</v>
      </c>
      <c r="Q74" s="1095">
        <f>L53</f>
        <v>0</v>
      </c>
      <c r="R74" s="1096"/>
    </row>
    <row r="75" s="716" customFormat="1" ht="20.25" spans="1:18">
      <c r="A75" s="992"/>
      <c r="B75" s="993"/>
      <c r="C75" s="993"/>
      <c r="K75" s="1088"/>
      <c r="O75" s="1063" t="s">
        <v>1514</v>
      </c>
      <c r="P75" s="1058" t="s">
        <v>1536</v>
      </c>
      <c r="Q75" s="1094">
        <f ca="1">L59</f>
        <v>0</v>
      </c>
      <c r="R75" s="1096" t="s">
        <v>1537</v>
      </c>
    </row>
    <row r="76" s="716" customFormat="1" ht="20.25" spans="1:18">
      <c r="A76" s="992"/>
      <c r="B76" s="993"/>
      <c r="C76" s="993"/>
      <c r="K76" s="1088"/>
      <c r="O76" s="1063" t="s">
        <v>1555</v>
      </c>
      <c r="P76" s="1058" t="s">
        <v>2263</v>
      </c>
      <c r="Q76" s="1094">
        <f ca="1">L60</f>
        <v>0</v>
      </c>
      <c r="R76" s="1096" t="s">
        <v>1542</v>
      </c>
    </row>
    <row r="77" s="716" customFormat="1" ht="15.75" spans="1:18">
      <c r="A77" s="992"/>
      <c r="B77" s="993"/>
      <c r="C77" s="993"/>
      <c r="K77" s="1088"/>
      <c r="O77" s="1057" t="s">
        <v>1517</v>
      </c>
      <c r="P77" s="1058" t="s">
        <v>1518</v>
      </c>
      <c r="Q77" s="1094" t="e">
        <f ca="1">Q67+Q68</f>
        <v>#DIV/0!</v>
      </c>
      <c r="R77" s="1096" t="s">
        <v>1519</v>
      </c>
    </row>
    <row r="78" s="716" customFormat="1" spans="1:11">
      <c r="A78" s="992"/>
      <c r="B78" s="993"/>
      <c r="C78" s="993"/>
      <c r="K78" s="1088"/>
    </row>
    <row r="79" s="716" customFormat="1" spans="1:11">
      <c r="A79" s="992"/>
      <c r="B79" s="993"/>
      <c r="C79" s="993"/>
      <c r="K79" s="1088"/>
    </row>
    <row r="80" s="716" customFormat="1" spans="1:11">
      <c r="A80" s="992"/>
      <c r="B80" s="993"/>
      <c r="C80" s="993"/>
      <c r="K80" s="1088"/>
    </row>
    <row r="81" s="716" customFormat="1" spans="1:11">
      <c r="A81" s="992"/>
      <c r="B81" s="993"/>
      <c r="C81" s="993"/>
      <c r="K81" s="1088"/>
    </row>
    <row r="82" s="716" customFormat="1" spans="1:11">
      <c r="A82" s="992"/>
      <c r="B82" s="993"/>
      <c r="C82" s="993"/>
      <c r="K82" s="1088"/>
    </row>
    <row r="83" s="716" customFormat="1" spans="1:11">
      <c r="A83" s="992"/>
      <c r="B83" s="993"/>
      <c r="C83" s="993"/>
      <c r="K83" s="1088"/>
    </row>
    <row r="84" s="716" customFormat="1" spans="1:11">
      <c r="A84" s="992"/>
      <c r="B84" s="993"/>
      <c r="C84" s="993"/>
      <c r="K84" s="1088"/>
    </row>
    <row r="85" s="716" customFormat="1" spans="1:11">
      <c r="A85" s="992"/>
      <c r="B85" s="993"/>
      <c r="C85" s="993"/>
      <c r="K85" s="1088"/>
    </row>
    <row r="86" s="716" customFormat="1" spans="1:11">
      <c r="A86" s="992"/>
      <c r="B86" s="993"/>
      <c r="C86" s="993"/>
      <c r="K86" s="1088"/>
    </row>
    <row r="87" s="716" customFormat="1" spans="1:11">
      <c r="A87" s="992"/>
      <c r="B87" s="993"/>
      <c r="C87" s="993"/>
      <c r="K87" s="1088"/>
    </row>
    <row r="88" s="716" customFormat="1" spans="1:11">
      <c r="A88" s="992"/>
      <c r="B88" s="993"/>
      <c r="C88" s="993"/>
      <c r="K88" s="1088"/>
    </row>
    <row r="89" s="716" customFormat="1" spans="1:11">
      <c r="A89" s="992"/>
      <c r="B89" s="993"/>
      <c r="C89" s="993"/>
      <c r="K89" s="1088"/>
    </row>
    <row r="90" s="716" customFormat="1" spans="1:11">
      <c r="A90" s="992"/>
      <c r="B90" s="993"/>
      <c r="C90" s="993"/>
      <c r="K90" s="1088"/>
    </row>
    <row r="91" s="716" customFormat="1" spans="1:11">
      <c r="A91" s="992"/>
      <c r="B91" s="993"/>
      <c r="C91" s="993"/>
      <c r="K91" s="1088"/>
    </row>
    <row r="92" s="716" customFormat="1" spans="1:11">
      <c r="A92" s="992"/>
      <c r="B92" s="993"/>
      <c r="C92" s="993"/>
      <c r="K92" s="1088"/>
    </row>
    <row r="93" s="716" customFormat="1" spans="1:11">
      <c r="A93" s="992"/>
      <c r="B93" s="993"/>
      <c r="C93" s="993"/>
      <c r="K93" s="1088"/>
    </row>
    <row r="94" s="716" customFormat="1" spans="1:11">
      <c r="A94" s="992"/>
      <c r="B94" s="993"/>
      <c r="C94" s="993"/>
      <c r="K94" s="1088"/>
    </row>
  </sheetData>
  <sheetProtection password="CEE9" sheet="1" formatCells="0" formatColumns="0" formatRows="0" objects="1" scenarios="1"/>
  <mergeCells count="4">
    <mergeCell ref="K54:L54"/>
    <mergeCell ref="B8:B11"/>
    <mergeCell ref="I8:I11"/>
    <mergeCell ref="I36:I37"/>
  </mergeCells>
  <conditionalFormatting sqref="C13">
    <cfRule type="expression" dxfId="13" priority="6">
      <formula>$F$12="自定义"</formula>
    </cfRule>
  </conditionalFormatting>
  <conditionalFormatting sqref="J13">
    <cfRule type="expression" dxfId="13" priority="5">
      <formula>$M$10="自定义"</formula>
    </cfRule>
  </conditionalFormatting>
  <conditionalFormatting sqref="I56">
    <cfRule type="expression" dxfId="14" priority="4">
      <formula>$J$51&gt;$L$48</formula>
    </cfRule>
  </conditionalFormatting>
  <conditionalFormatting sqref="K56">
    <cfRule type="expression" dxfId="14" priority="3">
      <formula>$L$48&gt;$J$51</formula>
    </cfRule>
  </conditionalFormatting>
  <conditionalFormatting sqref="I61">
    <cfRule type="expression" dxfId="14" priority="2">
      <formula>$J$51&gt;$L$48</formula>
    </cfRule>
  </conditionalFormatting>
  <conditionalFormatting sqref="K61">
    <cfRule type="expression" dxfId="14" priority="1">
      <formula>$L$48&gt;$J$51</formula>
    </cfRule>
  </conditionalFormatting>
  <dataValidations count="5">
    <dataValidation type="list" allowBlank="1" showInputMessage="1" showErrorMessage="1" sqref="J57">
      <formula1>判定</formula1>
    </dataValidation>
    <dataValidation type="list" allowBlank="1" showInputMessage="1" showErrorMessage="1" sqref="K21">
      <formula1>"按租金收入计税,按房产原值计税"</formula1>
    </dataValidation>
    <dataValidation type="list" allowBlank="1" showInputMessage="1" showErrorMessage="1" sqref="C1">
      <formula1>项目类型</formula1>
    </dataValidation>
    <dataValidation type="list" allowBlank="1" showInputMessage="1" showErrorMessage="1" sqref="F12 M12">
      <formula1>"押一,押二,押三,自定义"</formula1>
    </dataValidation>
    <dataValidation type="list" allowBlank="1" showInputMessage="1" showErrorMessage="1" sqref="D35">
      <formula1>"按租金收入计税,按房产原值计税,按票据"</formula1>
    </dataValidation>
  </dataValidations>
  <pageMargins left="0.7" right="0.7" top="0.75" bottom="0.75" header="0.3" footer="0.3"/>
  <pageSetup paperSize="9" scale="78"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2"/>
  <sheetViews>
    <sheetView view="pageLayout" zoomScale="80" zoomScaleNormal="100" topLeftCell="A24" workbookViewId="0">
      <selection activeCell="A30" sqref="A30"/>
    </sheetView>
  </sheetViews>
  <sheetFormatPr defaultColWidth="9" defaultRowHeight="13.5" outlineLevelCol="3"/>
  <cols>
    <col min="1" max="1" width="84" style="3574" customWidth="1"/>
    <col min="2" max="2" width="9" style="3574"/>
    <col min="3" max="4" width="9.625" style="3574" customWidth="1"/>
    <col min="5" max="16384" width="9" style="3574"/>
  </cols>
  <sheetData>
    <row r="1" ht="22.5" spans="1:1">
      <c r="A1" s="3575" t="s">
        <v>82</v>
      </c>
    </row>
    <row r="2" spans="1:1">
      <c r="A2" s="3576"/>
    </row>
    <row r="3" ht="18.75" spans="1:1">
      <c r="A3" s="3577" t="str">
        <f>项目基本情况!B5&amp;"："</f>
        <v>：</v>
      </c>
    </row>
    <row r="4" ht="37.5" spans="1:1">
      <c r="A4" s="3578" t="str">
        <f>"受贵公司委托，我公司对"&amp;项目基本情况!K2&amp;项目基本情况!B9&amp;"进行了预评估。"</f>
        <v>受贵公司委托，我公司对北京市出让国有建设用地使用权市场价格进行了预评估。</v>
      </c>
    </row>
    <row r="5" ht="18.75" spans="1:1">
      <c r="A5" s="3579" t="s">
        <v>83</v>
      </c>
    </row>
    <row r="6" ht="75" spans="1:1">
      <c r="A6" s="3578" t="str">
        <f>"估价对象为"&amp;项目基本情况!C11&amp;"使用的、位于"&amp;项目基本情况!K2&amp;"。"&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估价对象为使用的、位于北京市出让国有建设用地使用权。根据《国有土地使用证》[]，估价对象（分摊）出让国有建设用地使用权面积为20468.06平方米。根据《建设工程规划许可证》[]、《出让合同》[]，估价对象规划建筑面积为57817.58平方米。</v>
      </c>
    </row>
    <row r="7" ht="93.75" spans="1:1">
      <c r="A7" s="3580" t="s">
        <v>95</v>
      </c>
    </row>
    <row r="8" ht="18.75" spans="1:1">
      <c r="A8" s="3579" t="s">
        <v>85</v>
      </c>
    </row>
    <row r="9" ht="37.5" spans="1:1">
      <c r="A9" s="3581" t="str">
        <f>IF(项目基本情况!B8="抵押",IF(项目基本情况!B5=项目基本情况!B6,定义!C51,定义!B51),定义!D51)</f>
        <v>本次评估为委托估价方了解标的物之市场价格提供参考依据而评估出让国有建设用地使用权市场价格。</v>
      </c>
    </row>
    <row r="10" ht="18.75" spans="1:1">
      <c r="A10" s="3577" t="s">
        <v>86</v>
      </c>
    </row>
    <row r="11" ht="18.75" spans="1:1">
      <c r="A11" s="3582" t="str">
        <f>TEXT(项目基本情况!D3,"yyyy年m月d日;;")&amp;IF(项目基本情况!B3=项目基本情况!D3,"（评估专业人员勘察现场之日）","")</f>
        <v>2021年11月19日</v>
      </c>
    </row>
    <row r="12" ht="18.75" spans="1:1">
      <c r="A12" s="3577" t="s">
        <v>87</v>
      </c>
    </row>
    <row r="13" ht="18.75" spans="1:1">
      <c r="A13" s="3578" t="s">
        <v>96</v>
      </c>
    </row>
    <row r="14" ht="18.75" spans="1:4">
      <c r="A14" s="3578" t="str">
        <f>"根据"&amp;项目基本情况!F12&amp;"，本次评估估价对象证载（地类）用途为"&amp;项目基本情况!B12&amp;"。"</f>
        <v>根据《国有土地使用证》[]，本次评估估价对象证载（地类）用途为。</v>
      </c>
      <c r="C14" s="3583"/>
      <c r="D14" s="3584"/>
    </row>
    <row r="15" ht="18.75" spans="1:4">
      <c r="A15" s="3578" t="str">
        <f>IF(项目基本情况!C14="不一致","根据"&amp;项目基本情况!F13&amp;"，估价对象土地规划用途为"&amp;项目基本情况!B13&amp;IF(项目基本情况!F14="符合","，上述用途符合《国有土地使用证》证载地类范围。本次评估设定用途为"&amp;项目基本情况!B13&amp;"。","。本次评估以上述文件为依据，评估设定用途为"&amp;项目基本情况!B13&amp;"。"),"本次评估设定用途即为证载用途"&amp;项目基本情况!B13&amp;"。")</f>
        <v>本次评估设定用途即为证载用途。</v>
      </c>
      <c r="C15" s="3583"/>
      <c r="D15" s="3584"/>
    </row>
    <row r="16" ht="18.75" spans="1:1">
      <c r="A16" s="3578" t="s">
        <v>89</v>
      </c>
    </row>
    <row r="17" ht="56.25" spans="1:1">
      <c r="A17" s="3578" t="str">
        <f>"根据委托估价方介绍及评估专业人员现场勘查，本次评估估价对象实际土地开发程度为红线外市政基础设施达“"&amp;项目基本情况!T40&amp;"”（即"&amp;项目基本情况!T41&amp;"）、宗地红线内"&amp;IF(项目基本情况!B35="宗地内已开工建设","已开工建设。"&amp;项目基本情况!D35&amp;"。",IF(项目基本情况!B35="场地未平整","场地未平整，"&amp;项目基本情况!D35&amp;"。","场地平整。"))</f>
        <v>根据委托估价方介绍及评估专业人员现场勘查，本次评估估价对象实际土地开发程度为红线外市政基础设施达“七通”（即、、、、、、）、宗地红线内场地平整。</v>
      </c>
    </row>
    <row r="18" ht="56.25" spans="1:1">
      <c r="A18" s="3578" t="str">
        <f>"由于本次评估估价目的是评估储备国有建设用地使用权的“抵押价格”，因此本次评估设定土地开发程度为红线外市政基础设施达“"&amp;项目基本情况!T40&amp;"”、宗地红线内场地平整。"</f>
        <v>由于本次评估估价目的是评估储备国有建设用地使用权的“抵押价格”，因此本次评估设定土地开发程度为红线外市政基础设施达“七通”、宗地红线内场地平整。</v>
      </c>
    </row>
    <row r="19" ht="18.75" spans="1:1">
      <c r="A19" s="3578" t="s">
        <v>90</v>
      </c>
    </row>
    <row r="20" ht="56.25" spans="1:1">
      <c r="A20" s="3585" t="str">
        <f>""&amp;IF(项目基本情况!A22="——","根据"&amp;项目基本情况!E22&amp;"，估价对象（分摊）出让国有建设用地使用权面积为"&amp;项目基本情况!C22&amp;"平方米。根据"&amp;项目基本情况!E21&amp;"，估价对象规划建筑面积为"&amp;项目基本情况!C21&amp;"平方米。","根据"&amp;项目基本情况!E22&amp;"，估价对象（分摊）出让国有建设用地使用权面积为"&amp;项目基本情况!C22&amp;"平方米，规划建筑面积为"&amp;项目基本情况!C21&amp;"平方米。")</f>
        <v>根据《国有土地使用证》[]，估价对象（分摊）出让国有建设用地使用权面积为20468.06平方米。根据《建设工程规划许可证》[]、《出让合同》[]，估价对象规划建筑面积为57817.58平方米。</v>
      </c>
    </row>
    <row r="21" ht="93.75" spans="1:1">
      <c r="A21" s="3586" t="str">
        <f>A7</f>
        <v>储备地：根据XX出具的《规划意见书》以及土地使用权人出具的《项目情况说明》为依据，其中各地块规划建筑面积以《规划意见书》记载的容积率高限进行计算得出，商住比以《规划意见书》记载的2:8为准。OR本次评估参考估价对象周边项目的规划指标，设定用途为，设定地上容积率为，设定规划建筑面积为XX平方米。</v>
      </c>
    </row>
    <row r="22" ht="18.75" spans="1:1">
      <c r="A22" s="3578" t="s">
        <v>91</v>
      </c>
    </row>
    <row r="23" ht="18.75" spans="1:1">
      <c r="A23" s="3587" t="s">
        <v>97</v>
      </c>
    </row>
    <row r="24" ht="18.75" spans="1:1">
      <c r="A24" s="3578" t="s">
        <v>92</v>
      </c>
    </row>
    <row r="25" ht="75" spans="1:1">
      <c r="A25" s="3578" t="str">
        <f>定义!C53</f>
        <v>本次估价的“出让国有建设用地使用权价格”是指在估价对象土地所有权为国家所有，使用权性质为出让，在公开市场条件下、于估价期日2021年11月19日，在规划利用条件下、设定土地开发程度为红线外“七通”、宗地内场地，设定用途为，剩余土地使用年限为的出让国有建设用地使用权价格。</v>
      </c>
    </row>
    <row r="26" ht="93.75" spans="1:1">
      <c r="A26" s="3578" t="str">
        <f>IF(项目基本情况!E8="抵押价格",定义!C54,IF(项目基本情况!E8="已注销",定义!C55,定义!C56))</f>
        <v>本次估价的“抵押价格”是指估价对象在估价期日的“出让国有建设用地使用权价格”扣减估价师于估价期日所知悉的法定优先受偿款后的余额。本次估价的“抵押担保权已注销时的抵押价格”是指估价对象在估价期日的“出让出让国有建设用地使用权价格”扣减估价师于估价期日所知悉的除抵押担保权以外的其他法定优先受偿款后的余额。</v>
      </c>
    </row>
    <row r="27" ht="18.75" spans="1:1">
      <c r="A27" s="3578" t="str">
        <f>IF(项目基本情况!B8="抵押","“法定优先受偿款”是指假定在估价期日实现抵押权时，法律规定优先于本次抵押贷款受偿的款额，包括已抵押担保的债权数额、因规划条件变更需补交的政府土地收益、发包人拖欠的建筑工程价款以及其他法定优先受偿款。","")</f>
        <v/>
      </c>
    </row>
    <row r="28" ht="56.25" spans="1:1">
      <c r="A28" s="3578" t="str">
        <f>IF(项目基本情况!E9="——","",定义!C57)</f>
        <v>本次估价的“抵押净值”是指估价对象“抵押价格”减去估价对象在估价期日以“土地销售收入”为基数计算的预计抵押权实现进行处置时需缴纳的各项费用、税金等相关费用后的价格。</v>
      </c>
    </row>
    <row r="29" ht="18.75" spans="1:1">
      <c r="A29" s="3577" t="s">
        <v>93</v>
      </c>
    </row>
    <row r="30" ht="75" spans="1:1">
      <c r="A30" s="3578" t="str">
        <f>"评估专业人员根据估价的目的，按照估价的程序，采用科学的估价方法"&amp;结果表!L4&amp;"、"&amp;结果表!M4&amp;"，在认真分析现有资料的基础上，通过仔细测算和认真分析各种影响土地价格的因素，确定估价对象于估价期日的"&amp;项目基本情况!B16&amp;"国有建设用地使用权预评估价格详见估价结果一览表。"</f>
        <v>评估专业人员根据估价的目的，按照估价的程序，采用科学的估价方法剩余法、基准地价系数修正法，在认真分析现有资料的基础上，通过仔细测算和认真分析各种影响土地价格的因素，确定估价对象于估价期日的出让国有建设用地使用权预评估价格详见估价结果一览表。</v>
      </c>
    </row>
    <row r="31" spans="1:1">
      <c r="A31" s="3588"/>
    </row>
    <row r="32" ht="18.75" spans="1:1">
      <c r="A32" s="3589" t="s">
        <v>94</v>
      </c>
    </row>
  </sheetData>
  <sheetProtection sheet="1" formatCells="0" formatRows="0" insertRows="0" deleteRows="0" objects="1" scenarios="1"/>
  <printOptions horizontalCentered="1"/>
  <pageMargins left="0.984251968503937" right="0.78740157480315" top="1.18110236220472" bottom="0.905511811023622" header="0.866141732283464"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zoomScale="80" zoomScaleNormal="80" workbookViewId="0">
      <selection activeCell="D31" sqref="D31"/>
    </sheetView>
  </sheetViews>
  <sheetFormatPr defaultColWidth="9" defaultRowHeight="13.5"/>
  <cols>
    <col min="1" max="1" width="10.5" customWidth="1"/>
    <col min="2" max="2" width="12.875" customWidth="1"/>
    <col min="3" max="3" width="8.75" customWidth="1"/>
  </cols>
  <sheetData>
    <row r="1" ht="14.25" spans="1:9">
      <c r="A1" s="782" t="s">
        <v>2264</v>
      </c>
      <c r="B1" s="783"/>
      <c r="C1" s="784"/>
      <c r="D1" s="785">
        <f>SUM(I10,I15,I20,I21,I23)</f>
        <v>0</v>
      </c>
      <c r="E1" s="785"/>
      <c r="F1" s="785"/>
      <c r="G1" s="785"/>
      <c r="H1" s="785"/>
      <c r="I1" s="823"/>
    </row>
    <row r="2" spans="1:9">
      <c r="A2" s="786" t="s">
        <v>2265</v>
      </c>
      <c r="B2" s="787" t="s">
        <v>2266</v>
      </c>
      <c r="C2" s="787"/>
      <c r="D2" s="787" t="s">
        <v>2267</v>
      </c>
      <c r="E2" s="787" t="s">
        <v>2268</v>
      </c>
      <c r="F2" s="787" t="s">
        <v>2269</v>
      </c>
      <c r="G2" s="787" t="s">
        <v>2270</v>
      </c>
      <c r="H2" s="787" t="s">
        <v>2271</v>
      </c>
      <c r="I2" s="824" t="s">
        <v>2272</v>
      </c>
    </row>
    <row r="3" spans="1:9">
      <c r="A3" s="786"/>
      <c r="B3" s="787" t="s">
        <v>2273</v>
      </c>
      <c r="C3" s="787"/>
      <c r="D3" s="788"/>
      <c r="E3" s="787"/>
      <c r="F3" s="789"/>
      <c r="G3" s="789"/>
      <c r="H3" s="790"/>
      <c r="I3" s="825">
        <f>ROUND(D3*E3*F3*G3*H3/10000,0)</f>
        <v>0</v>
      </c>
    </row>
    <row r="4" spans="1:9">
      <c r="A4" s="786"/>
      <c r="B4" s="787" t="s">
        <v>2274</v>
      </c>
      <c r="C4" s="787"/>
      <c r="D4" s="788"/>
      <c r="E4" s="787"/>
      <c r="F4" s="789"/>
      <c r="G4" s="789"/>
      <c r="H4" s="790"/>
      <c r="I4" s="825">
        <f t="shared" ref="I4:I9" si="0">ROUND(D4*E4*F4*G4*H4/10000,0)</f>
        <v>0</v>
      </c>
    </row>
    <row r="5" spans="1:9">
      <c r="A5" s="786"/>
      <c r="B5" s="787" t="s">
        <v>2275</v>
      </c>
      <c r="C5" s="787"/>
      <c r="D5" s="788"/>
      <c r="E5" s="787"/>
      <c r="F5" s="789"/>
      <c r="G5" s="789"/>
      <c r="H5" s="790"/>
      <c r="I5" s="825">
        <f t="shared" si="0"/>
        <v>0</v>
      </c>
    </row>
    <row r="6" spans="1:9">
      <c r="A6" s="786"/>
      <c r="B6" s="787" t="s">
        <v>2276</v>
      </c>
      <c r="C6" s="787"/>
      <c r="D6" s="788"/>
      <c r="E6" s="787"/>
      <c r="F6" s="789"/>
      <c r="G6" s="789"/>
      <c r="H6" s="790"/>
      <c r="I6" s="825">
        <f t="shared" si="0"/>
        <v>0</v>
      </c>
    </row>
    <row r="7" spans="1:9">
      <c r="A7" s="786"/>
      <c r="B7" s="787" t="s">
        <v>2277</v>
      </c>
      <c r="C7" s="787"/>
      <c r="D7" s="788"/>
      <c r="E7" s="787"/>
      <c r="F7" s="789"/>
      <c r="G7" s="789"/>
      <c r="H7" s="790"/>
      <c r="I7" s="825">
        <f t="shared" si="0"/>
        <v>0</v>
      </c>
    </row>
    <row r="8" spans="1:9">
      <c r="A8" s="786"/>
      <c r="B8" s="787" t="s">
        <v>2278</v>
      </c>
      <c r="C8" s="787"/>
      <c r="D8" s="788"/>
      <c r="E8" s="787"/>
      <c r="F8" s="789"/>
      <c r="G8" s="789"/>
      <c r="H8" s="790"/>
      <c r="I8" s="825">
        <f t="shared" si="0"/>
        <v>0</v>
      </c>
    </row>
    <row r="9" spans="1:9">
      <c r="A9" s="786"/>
      <c r="B9" s="787" t="s">
        <v>2279</v>
      </c>
      <c r="C9" s="787"/>
      <c r="D9" s="788"/>
      <c r="E9" s="787"/>
      <c r="F9" s="789"/>
      <c r="G9" s="789"/>
      <c r="H9" s="790"/>
      <c r="I9" s="825">
        <f t="shared" si="0"/>
        <v>0</v>
      </c>
    </row>
    <row r="10" spans="1:9">
      <c r="A10" s="786"/>
      <c r="B10" s="791" t="s">
        <v>514</v>
      </c>
      <c r="C10" s="791"/>
      <c r="D10" s="792">
        <v>527</v>
      </c>
      <c r="E10" s="792" t="e">
        <f>ROUND(D1*10000/D10/H9,0)</f>
        <v>#DIV/0!</v>
      </c>
      <c r="F10" s="793"/>
      <c r="G10" s="793"/>
      <c r="H10" s="794"/>
      <c r="I10" s="826">
        <f>SUM(I3:I9)</f>
        <v>0</v>
      </c>
    </row>
    <row r="11" ht="14.25" spans="1:9">
      <c r="A11" s="786" t="s">
        <v>2280</v>
      </c>
      <c r="B11" s="787" t="s">
        <v>2281</v>
      </c>
      <c r="C11" s="787"/>
      <c r="D11" s="788" t="s">
        <v>2282</v>
      </c>
      <c r="E11" s="788" t="s">
        <v>2283</v>
      </c>
      <c r="F11" s="789" t="s">
        <v>2284</v>
      </c>
      <c r="G11" s="789" t="s">
        <v>2271</v>
      </c>
      <c r="H11" s="795" t="s">
        <v>138</v>
      </c>
      <c r="I11" s="824" t="s">
        <v>2272</v>
      </c>
    </row>
    <row r="12" spans="1:9">
      <c r="A12" s="786"/>
      <c r="B12" s="787" t="s">
        <v>2285</v>
      </c>
      <c r="C12" s="787"/>
      <c r="D12" s="788"/>
      <c r="E12" s="788"/>
      <c r="F12" s="789"/>
      <c r="G12" s="790"/>
      <c r="H12" s="796"/>
      <c r="I12" s="824">
        <f>ROUND(D12*E12*F12*G12/10000,0)</f>
        <v>0</v>
      </c>
    </row>
    <row r="13" spans="1:9">
      <c r="A13" s="786"/>
      <c r="B13" s="787" t="s">
        <v>2286</v>
      </c>
      <c r="C13" s="787"/>
      <c r="D13" s="788"/>
      <c r="E13" s="788"/>
      <c r="F13" s="789"/>
      <c r="G13" s="790"/>
      <c r="H13" s="796"/>
      <c r="I13" s="824">
        <f>ROUND(D13*E13*F13*G13/10000,0)</f>
        <v>0</v>
      </c>
    </row>
    <row r="14" spans="1:9">
      <c r="A14" s="786"/>
      <c r="B14" s="787" t="s">
        <v>2287</v>
      </c>
      <c r="C14" s="787"/>
      <c r="D14" s="788"/>
      <c r="E14" s="788"/>
      <c r="F14" s="789"/>
      <c r="G14" s="790"/>
      <c r="H14" s="796"/>
      <c r="I14" s="824">
        <f>ROUND(D14*E14*F14*G14/10000,0)</f>
        <v>0</v>
      </c>
    </row>
    <row r="15" spans="1:9">
      <c r="A15" s="786"/>
      <c r="B15" s="791" t="s">
        <v>514</v>
      </c>
      <c r="C15" s="791"/>
      <c r="D15" s="792"/>
      <c r="E15" s="792">
        <f>SUM(E12:E14)</f>
        <v>0</v>
      </c>
      <c r="F15" s="793"/>
      <c r="G15" s="790"/>
      <c r="H15" s="796"/>
      <c r="I15" s="827">
        <f>SUM(I12:I14)</f>
        <v>0</v>
      </c>
    </row>
    <row r="16" ht="24" spans="1:9">
      <c r="A16" s="786" t="s">
        <v>2288</v>
      </c>
      <c r="B16" s="787" t="s">
        <v>2289</v>
      </c>
      <c r="C16" s="787"/>
      <c r="D16" s="788" t="s">
        <v>2267</v>
      </c>
      <c r="E16" s="797" t="s">
        <v>2290</v>
      </c>
      <c r="F16" s="789" t="s">
        <v>2291</v>
      </c>
      <c r="G16" s="790" t="s">
        <v>2271</v>
      </c>
      <c r="H16" s="795" t="s">
        <v>138</v>
      </c>
      <c r="I16" s="824" t="s">
        <v>2272</v>
      </c>
    </row>
    <row r="17" ht="14.25" spans="1:9">
      <c r="A17" s="786"/>
      <c r="B17" s="787" t="s">
        <v>2292</v>
      </c>
      <c r="C17" s="787"/>
      <c r="D17" s="788"/>
      <c r="E17" s="788"/>
      <c r="F17" s="789"/>
      <c r="G17" s="790"/>
      <c r="H17" s="798"/>
      <c r="I17" s="828">
        <f>ROUND(D17*E17*F17*G17/10000,0)</f>
        <v>0</v>
      </c>
    </row>
    <row r="18" ht="14.25" spans="1:9">
      <c r="A18" s="786"/>
      <c r="B18" s="787" t="s">
        <v>2293</v>
      </c>
      <c r="C18" s="787"/>
      <c r="D18" s="788"/>
      <c r="E18" s="788"/>
      <c r="F18" s="789"/>
      <c r="G18" s="790"/>
      <c r="H18" s="798"/>
      <c r="I18" s="828">
        <f>ROUND(D18*E18*F18*G18/10000,0)</f>
        <v>0</v>
      </c>
    </row>
    <row r="19" ht="14.25" spans="1:9">
      <c r="A19" s="786"/>
      <c r="B19" s="787" t="s">
        <v>2294</v>
      </c>
      <c r="C19" s="787"/>
      <c r="D19" s="788"/>
      <c r="E19" s="788"/>
      <c r="F19" s="789"/>
      <c r="G19" s="790"/>
      <c r="H19" s="798"/>
      <c r="I19" s="828">
        <f>ROUND(D19*E19*F19*G19/10000,0)</f>
        <v>0</v>
      </c>
    </row>
    <row r="20" spans="1:9">
      <c r="A20" s="786"/>
      <c r="B20" s="791" t="s">
        <v>514</v>
      </c>
      <c r="C20" s="791"/>
      <c r="D20" s="792">
        <f>SUM(D17:D19)</f>
        <v>0</v>
      </c>
      <c r="E20" s="792"/>
      <c r="F20" s="793"/>
      <c r="G20" s="790"/>
      <c r="H20" s="796"/>
      <c r="I20" s="827">
        <f>SUM(I17:I19)</f>
        <v>0</v>
      </c>
    </row>
    <row r="21" spans="1:9">
      <c r="A21" s="786" t="s">
        <v>2295</v>
      </c>
      <c r="B21" s="799"/>
      <c r="C21" s="799"/>
      <c r="D21" s="799"/>
      <c r="E21" s="799"/>
      <c r="F21" s="799"/>
      <c r="G21" s="799"/>
      <c r="H21" s="800">
        <v>0.1</v>
      </c>
      <c r="I21" s="826">
        <f>ROUND(I10*H21,0)</f>
        <v>0</v>
      </c>
    </row>
    <row r="22" ht="14.25" spans="1:9">
      <c r="A22" s="801" t="s">
        <v>2296</v>
      </c>
      <c r="B22" s="802"/>
      <c r="C22" s="803"/>
      <c r="D22" s="804" t="s">
        <v>389</v>
      </c>
      <c r="E22" s="804" t="s">
        <v>2297</v>
      </c>
      <c r="F22" s="805" t="s">
        <v>2271</v>
      </c>
      <c r="G22" s="805" t="s">
        <v>2298</v>
      </c>
      <c r="H22" s="795" t="s">
        <v>138</v>
      </c>
      <c r="I22" s="824" t="s">
        <v>2272</v>
      </c>
    </row>
    <row r="23" ht="14.25" spans="1:9">
      <c r="A23" s="806"/>
      <c r="B23" s="807"/>
      <c r="C23" s="808"/>
      <c r="D23" s="809"/>
      <c r="E23" s="809"/>
      <c r="F23" s="809"/>
      <c r="G23" s="810"/>
      <c r="H23" s="811"/>
      <c r="I23" s="829">
        <f>ROUND(E23*D23*F23*(1-G23)/10000,0)</f>
        <v>0</v>
      </c>
    </row>
    <row r="26" spans="1:8">
      <c r="A26" s="812" t="s">
        <v>2299</v>
      </c>
      <c r="B26" s="812"/>
      <c r="C26" s="812"/>
      <c r="D26" s="812"/>
      <c r="E26" s="813">
        <f>C27-C30-C31-C32</f>
        <v>0</v>
      </c>
      <c r="F26" s="813"/>
      <c r="G26" s="813"/>
      <c r="H26" s="814" t="s">
        <v>2300</v>
      </c>
    </row>
    <row r="27" spans="1:7">
      <c r="A27" s="815">
        <v>1</v>
      </c>
      <c r="B27" s="816" t="s">
        <v>2301</v>
      </c>
      <c r="C27" s="816"/>
      <c r="D27" s="816"/>
      <c r="E27" s="815"/>
      <c r="F27" s="815"/>
      <c r="G27" s="815"/>
    </row>
    <row r="28" spans="1:7">
      <c r="A28" s="817" t="s">
        <v>823</v>
      </c>
      <c r="B28" s="816" t="s">
        <v>2302</v>
      </c>
      <c r="C28" s="816"/>
      <c r="D28" s="816"/>
      <c r="E28" s="815"/>
      <c r="F28" s="815"/>
      <c r="G28" s="815"/>
    </row>
    <row r="29" spans="1:7">
      <c r="A29" s="817" t="s">
        <v>864</v>
      </c>
      <c r="B29" s="816" t="s">
        <v>1389</v>
      </c>
      <c r="C29" s="816"/>
      <c r="D29" s="816"/>
      <c r="E29" s="816" t="s">
        <v>2303</v>
      </c>
      <c r="F29" s="816"/>
      <c r="G29" s="816"/>
    </row>
    <row r="30" spans="1:7">
      <c r="A30" s="815">
        <v>2</v>
      </c>
      <c r="B30" s="816" t="s">
        <v>2304</v>
      </c>
      <c r="C30" s="816">
        <f>C27*D30</f>
        <v>0</v>
      </c>
      <c r="D30" s="818">
        <v>0.2</v>
      </c>
      <c r="E30" s="816" t="s">
        <v>2305</v>
      </c>
      <c r="F30" s="816"/>
      <c r="G30" s="816"/>
    </row>
    <row r="31" spans="1:7">
      <c r="A31" s="815">
        <v>3</v>
      </c>
      <c r="B31" s="816" t="s">
        <v>2306</v>
      </c>
      <c r="C31" s="816">
        <f>C25*D31</f>
        <v>0</v>
      </c>
      <c r="D31" s="818">
        <v>0.15</v>
      </c>
      <c r="E31" s="816" t="s">
        <v>2307</v>
      </c>
      <c r="F31" s="816"/>
      <c r="G31" s="816"/>
    </row>
    <row r="32" spans="1:7">
      <c r="A32" s="815">
        <v>4</v>
      </c>
      <c r="B32" s="816" t="s">
        <v>2308</v>
      </c>
      <c r="C32" s="816">
        <f>C27*D32</f>
        <v>0</v>
      </c>
      <c r="D32" s="818">
        <v>0.05</v>
      </c>
      <c r="E32" s="816"/>
      <c r="F32" s="816"/>
      <c r="G32" s="816"/>
    </row>
    <row r="33" hidden="1" spans="1:7">
      <c r="A33" s="819" t="s">
        <v>2309</v>
      </c>
      <c r="B33" s="820"/>
      <c r="C33" s="820"/>
      <c r="D33" s="821"/>
      <c r="E33" s="813"/>
      <c r="F33" s="813"/>
      <c r="G33" s="813"/>
    </row>
    <row r="34" hidden="1" spans="1:7">
      <c r="A34" s="822">
        <v>1</v>
      </c>
      <c r="B34" s="816" t="s">
        <v>2310</v>
      </c>
      <c r="C34" s="816"/>
      <c r="D34" s="816"/>
      <c r="E34" s="815"/>
      <c r="F34" s="815"/>
      <c r="G34" s="815"/>
    </row>
    <row r="35" hidden="1" spans="1:7">
      <c r="A35" s="822">
        <v>2</v>
      </c>
      <c r="B35" s="816" t="s">
        <v>2311</v>
      </c>
      <c r="C35" s="816"/>
      <c r="D35" s="816"/>
      <c r="E35" s="815"/>
      <c r="F35" s="815"/>
      <c r="G35" s="815"/>
    </row>
    <row r="36" hidden="1" spans="1:7">
      <c r="A36" s="822">
        <v>3</v>
      </c>
      <c r="B36" s="816" t="s">
        <v>2312</v>
      </c>
      <c r="C36" s="816"/>
      <c r="D36" s="816"/>
      <c r="E36" s="815"/>
      <c r="F36" s="815"/>
      <c r="G36" s="815"/>
    </row>
    <row r="37" hidden="1" spans="1:7">
      <c r="A37" s="822">
        <v>4</v>
      </c>
      <c r="B37" s="816" t="s">
        <v>2313</v>
      </c>
      <c r="C37" s="816"/>
      <c r="D37" s="816"/>
      <c r="E37" s="815"/>
      <c r="F37" s="815"/>
      <c r="G37" s="815"/>
    </row>
    <row r="38" hidden="1" spans="1:7">
      <c r="A38" s="819" t="s">
        <v>2314</v>
      </c>
      <c r="B38" s="820"/>
      <c r="C38" s="820"/>
      <c r="D38" s="821"/>
      <c r="E38" s="813"/>
      <c r="F38" s="813"/>
      <c r="G38" s="813"/>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Y63"/>
  <sheetViews>
    <sheetView view="pageBreakPreview" zoomScale="90" zoomScaleNormal="80" workbookViewId="0">
      <selection activeCell="D31" sqref="D31"/>
    </sheetView>
  </sheetViews>
  <sheetFormatPr defaultColWidth="8.375" defaultRowHeight="12.75"/>
  <cols>
    <col min="1" max="1" width="9.375" style="720" customWidth="1"/>
    <col min="2" max="2" width="26.625" style="721" customWidth="1"/>
    <col min="3" max="3" width="11.125" style="721" customWidth="1"/>
    <col min="4" max="5" width="11.125" style="722" customWidth="1"/>
    <col min="6" max="6" width="9.5" style="721" customWidth="1"/>
    <col min="7" max="7" width="31.875" style="721" customWidth="1"/>
    <col min="8" max="25" width="9" style="723" customWidth="1"/>
    <col min="26" max="254" width="9" style="721" customWidth="1"/>
    <col min="255" max="16384" width="8.375" style="721"/>
  </cols>
  <sheetData>
    <row r="1" s="716" customFormat="1" ht="20.25" spans="1:7">
      <c r="A1" s="724" t="s">
        <v>2315</v>
      </c>
      <c r="B1" s="725"/>
      <c r="C1" s="726"/>
      <c r="D1" s="726"/>
      <c r="E1" s="726"/>
      <c r="F1" s="726"/>
      <c r="G1" s="727"/>
    </row>
    <row r="2" s="716" customFormat="1" ht="18" customHeight="1" spans="1:7">
      <c r="A2" s="211" t="s">
        <v>1202</v>
      </c>
      <c r="B2" s="728">
        <f ca="1">C23</f>
        <v>0</v>
      </c>
      <c r="C2" s="729"/>
      <c r="D2" s="729"/>
      <c r="E2" s="729"/>
      <c r="F2" s="729"/>
      <c r="G2" s="729"/>
    </row>
    <row r="3" s="716" customFormat="1" ht="18" customHeight="1" spans="1:7">
      <c r="A3" s="730" t="s">
        <v>714</v>
      </c>
      <c r="B3" s="728">
        <f ca="1">ROUND(B2*10000/'数据-汇总表'!E3,0)</f>
        <v>0</v>
      </c>
      <c r="C3" s="729"/>
      <c r="D3" s="729"/>
      <c r="E3" s="729"/>
      <c r="F3" s="729"/>
      <c r="G3" s="729"/>
    </row>
    <row r="4" s="716" customFormat="1" ht="18" customHeight="1" spans="1:7">
      <c r="A4" s="731" t="s">
        <v>1203</v>
      </c>
      <c r="B4" s="732">
        <f ca="1">ROUND(B2*10000/'数据-汇总表'!D3,0)</f>
        <v>0</v>
      </c>
      <c r="C4" s="733"/>
      <c r="D4" s="729"/>
      <c r="E4" s="729"/>
      <c r="F4" s="729"/>
      <c r="G4" s="729"/>
    </row>
    <row r="5" s="716" customFormat="1" ht="18" customHeight="1" spans="1:7">
      <c r="A5" s="734"/>
      <c r="B5" s="735">
        <f ca="1">ROUND(B2/('数据-汇总表'!D3/666.67),0)</f>
        <v>0</v>
      </c>
      <c r="C5" s="736" t="s">
        <v>1204</v>
      </c>
      <c r="D5" s="729"/>
      <c r="E5" s="729"/>
      <c r="F5" s="729"/>
      <c r="G5" s="729"/>
    </row>
    <row r="6" s="717" customFormat="1" ht="13.5" customHeight="1" spans="1:7">
      <c r="A6" s="737"/>
      <c r="B6" s="738" t="s">
        <v>1141</v>
      </c>
      <c r="C6" s="739" t="s">
        <v>2316</v>
      </c>
      <c r="D6" s="739" t="s">
        <v>2317</v>
      </c>
      <c r="E6" s="740" t="s">
        <v>2318</v>
      </c>
      <c r="F6" s="740" t="s">
        <v>1142</v>
      </c>
      <c r="G6" s="741" t="s">
        <v>2319</v>
      </c>
    </row>
    <row r="7" s="717" customFormat="1" ht="13.5" customHeight="1" spans="1:7">
      <c r="A7" s="742">
        <v>1</v>
      </c>
      <c r="B7" s="743" t="s">
        <v>2320</v>
      </c>
      <c r="C7" s="744">
        <f>C8+C9</f>
        <v>0</v>
      </c>
      <c r="D7" s="744"/>
      <c r="E7" s="745"/>
      <c r="F7" s="745"/>
      <c r="G7" s="746"/>
    </row>
    <row r="8" s="717" customFormat="1" ht="13.5" customHeight="1" spans="1:7">
      <c r="A8" s="742" t="s">
        <v>2321</v>
      </c>
      <c r="B8" s="747" t="s">
        <v>2322</v>
      </c>
      <c r="C8" s="748">
        <f t="shared" ref="C8:C9" si="0">ROUND(D8*E8/10000,0)</f>
        <v>0</v>
      </c>
      <c r="D8" s="748">
        <v>0</v>
      </c>
      <c r="E8" s="749">
        <v>0</v>
      </c>
      <c r="F8" s="745"/>
      <c r="G8" s="750"/>
    </row>
    <row r="9" s="717" customFormat="1" ht="13.5" customHeight="1" spans="1:7">
      <c r="A9" s="742" t="s">
        <v>2323</v>
      </c>
      <c r="B9" s="747" t="s">
        <v>2324</v>
      </c>
      <c r="C9" s="748">
        <f t="shared" si="0"/>
        <v>0</v>
      </c>
      <c r="D9" s="748">
        <v>0</v>
      </c>
      <c r="E9" s="749">
        <v>0</v>
      </c>
      <c r="F9" s="745"/>
      <c r="G9" s="750"/>
    </row>
    <row r="10" s="717" customFormat="1" ht="36" spans="1:7">
      <c r="A10" s="742">
        <v>2</v>
      </c>
      <c r="B10" s="743" t="s">
        <v>2325</v>
      </c>
      <c r="C10" s="744">
        <f>C11+C14+C15</f>
        <v>0</v>
      </c>
      <c r="D10" s="751"/>
      <c r="E10" s="744"/>
      <c r="F10" s="752"/>
      <c r="G10" s="753" t="s">
        <v>2326</v>
      </c>
    </row>
    <row r="11" s="717" customFormat="1" ht="13.5" customHeight="1" spans="1:7">
      <c r="A11" s="742" t="s">
        <v>2321</v>
      </c>
      <c r="B11" s="754" t="s">
        <v>2327</v>
      </c>
      <c r="C11" s="755">
        <f>'数据-取费表'!B29</f>
        <v>0</v>
      </c>
      <c r="D11" s="756"/>
      <c r="E11" s="755"/>
      <c r="F11" s="757"/>
      <c r="G11" s="758" t="s">
        <v>2328</v>
      </c>
    </row>
    <row r="12" s="717" customFormat="1" ht="13.5" customHeight="1" spans="1:7">
      <c r="A12" s="759" t="s">
        <v>2329</v>
      </c>
      <c r="B12" s="760" t="s">
        <v>2330</v>
      </c>
      <c r="C12" s="761">
        <f>ROUND(D12*E12/10000,0)</f>
        <v>0</v>
      </c>
      <c r="D12" s="748">
        <f>'数据-汇总表'!E5</f>
        <v>0</v>
      </c>
      <c r="E12" s="748">
        <f>'数据-取费表'!B27</f>
        <v>160</v>
      </c>
      <c r="F12" s="757"/>
      <c r="G12" s="753"/>
    </row>
    <row r="13" s="717" customFormat="1" ht="13.5" customHeight="1" spans="1:7">
      <c r="A13" s="759" t="s">
        <v>2331</v>
      </c>
      <c r="B13" s="760" t="s">
        <v>2332</v>
      </c>
      <c r="C13" s="761">
        <f>ROUND(D13*E13/10000,0)</f>
        <v>1156</v>
      </c>
      <c r="D13" s="748">
        <f>'数据-汇总表'!E6</f>
        <v>57817.58</v>
      </c>
      <c r="E13" s="748">
        <f>'数据-取费表'!B28</f>
        <v>200</v>
      </c>
      <c r="F13" s="757"/>
      <c r="G13" s="753"/>
    </row>
    <row r="14" s="717" customFormat="1" ht="13.5" customHeight="1" spans="1:7">
      <c r="A14" s="742" t="s">
        <v>2323</v>
      </c>
      <c r="B14" s="762" t="s">
        <v>2333</v>
      </c>
      <c r="C14" s="763">
        <f t="shared" ref="C14:C15" si="1">ROUND(D14*E14/10000,0)</f>
        <v>0</v>
      </c>
      <c r="D14" s="748">
        <v>0</v>
      </c>
      <c r="E14" s="749">
        <v>0</v>
      </c>
      <c r="F14" s="764"/>
      <c r="G14" s="765" t="s">
        <v>2334</v>
      </c>
    </row>
    <row r="15" s="717" customFormat="1" ht="13.5" customHeight="1" spans="1:7">
      <c r="A15" s="742" t="s">
        <v>2335</v>
      </c>
      <c r="B15" s="762" t="s">
        <v>2336</v>
      </c>
      <c r="C15" s="763">
        <f t="shared" si="1"/>
        <v>0</v>
      </c>
      <c r="D15" s="748">
        <v>0</v>
      </c>
      <c r="E15" s="749">
        <v>0</v>
      </c>
      <c r="F15" s="764"/>
      <c r="G15" s="765" t="s">
        <v>2337</v>
      </c>
    </row>
    <row r="16" s="718" customFormat="1" ht="48" spans="1:25">
      <c r="A16" s="742">
        <v>3</v>
      </c>
      <c r="B16" s="743" t="s">
        <v>2338</v>
      </c>
      <c r="C16" s="763">
        <f t="shared" ref="C16" si="2">ROUND(D16*E16/10000,0)</f>
        <v>0</v>
      </c>
      <c r="D16" s="748">
        <v>0</v>
      </c>
      <c r="E16" s="749">
        <v>0</v>
      </c>
      <c r="F16" s="752"/>
      <c r="G16" s="753" t="s">
        <v>2339</v>
      </c>
      <c r="H16" s="717"/>
      <c r="I16" s="717"/>
      <c r="J16" s="717"/>
      <c r="K16" s="717"/>
      <c r="L16" s="717"/>
      <c r="M16" s="717"/>
      <c r="N16" s="717"/>
      <c r="O16" s="717"/>
      <c r="P16" s="717"/>
      <c r="Q16" s="717"/>
      <c r="R16" s="717"/>
      <c r="S16" s="717"/>
      <c r="T16" s="717"/>
      <c r="U16" s="717"/>
      <c r="V16" s="717"/>
      <c r="W16" s="717"/>
      <c r="X16" s="717"/>
      <c r="Y16" s="717"/>
    </row>
    <row r="17" s="718" customFormat="1" ht="25.5" spans="1:25">
      <c r="A17" s="766">
        <v>4</v>
      </c>
      <c r="B17" s="743" t="s">
        <v>2340</v>
      </c>
      <c r="C17" s="767">
        <f ca="1">ROUND(IF('数据-取费表'!B19&lt;=1,((C7+C16)*'数据-取费表'!B19+C10*'数据-取费表'!B19/2)*F17,((C7+C16)*(POWER((1+F17),'数据-取费表'!B19)-1)+C10*(POWER((1+F17),'数据-取费表'!B19/2)-1))),0)</f>
        <v>0</v>
      </c>
      <c r="D17" s="768"/>
      <c r="E17" s="769"/>
      <c r="F17" s="770">
        <f ca="1">存贷款利率!E3</f>
        <v>0</v>
      </c>
      <c r="G17" s="771" t="str">
        <f>IF('数据-取费表'!B19&lt;=1,"((１＋３)×土地开发期+２×(土地开发期÷２))×利率","((１＋３)×((1+利率)^土地开发期-1)+２×((1+利率)^(土地开发期÷２)-1)")</f>
        <v>((１＋３)×土地开发期+２×(土地开发期÷２))×利率</v>
      </c>
      <c r="H17" s="772"/>
      <c r="I17" s="717"/>
      <c r="J17" s="717"/>
      <c r="K17" s="717"/>
      <c r="L17" s="717"/>
      <c r="M17" s="717"/>
      <c r="N17" s="717"/>
      <c r="O17" s="717"/>
      <c r="P17" s="717"/>
      <c r="Q17" s="717"/>
      <c r="R17" s="717"/>
      <c r="S17" s="717"/>
      <c r="T17" s="717"/>
      <c r="U17" s="717"/>
      <c r="V17" s="717"/>
      <c r="W17" s="717"/>
      <c r="X17" s="717"/>
      <c r="Y17" s="717"/>
    </row>
    <row r="18" s="718" customFormat="1" ht="13.5" customHeight="1" spans="1:25">
      <c r="A18" s="766">
        <v>5</v>
      </c>
      <c r="B18" s="743" t="s">
        <v>2341</v>
      </c>
      <c r="C18" s="744">
        <f>ROUND((C7+C10+C16)*F18,0)</f>
        <v>0</v>
      </c>
      <c r="D18" s="768"/>
      <c r="E18" s="769"/>
      <c r="F18" s="773">
        <v>0.05</v>
      </c>
      <c r="G18" s="771" t="s">
        <v>2342</v>
      </c>
      <c r="H18" s="717"/>
      <c r="I18" s="717"/>
      <c r="J18" s="717"/>
      <c r="K18" s="717"/>
      <c r="L18" s="717"/>
      <c r="M18" s="717"/>
      <c r="N18" s="717"/>
      <c r="O18" s="717"/>
      <c r="P18" s="717"/>
      <c r="Q18" s="717"/>
      <c r="R18" s="717"/>
      <c r="S18" s="717"/>
      <c r="T18" s="717"/>
      <c r="U18" s="717"/>
      <c r="V18" s="717"/>
      <c r="W18" s="717"/>
      <c r="X18" s="717"/>
      <c r="Y18" s="717"/>
    </row>
    <row r="19" s="718" customFormat="1" ht="13.5" customHeight="1" spans="1:25">
      <c r="A19" s="742">
        <v>6</v>
      </c>
      <c r="B19" s="743" t="s">
        <v>2343</v>
      </c>
      <c r="C19" s="744">
        <f ca="1">C7+C10+C16+C17+C18</f>
        <v>0</v>
      </c>
      <c r="D19" s="751"/>
      <c r="E19" s="744"/>
      <c r="F19" s="752"/>
      <c r="G19" s="771" t="s">
        <v>2344</v>
      </c>
      <c r="H19" s="717"/>
      <c r="I19" s="717"/>
      <c r="J19" s="717"/>
      <c r="K19" s="717"/>
      <c r="L19" s="717"/>
      <c r="M19" s="717"/>
      <c r="N19" s="717"/>
      <c r="O19" s="717"/>
      <c r="P19" s="717"/>
      <c r="Q19" s="717"/>
      <c r="R19" s="717"/>
      <c r="S19" s="717"/>
      <c r="T19" s="717"/>
      <c r="U19" s="717"/>
      <c r="V19" s="717"/>
      <c r="W19" s="717"/>
      <c r="X19" s="717"/>
      <c r="Y19" s="717"/>
    </row>
    <row r="20" s="718" customFormat="1" spans="1:25">
      <c r="A20" s="742">
        <v>7</v>
      </c>
      <c r="B20" s="743" t="s">
        <v>2345</v>
      </c>
      <c r="C20" s="744">
        <f ca="1">ROUND(C19*F20,0)</f>
        <v>0</v>
      </c>
      <c r="D20" s="751"/>
      <c r="E20" s="744"/>
      <c r="F20" s="773">
        <v>0.1</v>
      </c>
      <c r="G20" s="771" t="s">
        <v>2346</v>
      </c>
      <c r="H20" s="717"/>
      <c r="I20" s="717"/>
      <c r="J20" s="717"/>
      <c r="K20" s="717"/>
      <c r="L20" s="717"/>
      <c r="M20" s="717"/>
      <c r="N20" s="717"/>
      <c r="O20" s="717"/>
      <c r="P20" s="717"/>
      <c r="Q20" s="717"/>
      <c r="R20" s="717"/>
      <c r="S20" s="717"/>
      <c r="T20" s="717"/>
      <c r="U20" s="717"/>
      <c r="V20" s="717"/>
      <c r="W20" s="717"/>
      <c r="X20" s="717"/>
      <c r="Y20" s="717"/>
    </row>
    <row r="21" s="718" customFormat="1" spans="1:25">
      <c r="A21" s="742">
        <v>8</v>
      </c>
      <c r="B21" s="743" t="s">
        <v>2347</v>
      </c>
      <c r="C21" s="744">
        <f ca="1">C19+C20</f>
        <v>0</v>
      </c>
      <c r="D21" s="751"/>
      <c r="E21" s="744"/>
      <c r="F21" s="752"/>
      <c r="G21" s="771" t="s">
        <v>2348</v>
      </c>
      <c r="H21" s="717"/>
      <c r="I21" s="717"/>
      <c r="J21" s="717"/>
      <c r="K21" s="717"/>
      <c r="L21" s="717"/>
      <c r="M21" s="717"/>
      <c r="N21" s="717"/>
      <c r="O21" s="717"/>
      <c r="P21" s="717"/>
      <c r="Q21" s="717"/>
      <c r="R21" s="717"/>
      <c r="S21" s="717"/>
      <c r="T21" s="717"/>
      <c r="U21" s="717"/>
      <c r="V21" s="717"/>
      <c r="W21" s="717"/>
      <c r="X21" s="717"/>
      <c r="Y21" s="717"/>
    </row>
    <row r="22" s="718" customFormat="1" ht="13.5" customHeight="1" spans="1:25">
      <c r="A22" s="742">
        <v>9</v>
      </c>
      <c r="B22" s="743" t="s">
        <v>2349</v>
      </c>
      <c r="C22" s="744">
        <f ca="1">ROUND(C21*F22,0)</f>
        <v>0</v>
      </c>
      <c r="D22" s="751"/>
      <c r="E22" s="744"/>
      <c r="F22" s="774">
        <f ca="1">'数据-取费表'!AP16</f>
        <v>0.848</v>
      </c>
      <c r="G22" s="771" t="s">
        <v>2350</v>
      </c>
      <c r="H22" s="717"/>
      <c r="I22" s="717"/>
      <c r="J22" s="717"/>
      <c r="K22" s="717"/>
      <c r="L22" s="717"/>
      <c r="M22" s="717"/>
      <c r="N22" s="717"/>
      <c r="O22" s="717"/>
      <c r="P22" s="717"/>
      <c r="Q22" s="717"/>
      <c r="R22" s="717"/>
      <c r="S22" s="717"/>
      <c r="T22" s="717"/>
      <c r="U22" s="717"/>
      <c r="V22" s="717"/>
      <c r="W22" s="717"/>
      <c r="X22" s="717"/>
      <c r="Y22" s="717"/>
    </row>
    <row r="23" s="718" customFormat="1" ht="13.15" customHeight="1" spans="1:25">
      <c r="A23" s="775">
        <v>10</v>
      </c>
      <c r="B23" s="776" t="s">
        <v>2351</v>
      </c>
      <c r="C23" s="777">
        <f ca="1">C22</f>
        <v>0</v>
      </c>
      <c r="D23" s="778"/>
      <c r="E23" s="777"/>
      <c r="F23" s="779"/>
      <c r="G23" s="780"/>
      <c r="H23" s="717"/>
      <c r="I23" s="717"/>
      <c r="J23" s="717"/>
      <c r="K23" s="717"/>
      <c r="L23" s="717"/>
      <c r="M23" s="717"/>
      <c r="N23" s="717"/>
      <c r="O23" s="717"/>
      <c r="P23" s="717"/>
      <c r="Q23" s="717"/>
      <c r="R23" s="717"/>
      <c r="S23" s="717"/>
      <c r="T23" s="717"/>
      <c r="U23" s="717"/>
      <c r="V23" s="717"/>
      <c r="W23" s="717"/>
      <c r="X23" s="717"/>
      <c r="Y23" s="717"/>
    </row>
    <row r="24" s="719" customFormat="1" spans="1:5">
      <c r="A24" s="781"/>
      <c r="D24" s="70"/>
      <c r="E24" s="70"/>
    </row>
    <row r="25" s="719" customFormat="1" spans="1:5">
      <c r="A25" s="781"/>
      <c r="D25" s="70"/>
      <c r="E25" s="70"/>
    </row>
    <row r="26" s="719" customFormat="1" spans="1:5">
      <c r="A26" s="781"/>
      <c r="D26" s="70"/>
      <c r="E26" s="70"/>
    </row>
    <row r="27" s="719" customFormat="1" spans="1:5">
      <c r="A27" s="781"/>
      <c r="D27" s="70"/>
      <c r="E27" s="70"/>
    </row>
    <row r="28" s="719" customFormat="1" spans="1:5">
      <c r="A28" s="781"/>
      <c r="D28" s="70"/>
      <c r="E28" s="70"/>
    </row>
    <row r="29" s="719" customFormat="1" spans="1:5">
      <c r="A29" s="781"/>
      <c r="D29" s="70"/>
      <c r="E29" s="70"/>
    </row>
    <row r="30" s="719" customFormat="1" spans="1:5">
      <c r="A30" s="781"/>
      <c r="D30" s="70"/>
      <c r="E30" s="70"/>
    </row>
    <row r="31" s="719" customFormat="1" spans="1:5">
      <c r="A31" s="781"/>
      <c r="D31" s="70"/>
      <c r="E31" s="70"/>
    </row>
    <row r="32" s="719" customFormat="1" spans="1:5">
      <c r="A32" s="781"/>
      <c r="D32" s="70"/>
      <c r="E32" s="70"/>
    </row>
    <row r="33" s="719" customFormat="1" spans="1:5">
      <c r="A33" s="781"/>
      <c r="D33" s="70"/>
      <c r="E33" s="70"/>
    </row>
    <row r="34" s="719" customFormat="1" spans="1:5">
      <c r="A34" s="781"/>
      <c r="D34" s="70"/>
      <c r="E34" s="70"/>
    </row>
    <row r="35" s="719" customFormat="1" spans="1:5">
      <c r="A35" s="781"/>
      <c r="D35" s="70"/>
      <c r="E35" s="70"/>
    </row>
    <row r="36" s="719" customFormat="1" spans="1:5">
      <c r="A36" s="781"/>
      <c r="D36" s="70"/>
      <c r="E36" s="70"/>
    </row>
    <row r="37" s="719" customFormat="1" spans="1:5">
      <c r="A37" s="781"/>
      <c r="D37" s="70"/>
      <c r="E37" s="70"/>
    </row>
    <row r="38" s="719" customFormat="1" spans="1:5">
      <c r="A38" s="781"/>
      <c r="D38" s="70"/>
      <c r="E38" s="70"/>
    </row>
    <row r="39" s="719" customFormat="1" spans="1:5">
      <c r="A39" s="781"/>
      <c r="D39" s="70"/>
      <c r="E39" s="70"/>
    </row>
    <row r="40" s="719" customFormat="1" spans="1:5">
      <c r="A40" s="781"/>
      <c r="D40" s="70"/>
      <c r="E40" s="70"/>
    </row>
    <row r="41" s="719" customFormat="1" spans="1:5">
      <c r="A41" s="781"/>
      <c r="D41" s="70"/>
      <c r="E41" s="70"/>
    </row>
    <row r="42" s="719" customFormat="1" spans="1:5">
      <c r="A42" s="781"/>
      <c r="D42" s="70"/>
      <c r="E42" s="70"/>
    </row>
    <row r="43" s="719" customFormat="1" spans="1:5">
      <c r="A43" s="781"/>
      <c r="D43" s="70"/>
      <c r="E43" s="70"/>
    </row>
    <row r="44" s="719" customFormat="1" spans="1:5">
      <c r="A44" s="781"/>
      <c r="D44" s="70"/>
      <c r="E44" s="70"/>
    </row>
    <row r="45" s="719" customFormat="1" spans="1:5">
      <c r="A45" s="781"/>
      <c r="D45" s="70"/>
      <c r="E45" s="70"/>
    </row>
    <row r="46" s="719" customFormat="1" spans="1:5">
      <c r="A46" s="781"/>
      <c r="D46" s="70"/>
      <c r="E46" s="70"/>
    </row>
    <row r="47" s="719" customFormat="1" spans="1:5">
      <c r="A47" s="781"/>
      <c r="D47" s="70"/>
      <c r="E47" s="70"/>
    </row>
    <row r="48" s="719" customFormat="1" spans="1:5">
      <c r="A48" s="781"/>
      <c r="D48" s="70"/>
      <c r="E48" s="70"/>
    </row>
    <row r="49" s="719" customFormat="1" spans="1:5">
      <c r="A49" s="781"/>
      <c r="D49" s="70"/>
      <c r="E49" s="70"/>
    </row>
    <row r="50" s="719" customFormat="1" spans="1:5">
      <c r="A50" s="781"/>
      <c r="D50" s="70"/>
      <c r="E50" s="70"/>
    </row>
    <row r="51" s="719" customFormat="1" spans="1:5">
      <c r="A51" s="781"/>
      <c r="D51" s="70"/>
      <c r="E51" s="70"/>
    </row>
    <row r="52" s="719" customFormat="1" spans="1:5">
      <c r="A52" s="781"/>
      <c r="D52" s="70"/>
      <c r="E52" s="70"/>
    </row>
    <row r="53" s="719" customFormat="1" spans="1:5">
      <c r="A53" s="781"/>
      <c r="D53" s="70"/>
      <c r="E53" s="70"/>
    </row>
    <row r="54" s="719" customFormat="1" spans="1:5">
      <c r="A54" s="781"/>
      <c r="D54" s="70"/>
      <c r="E54" s="70"/>
    </row>
    <row r="55" s="719" customFormat="1" spans="1:5">
      <c r="A55" s="781"/>
      <c r="D55" s="70"/>
      <c r="E55" s="70"/>
    </row>
    <row r="56" s="719" customFormat="1" spans="1:5">
      <c r="A56" s="781"/>
      <c r="D56" s="70"/>
      <c r="E56" s="70"/>
    </row>
    <row r="57" s="719" customFormat="1" spans="1:5">
      <c r="A57" s="781"/>
      <c r="D57" s="70"/>
      <c r="E57" s="70"/>
    </row>
    <row r="58" s="719" customFormat="1" spans="1:5">
      <c r="A58" s="781"/>
      <c r="D58" s="70"/>
      <c r="E58" s="70"/>
    </row>
    <row r="59" s="719" customFormat="1" spans="1:5">
      <c r="A59" s="781"/>
      <c r="D59" s="70"/>
      <c r="E59" s="70"/>
    </row>
    <row r="60" s="719" customFormat="1" spans="1:5">
      <c r="A60" s="781"/>
      <c r="D60" s="70"/>
      <c r="E60" s="70"/>
    </row>
    <row r="61" s="719" customFormat="1" spans="1:5">
      <c r="A61" s="781"/>
      <c r="D61" s="70"/>
      <c r="E61" s="70"/>
    </row>
    <row r="62" s="719" customFormat="1" spans="1:5">
      <c r="A62" s="781"/>
      <c r="D62" s="70"/>
      <c r="E62" s="70"/>
    </row>
    <row r="63" s="719" customFormat="1" spans="1:5">
      <c r="A63" s="781"/>
      <c r="D63" s="70"/>
      <c r="E63" s="70"/>
    </row>
  </sheetData>
  <sheetProtection password="CEE9" sheet="1" formatCells="0" formatColumns="0" formatRows="0" objects="1" scenarios="1"/>
  <dataValidations count="1">
    <dataValidation type="list" allowBlank="1" showInputMessage="1" showErrorMessage="1" sqref="G7">
      <formula1>"土地开发补偿费,征收补偿安置费"</formula1>
    </dataValidation>
  </dataValidations>
  <pageMargins left="0.7" right="0.7" top="0.75" bottom="0.75" header="0.3" footer="0.3"/>
  <pageSetup paperSize="9" scale="8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268"/>
  <sheetViews>
    <sheetView view="pageBreakPreview" zoomScale="60" zoomScaleNormal="60" workbookViewId="0">
      <selection activeCell="D31" sqref="D31"/>
    </sheetView>
  </sheetViews>
  <sheetFormatPr defaultColWidth="9" defaultRowHeight="14.25"/>
  <cols>
    <col min="1" max="1" width="10.5" style="201" customWidth="1"/>
    <col min="2" max="2" width="15.75" style="201" customWidth="1"/>
    <col min="3" max="3" width="15.125" style="201" customWidth="1"/>
    <col min="4" max="4" width="12.25" style="201" customWidth="1"/>
    <col min="5" max="5" width="14.375" style="201" customWidth="1"/>
    <col min="6" max="6" width="12.25" style="201" customWidth="1"/>
    <col min="7" max="7" width="14.5" style="201" customWidth="1"/>
    <col min="8" max="8" width="12.25" style="201" customWidth="1"/>
    <col min="9" max="9" width="14.5" style="201" customWidth="1"/>
    <col min="10" max="10" width="12.25" style="201" customWidth="1"/>
    <col min="11" max="11" width="12.25" style="202" customWidth="1"/>
    <col min="12" max="12" width="12.25" style="203" customWidth="1"/>
    <col min="13" max="15" width="12.25" style="201" customWidth="1"/>
    <col min="16" max="16" width="4.75" style="201" customWidth="1"/>
    <col min="17" max="17" width="19.5" style="201" customWidth="1"/>
    <col min="18" max="22" width="6.125" style="201" customWidth="1"/>
    <col min="23" max="23" width="5.75" style="201" customWidth="1"/>
    <col min="24" max="24" width="4.25" style="201" customWidth="1"/>
    <col min="25" max="25" width="3.5" style="201" customWidth="1"/>
    <col min="26" max="26" width="19.75" style="201" customWidth="1"/>
    <col min="27" max="28" width="9.375" style="201" customWidth="1"/>
    <col min="29" max="16384" width="9" style="201"/>
  </cols>
  <sheetData>
    <row r="1" s="195" customFormat="1" ht="28.5" customHeight="1" spans="1:29">
      <c r="A1" s="204" t="s">
        <v>1556</v>
      </c>
      <c r="B1" s="630" t="s">
        <v>2352</v>
      </c>
      <c r="C1" s="631" t="s">
        <v>1558</v>
      </c>
      <c r="D1" s="632"/>
      <c r="E1" s="213"/>
      <c r="F1" s="209"/>
      <c r="G1" s="210" t="s">
        <v>1559</v>
      </c>
      <c r="H1" s="208"/>
      <c r="I1" s="208"/>
      <c r="J1" s="208"/>
      <c r="K1" s="390"/>
      <c r="L1" s="391"/>
      <c r="M1" s="392"/>
      <c r="N1" s="392"/>
      <c r="O1" s="392"/>
      <c r="P1" s="642"/>
      <c r="Q1" s="642"/>
      <c r="R1" s="642"/>
      <c r="S1" s="642"/>
      <c r="T1" s="642"/>
      <c r="U1" s="642"/>
      <c r="V1" s="642"/>
      <c r="W1" s="642"/>
      <c r="X1" s="642"/>
      <c r="Y1" s="642"/>
      <c r="Z1" s="642"/>
      <c r="AA1" s="642"/>
      <c r="AB1" s="642"/>
      <c r="AC1" s="659"/>
    </row>
    <row r="2" s="629" customFormat="1" ht="28.5" customHeight="1" spans="1:29">
      <c r="A2" s="211" t="s">
        <v>1202</v>
      </c>
      <c r="B2" s="633" t="e">
        <f>ROUND(B3*D3/10000,0)</f>
        <v>#DIV/0!</v>
      </c>
      <c r="C2" s="213"/>
      <c r="D2" s="213"/>
      <c r="E2" s="213"/>
      <c r="F2" s="634"/>
      <c r="G2" s="213"/>
      <c r="H2" s="213"/>
      <c r="I2" s="213"/>
      <c r="J2" s="213"/>
      <c r="K2" s="643"/>
      <c r="L2" s="644"/>
      <c r="M2" s="645"/>
      <c r="N2" s="645"/>
      <c r="O2" s="645"/>
      <c r="P2" s="646"/>
      <c r="Q2" s="646"/>
      <c r="R2" s="646"/>
      <c r="S2" s="646"/>
      <c r="T2" s="646"/>
      <c r="U2" s="646"/>
      <c r="V2" s="646"/>
      <c r="W2" s="646"/>
      <c r="X2" s="646"/>
      <c r="Y2" s="646"/>
      <c r="Z2" s="646"/>
      <c r="AA2" s="646"/>
      <c r="AB2" s="646"/>
      <c r="AC2" s="660"/>
    </row>
    <row r="3" s="629" customFormat="1" ht="28.5" customHeight="1" spans="1:29">
      <c r="A3" s="216" t="s">
        <v>1368</v>
      </c>
      <c r="B3" s="219" t="e">
        <f>C49</f>
        <v>#DIV/0!</v>
      </c>
      <c r="C3" s="218" t="s">
        <v>1560</v>
      </c>
      <c r="D3" s="219">
        <f>SUMIF('数据-汇总表'!$C19:$C33,D1,'数据-汇总表'!$E19:$E33)</f>
        <v>0</v>
      </c>
      <c r="E3" s="213"/>
      <c r="F3" s="634"/>
      <c r="G3" s="213"/>
      <c r="H3" s="213"/>
      <c r="I3" s="213"/>
      <c r="J3" s="213"/>
      <c r="K3" s="643"/>
      <c r="L3" s="644"/>
      <c r="M3" s="645"/>
      <c r="N3" s="645"/>
      <c r="O3" s="645"/>
      <c r="P3" s="646"/>
      <c r="Q3" s="646"/>
      <c r="R3" s="646"/>
      <c r="S3" s="646"/>
      <c r="T3" s="646"/>
      <c r="U3" s="646"/>
      <c r="V3" s="646"/>
      <c r="W3" s="646"/>
      <c r="X3" s="646"/>
      <c r="Y3" s="646"/>
      <c r="Z3" s="646"/>
      <c r="AA3" s="646"/>
      <c r="AB3" s="646"/>
      <c r="AC3" s="661"/>
    </row>
    <row r="4" ht="15" spans="1:29">
      <c r="A4" s="220" t="s">
        <v>1284</v>
      </c>
      <c r="B4" s="221"/>
      <c r="C4" s="222" t="s">
        <v>1285</v>
      </c>
      <c r="D4" s="223"/>
      <c r="E4" s="224" t="s">
        <v>1286</v>
      </c>
      <c r="F4" s="225"/>
      <c r="G4" s="222" t="s">
        <v>1287</v>
      </c>
      <c r="H4" s="223"/>
      <c r="I4" s="222" t="s">
        <v>1288</v>
      </c>
      <c r="J4" s="223"/>
      <c r="K4" s="647" t="s">
        <v>1289</v>
      </c>
      <c r="L4" s="397"/>
      <c r="M4" s="398"/>
      <c r="N4" s="398"/>
      <c r="O4" s="398"/>
      <c r="P4" s="399" t="s">
        <v>1290</v>
      </c>
      <c r="Q4" s="472"/>
      <c r="R4" s="473" t="s">
        <v>1286</v>
      </c>
      <c r="S4" s="474"/>
      <c r="T4" s="473" t="s">
        <v>1287</v>
      </c>
      <c r="U4" s="474"/>
      <c r="V4" s="475" t="s">
        <v>1288</v>
      </c>
      <c r="W4" s="475"/>
      <c r="X4" s="476"/>
      <c r="Y4" s="473" t="s">
        <v>1290</v>
      </c>
      <c r="Z4" s="474"/>
      <c r="AA4" s="506" t="s">
        <v>1286</v>
      </c>
      <c r="AB4" s="506" t="s">
        <v>1287</v>
      </c>
      <c r="AC4" s="506" t="s">
        <v>1288</v>
      </c>
    </row>
    <row r="5" ht="15" spans="1:29">
      <c r="A5" s="226"/>
      <c r="B5" s="227"/>
      <c r="C5" s="228" t="s">
        <v>1291</v>
      </c>
      <c r="D5" s="229"/>
      <c r="E5" s="230" t="s">
        <v>1292</v>
      </c>
      <c r="F5" s="231"/>
      <c r="G5" s="228" t="s">
        <v>1293</v>
      </c>
      <c r="H5" s="229"/>
      <c r="I5" s="228" t="s">
        <v>1294</v>
      </c>
      <c r="J5" s="229"/>
      <c r="K5" s="648"/>
      <c r="L5" s="397"/>
      <c r="M5" s="398"/>
      <c r="N5" s="398"/>
      <c r="O5" s="398"/>
      <c r="P5" s="400"/>
      <c r="Q5" s="477"/>
      <c r="R5" s="478"/>
      <c r="S5" s="479"/>
      <c r="T5" s="478"/>
      <c r="U5" s="479"/>
      <c r="V5" s="475"/>
      <c r="W5" s="475"/>
      <c r="X5" s="476"/>
      <c r="Y5" s="478"/>
      <c r="Z5" s="479"/>
      <c r="AA5" s="476"/>
      <c r="AB5" s="476"/>
      <c r="AC5" s="476"/>
    </row>
    <row r="6" ht="15.75" spans="1:29">
      <c r="A6" s="232"/>
      <c r="B6" s="233"/>
      <c r="C6" s="234" t="s">
        <v>1295</v>
      </c>
      <c r="D6" s="235"/>
      <c r="E6" s="236" t="s">
        <v>1295</v>
      </c>
      <c r="F6" s="237"/>
      <c r="G6" s="234" t="s">
        <v>1295</v>
      </c>
      <c r="H6" s="235"/>
      <c r="I6" s="234" t="s">
        <v>1295</v>
      </c>
      <c r="J6" s="235"/>
      <c r="K6" s="648" t="s">
        <v>1296</v>
      </c>
      <c r="L6" s="397"/>
      <c r="M6" s="398"/>
      <c r="N6" s="398"/>
      <c r="O6" s="398"/>
      <c r="P6" s="401"/>
      <c r="Q6" s="480"/>
      <c r="R6" s="478"/>
      <c r="S6" s="479"/>
      <c r="T6" s="481"/>
      <c r="U6" s="482"/>
      <c r="V6" s="475"/>
      <c r="W6" s="475"/>
      <c r="X6" s="476"/>
      <c r="Y6" s="481"/>
      <c r="Z6" s="482"/>
      <c r="AA6" s="507"/>
      <c r="AB6" s="507"/>
      <c r="AC6" s="507"/>
    </row>
    <row r="7" s="196" customFormat="1" ht="15.75" spans="1:29">
      <c r="A7" s="238"/>
      <c r="B7" s="239" t="s">
        <v>1297</v>
      </c>
      <c r="C7" s="240">
        <f>'数据-取费表'!B2</f>
        <v>44519</v>
      </c>
      <c r="D7" s="241">
        <v>100</v>
      </c>
      <c r="E7" s="242"/>
      <c r="F7" s="243">
        <f>SUMIF(58:58,YEAR(E7)&amp;"-"&amp;MONTH(E7),59:59)</f>
        <v>0</v>
      </c>
      <c r="G7" s="244"/>
      <c r="H7" s="241">
        <f>SUMIF(58:58,YEAR(G7)&amp;"-"&amp;MONTH(G7),59:59)</f>
        <v>0</v>
      </c>
      <c r="I7" s="244"/>
      <c r="J7" s="241">
        <f>SUMIF(58:58,YEAR(I7)&amp;"-"&amp;MONTH(I7),59:59)</f>
        <v>0</v>
      </c>
      <c r="K7" s="649"/>
      <c r="L7" s="403"/>
      <c r="M7" s="404"/>
      <c r="N7" s="404"/>
      <c r="O7" s="404"/>
      <c r="P7" s="405" t="s">
        <v>1298</v>
      </c>
      <c r="Q7" s="483"/>
      <c r="R7" s="484" t="s">
        <v>1299</v>
      </c>
      <c r="S7" s="485">
        <f t="shared" ref="S7:S15" si="0">F7</f>
        <v>0</v>
      </c>
      <c r="T7" s="484" t="s">
        <v>1299</v>
      </c>
      <c r="U7" s="485">
        <f t="shared" ref="U7:U15" si="1">H7</f>
        <v>0</v>
      </c>
      <c r="V7" s="484" t="s">
        <v>1299</v>
      </c>
      <c r="W7" s="485">
        <f t="shared" ref="W7:W15" si="2">J7</f>
        <v>0</v>
      </c>
      <c r="X7" s="486"/>
      <c r="Y7" s="405" t="s">
        <v>1298</v>
      </c>
      <c r="Z7" s="487"/>
      <c r="AA7" s="508" t="e">
        <f>D7/F7</f>
        <v>#DIV/0!</v>
      </c>
      <c r="AB7" s="508" t="e">
        <f>D7/H7</f>
        <v>#DIV/0!</v>
      </c>
      <c r="AC7" s="508" t="e">
        <f>D7/J7</f>
        <v>#DIV/0!</v>
      </c>
    </row>
    <row r="8" s="196" customFormat="1" ht="15.75" spans="1:29">
      <c r="A8" s="245"/>
      <c r="B8" s="246" t="s">
        <v>1300</v>
      </c>
      <c r="C8" s="247" t="s">
        <v>1301</v>
      </c>
      <c r="D8" s="241">
        <v>100</v>
      </c>
      <c r="E8" s="635"/>
      <c r="F8" s="243">
        <f>SUMIF(61:61,E8,62:62)-SUMIF(61:61,C8,62:62)+100</f>
        <v>0</v>
      </c>
      <c r="G8" s="247"/>
      <c r="H8" s="241">
        <f>SUMIF(61:61,G8,62:62)-SUMIF(61:61,C8,62:62)+100</f>
        <v>0</v>
      </c>
      <c r="I8" s="635"/>
      <c r="J8" s="241">
        <f>SUMIF(61:61,I8,62:62)-SUMIF(61:61,C8,62:62)+100</f>
        <v>0</v>
      </c>
      <c r="K8" s="649"/>
      <c r="L8" s="403"/>
      <c r="M8" s="404"/>
      <c r="N8" s="404"/>
      <c r="O8" s="404"/>
      <c r="P8" s="405" t="s">
        <v>1302</v>
      </c>
      <c r="Q8" s="487"/>
      <c r="R8" s="484" t="s">
        <v>1299</v>
      </c>
      <c r="S8" s="485">
        <f t="shared" si="0"/>
        <v>0</v>
      </c>
      <c r="T8" s="484" t="s">
        <v>1299</v>
      </c>
      <c r="U8" s="485">
        <f t="shared" si="1"/>
        <v>0</v>
      </c>
      <c r="V8" s="484" t="s">
        <v>1299</v>
      </c>
      <c r="W8" s="485">
        <f t="shared" si="2"/>
        <v>0</v>
      </c>
      <c r="X8" s="486"/>
      <c r="Y8" s="405" t="s">
        <v>1302</v>
      </c>
      <c r="Z8" s="487"/>
      <c r="AA8" s="508" t="e">
        <f t="shared" ref="AA8:AA46" si="3">D8/F8</f>
        <v>#DIV/0!</v>
      </c>
      <c r="AB8" s="508" t="e">
        <f t="shared" ref="AB8:AB46" si="4">D8/H8</f>
        <v>#DIV/0!</v>
      </c>
      <c r="AC8" s="508" t="e">
        <f t="shared" ref="AC8:AC46" si="5">D8/J8</f>
        <v>#DIV/0!</v>
      </c>
    </row>
    <row r="9" s="196" customFormat="1" ht="15" spans="1:29">
      <c r="A9" s="248"/>
      <c r="B9" s="249" t="s">
        <v>1303</v>
      </c>
      <c r="C9" s="250"/>
      <c r="D9" s="251">
        <v>100</v>
      </c>
      <c r="E9" s="544"/>
      <c r="F9" s="636">
        <f>SUMIF(63:63,E9,64:64)-SUMIF(63:63,C9,64:64)+100</f>
        <v>100</v>
      </c>
      <c r="G9" s="252"/>
      <c r="H9" s="251">
        <f>SUMIF(63:63,G9,64:64)-SUMIF(63:63,C9,64:64)+100</f>
        <v>100</v>
      </c>
      <c r="I9" s="252"/>
      <c r="J9" s="251">
        <f>SUMIF(63:63,I9,64:64)-SUMIF(63:63,C9,64:64)+100</f>
        <v>100</v>
      </c>
      <c r="K9" s="649"/>
      <c r="L9" s="403"/>
      <c r="M9" s="404"/>
      <c r="N9" s="404"/>
      <c r="O9" s="406"/>
      <c r="P9" s="407" t="s">
        <v>1304</v>
      </c>
      <c r="Q9" s="488" t="str">
        <f t="shared" ref="Q9:Q15" si="6">B9</f>
        <v>用途</v>
      </c>
      <c r="R9" s="484" t="s">
        <v>1299</v>
      </c>
      <c r="S9" s="485">
        <f t="shared" si="0"/>
        <v>100</v>
      </c>
      <c r="T9" s="484" t="s">
        <v>1299</v>
      </c>
      <c r="U9" s="485">
        <f t="shared" si="1"/>
        <v>100</v>
      </c>
      <c r="V9" s="484" t="s">
        <v>1299</v>
      </c>
      <c r="W9" s="485">
        <f t="shared" si="2"/>
        <v>100</v>
      </c>
      <c r="X9" s="486"/>
      <c r="Y9" s="488" t="s">
        <v>1305</v>
      </c>
      <c r="Z9" s="509" t="str">
        <f t="shared" ref="Z9:Z15" si="7">Q9</f>
        <v>用途</v>
      </c>
      <c r="AA9" s="508">
        <f t="shared" si="3"/>
        <v>1</v>
      </c>
      <c r="AB9" s="508">
        <f t="shared" si="4"/>
        <v>1</v>
      </c>
      <c r="AC9" s="508">
        <f t="shared" si="5"/>
        <v>1</v>
      </c>
    </row>
    <row r="10" s="197" customFormat="1" ht="27" spans="1:29">
      <c r="A10" s="253"/>
      <c r="B10" s="246" t="s">
        <v>1306</v>
      </c>
      <c r="C10" s="254"/>
      <c r="D10" s="255">
        <v>100</v>
      </c>
      <c r="E10" s="256"/>
      <c r="F10" s="590">
        <f>SUMIF(65:65,E10,66:66)-SUMIF(65:65,C10,66:66)+100</f>
        <v>100</v>
      </c>
      <c r="G10" s="254"/>
      <c r="H10" s="255">
        <f>SUMIF(65:65,G10,66:66)-SUMIF(65:65,C10,66:66)+100</f>
        <v>100</v>
      </c>
      <c r="I10" s="254"/>
      <c r="J10" s="255">
        <f>SUMIF(65:65,I10,66:66)-SUMIF(65:65,C10,66:66)+100</f>
        <v>100</v>
      </c>
      <c r="K10" s="650"/>
      <c r="L10" s="409"/>
      <c r="M10" s="410"/>
      <c r="N10" s="410"/>
      <c r="O10" s="411"/>
      <c r="P10" s="407"/>
      <c r="Q10" s="488" t="str">
        <f t="shared" si="6"/>
        <v>土地使用年限（年）</v>
      </c>
      <c r="R10" s="484" t="s">
        <v>1299</v>
      </c>
      <c r="S10" s="485">
        <f t="shared" si="0"/>
        <v>100</v>
      </c>
      <c r="T10" s="484" t="s">
        <v>1299</v>
      </c>
      <c r="U10" s="485">
        <f t="shared" si="1"/>
        <v>100</v>
      </c>
      <c r="V10" s="484" t="s">
        <v>1299</v>
      </c>
      <c r="W10" s="485">
        <f t="shared" si="2"/>
        <v>100</v>
      </c>
      <c r="X10" s="486"/>
      <c r="Y10" s="488"/>
      <c r="Z10" s="509" t="str">
        <f t="shared" si="7"/>
        <v>土地使用年限（年）</v>
      </c>
      <c r="AA10" s="508">
        <f t="shared" si="3"/>
        <v>1</v>
      </c>
      <c r="AB10" s="508">
        <f t="shared" si="4"/>
        <v>1</v>
      </c>
      <c r="AC10" s="508">
        <f t="shared" si="5"/>
        <v>1</v>
      </c>
    </row>
    <row r="11" ht="15" spans="1:29">
      <c r="A11" s="577"/>
      <c r="B11" s="246" t="s">
        <v>1307</v>
      </c>
      <c r="C11" s="578"/>
      <c r="D11" s="255">
        <v>100</v>
      </c>
      <c r="E11" s="579"/>
      <c r="F11" s="590" t="e">
        <f>LOOKUP(E11,68:68,69:69)-LOOKUP(C11,68:68,69:69)+100</f>
        <v>#N/A</v>
      </c>
      <c r="G11" s="578"/>
      <c r="H11" s="255" t="e">
        <f>LOOKUP(G11,68:68,69:69)-LOOKUP(C11,68:68,69:69)+100</f>
        <v>#N/A</v>
      </c>
      <c r="I11" s="578"/>
      <c r="J11" s="255" t="e">
        <f>LOOKUP(I11,68:68,69:69)-LOOKUP(C11,68:68,69:69)+100</f>
        <v>#N/A</v>
      </c>
      <c r="K11" s="650"/>
      <c r="L11" s="413"/>
      <c r="M11" s="398"/>
      <c r="N11" s="398"/>
      <c r="O11" s="414"/>
      <c r="P11" s="407"/>
      <c r="Q11" s="488" t="str">
        <f t="shared" si="6"/>
        <v>容积率</v>
      </c>
      <c r="R11" s="484" t="s">
        <v>1299</v>
      </c>
      <c r="S11" s="485" t="e">
        <f t="shared" si="0"/>
        <v>#N/A</v>
      </c>
      <c r="T11" s="484" t="s">
        <v>1299</v>
      </c>
      <c r="U11" s="485" t="e">
        <f t="shared" si="1"/>
        <v>#N/A</v>
      </c>
      <c r="V11" s="484" t="s">
        <v>1299</v>
      </c>
      <c r="W11" s="485" t="e">
        <f t="shared" si="2"/>
        <v>#N/A</v>
      </c>
      <c r="X11" s="486"/>
      <c r="Y11" s="488"/>
      <c r="Z11" s="509" t="str">
        <f t="shared" si="7"/>
        <v>容积率</v>
      </c>
      <c r="AA11" s="508" t="e">
        <f t="shared" si="3"/>
        <v>#N/A</v>
      </c>
      <c r="AB11" s="508" t="e">
        <f t="shared" si="4"/>
        <v>#N/A</v>
      </c>
      <c r="AC11" s="508" t="e">
        <f t="shared" si="5"/>
        <v>#N/A</v>
      </c>
    </row>
    <row r="12" s="196" customFormat="1" ht="15" spans="1:29">
      <c r="A12" s="257"/>
      <c r="B12" s="258">
        <v>111</v>
      </c>
      <c r="C12" s="259"/>
      <c r="D12" s="261">
        <v>100</v>
      </c>
      <c r="E12" s="259"/>
      <c r="F12" s="590">
        <f>SUMIF(70:70,E12,71:71)-SUMIF(70:70,C12,71:71)+100</f>
        <v>100</v>
      </c>
      <c r="G12" s="259"/>
      <c r="H12" s="255">
        <f>SUMIF(70:70,G12,71:71)-SUMIF(70:70,C12,71:71)+100</f>
        <v>100</v>
      </c>
      <c r="I12" s="259"/>
      <c r="J12" s="255">
        <f>SUMIF(70:70,I12,71:71)-SUMIF(70:70,C12,71:71)+100</f>
        <v>100</v>
      </c>
      <c r="K12" s="651"/>
      <c r="L12" s="403"/>
      <c r="M12" s="404"/>
      <c r="N12" s="404"/>
      <c r="O12" s="406"/>
      <c r="P12" s="407"/>
      <c r="Q12" s="488">
        <f t="shared" si="6"/>
        <v>111</v>
      </c>
      <c r="R12" s="484" t="s">
        <v>1299</v>
      </c>
      <c r="S12" s="485">
        <f t="shared" si="0"/>
        <v>100</v>
      </c>
      <c r="T12" s="484" t="s">
        <v>1299</v>
      </c>
      <c r="U12" s="485">
        <f t="shared" si="1"/>
        <v>100</v>
      </c>
      <c r="V12" s="484" t="s">
        <v>1299</v>
      </c>
      <c r="W12" s="485">
        <f t="shared" si="2"/>
        <v>100</v>
      </c>
      <c r="X12" s="486"/>
      <c r="Y12" s="488"/>
      <c r="Z12" s="509">
        <f t="shared" si="7"/>
        <v>111</v>
      </c>
      <c r="AA12" s="508">
        <f t="shared" si="3"/>
        <v>1</v>
      </c>
      <c r="AB12" s="508">
        <f t="shared" si="4"/>
        <v>1</v>
      </c>
      <c r="AC12" s="508">
        <f t="shared" si="5"/>
        <v>1</v>
      </c>
    </row>
    <row r="13" ht="15" spans="1:29">
      <c r="A13" s="257"/>
      <c r="B13" s="258">
        <v>111</v>
      </c>
      <c r="C13" s="264"/>
      <c r="D13" s="265">
        <v>100</v>
      </c>
      <c r="E13" s="264"/>
      <c r="F13" s="590">
        <f>SUMIF(72:72,E13,73:73)-SUMIF(72:72,C13,73:73)+100</f>
        <v>100</v>
      </c>
      <c r="G13" s="264"/>
      <c r="H13" s="265">
        <f>SUMIF(72:72,G13,73:73)-SUMIF(72:72,C13,73:73)+100</f>
        <v>100</v>
      </c>
      <c r="I13" s="264"/>
      <c r="J13" s="265">
        <f>SUMIF(72:72,I13,73:73)-SUMIF(72:72,C13,73:73)+100</f>
        <v>100</v>
      </c>
      <c r="K13" s="651"/>
      <c r="L13" s="415"/>
      <c r="M13" s="398"/>
      <c r="N13" s="398"/>
      <c r="O13" s="414"/>
      <c r="P13" s="407"/>
      <c r="Q13" s="488">
        <f t="shared" si="6"/>
        <v>111</v>
      </c>
      <c r="R13" s="484" t="s">
        <v>1299</v>
      </c>
      <c r="S13" s="485">
        <f t="shared" si="0"/>
        <v>100</v>
      </c>
      <c r="T13" s="484" t="s">
        <v>1299</v>
      </c>
      <c r="U13" s="485">
        <f t="shared" si="1"/>
        <v>100</v>
      </c>
      <c r="V13" s="484" t="s">
        <v>1299</v>
      </c>
      <c r="W13" s="485">
        <f t="shared" si="2"/>
        <v>100</v>
      </c>
      <c r="X13" s="486"/>
      <c r="Y13" s="488"/>
      <c r="Z13" s="509">
        <f t="shared" si="7"/>
        <v>111</v>
      </c>
      <c r="AA13" s="508">
        <f t="shared" si="3"/>
        <v>1</v>
      </c>
      <c r="AB13" s="508">
        <f t="shared" si="4"/>
        <v>1</v>
      </c>
      <c r="AC13" s="508">
        <f t="shared" si="5"/>
        <v>1</v>
      </c>
    </row>
    <row r="14" ht="15.75" spans="1:29">
      <c r="A14" s="262"/>
      <c r="B14" s="263">
        <v>111</v>
      </c>
      <c r="C14" s="317"/>
      <c r="D14" s="318">
        <v>100</v>
      </c>
      <c r="E14" s="317"/>
      <c r="F14" s="320">
        <f>SUMIF(74:74,E14,75:75)-SUMIF(74:74,C14,75:75)+100</f>
        <v>100</v>
      </c>
      <c r="G14" s="317"/>
      <c r="H14" s="318">
        <f>SUMIF(74:74,G14,75:75)-SUMIF(74:74,C14,75:75)+100</f>
        <v>100</v>
      </c>
      <c r="I14" s="317"/>
      <c r="J14" s="318">
        <f>SUMIF(74:74,I14,75:75)-SUMIF(74:74,C14,75:75)+100</f>
        <v>100</v>
      </c>
      <c r="K14" s="651"/>
      <c r="L14" s="415"/>
      <c r="M14" s="398"/>
      <c r="N14" s="398"/>
      <c r="O14" s="414"/>
      <c r="P14" s="407"/>
      <c r="Q14" s="488">
        <f t="shared" si="6"/>
        <v>111</v>
      </c>
      <c r="R14" s="484" t="s">
        <v>1299</v>
      </c>
      <c r="S14" s="485">
        <f t="shared" si="0"/>
        <v>100</v>
      </c>
      <c r="T14" s="484" t="s">
        <v>1299</v>
      </c>
      <c r="U14" s="485">
        <f t="shared" si="1"/>
        <v>100</v>
      </c>
      <c r="V14" s="484" t="s">
        <v>1299</v>
      </c>
      <c r="W14" s="485">
        <f t="shared" si="2"/>
        <v>100</v>
      </c>
      <c r="X14" s="486"/>
      <c r="Y14" s="488"/>
      <c r="Z14" s="509">
        <f t="shared" si="7"/>
        <v>111</v>
      </c>
      <c r="AA14" s="508">
        <f t="shared" si="3"/>
        <v>1</v>
      </c>
      <c r="AB14" s="508">
        <f t="shared" si="4"/>
        <v>1</v>
      </c>
      <c r="AC14" s="508">
        <f t="shared" si="5"/>
        <v>1</v>
      </c>
    </row>
    <row r="15" ht="94.5" spans="1:29">
      <c r="A15" s="266" t="s">
        <v>1309</v>
      </c>
      <c r="B15" s="267" t="s">
        <v>225</v>
      </c>
      <c r="C15" s="614" t="str">
        <f>估价对象房地状况!C3</f>
        <v>估价对象周边居住用地比例、居住小区规模和社区发展完善程度，综合评价居住社区成熟度一般</v>
      </c>
      <c r="D15" s="269">
        <v>100</v>
      </c>
      <c r="E15" s="270"/>
      <c r="F15" s="271">
        <f>SUMIF(76:76,E16,77:77)-SUMIF(76:76,C16,77:77)+100</f>
        <v>100</v>
      </c>
      <c r="G15" s="272"/>
      <c r="H15" s="269">
        <f>SUMIF(76:76,G16,77:77)-SUMIF(76:76,C16,77:77)+100</f>
        <v>100</v>
      </c>
      <c r="I15" s="270"/>
      <c r="J15" s="269">
        <f>SUMIF(76:76,I16,77:77)-SUMIF(76:76,C16,77:77)+100</f>
        <v>100</v>
      </c>
      <c r="K15" s="652"/>
      <c r="L15" s="415"/>
      <c r="M15" s="398"/>
      <c r="N15" s="398"/>
      <c r="O15" s="414"/>
      <c r="P15" s="417" t="s">
        <v>1310</v>
      </c>
      <c r="Q15" s="407" t="str">
        <f t="shared" si="6"/>
        <v>居住社区成熟度</v>
      </c>
      <c r="R15" s="489" t="s">
        <v>1299</v>
      </c>
      <c r="S15" s="490">
        <f t="shared" si="0"/>
        <v>100</v>
      </c>
      <c r="T15" s="489" t="s">
        <v>1299</v>
      </c>
      <c r="U15" s="490">
        <f t="shared" si="1"/>
        <v>100</v>
      </c>
      <c r="V15" s="489" t="s">
        <v>1299</v>
      </c>
      <c r="W15" s="490">
        <f t="shared" si="2"/>
        <v>100</v>
      </c>
      <c r="X15" s="476"/>
      <c r="Y15" s="417" t="s">
        <v>1310</v>
      </c>
      <c r="Z15" s="475" t="str">
        <f t="shared" si="7"/>
        <v>居住社区成熟度</v>
      </c>
      <c r="AA15" s="495">
        <f t="shared" si="3"/>
        <v>1</v>
      </c>
      <c r="AB15" s="495">
        <f t="shared" si="4"/>
        <v>1</v>
      </c>
      <c r="AC15" s="495">
        <f t="shared" si="5"/>
        <v>1</v>
      </c>
    </row>
    <row r="16" ht="15" spans="1:29">
      <c r="A16" s="273"/>
      <c r="B16" s="274"/>
      <c r="C16" s="275"/>
      <c r="D16" s="276"/>
      <c r="E16" s="583"/>
      <c r="F16" s="277"/>
      <c r="G16" s="584"/>
      <c r="H16" s="278"/>
      <c r="I16" s="583"/>
      <c r="J16" s="276"/>
      <c r="K16" s="653"/>
      <c r="L16" s="415"/>
      <c r="M16" s="398"/>
      <c r="N16" s="398"/>
      <c r="O16" s="414"/>
      <c r="P16" s="419"/>
      <c r="Q16" s="407"/>
      <c r="R16" s="489"/>
      <c r="S16" s="490"/>
      <c r="T16" s="489"/>
      <c r="U16" s="490"/>
      <c r="V16" s="489"/>
      <c r="W16" s="490"/>
      <c r="X16" s="476"/>
      <c r="Y16" s="419"/>
      <c r="Z16" s="475"/>
      <c r="AA16" s="495">
        <v>1</v>
      </c>
      <c r="AB16" s="495">
        <v>1</v>
      </c>
      <c r="AC16" s="495">
        <v>1</v>
      </c>
    </row>
    <row r="17" ht="81" spans="1:29">
      <c r="A17" s="273"/>
      <c r="B17" s="292" t="s">
        <v>229</v>
      </c>
      <c r="C17" s="280" t="str">
        <f>估价对象房地状况!C6</f>
        <v>估价对象周边道路状况、公共交通通达情况、停车便捷程度，综合评价交通便捷度较好</v>
      </c>
      <c r="D17" s="278">
        <v>100</v>
      </c>
      <c r="E17" s="288"/>
      <c r="F17" s="289">
        <f>SUMIF(78:78,E18,79:79)-SUMIF(78:78,C18,79:79)+100</f>
        <v>100</v>
      </c>
      <c r="G17" s="290"/>
      <c r="H17" s="281">
        <f>SUMIF(78:78,G18,79:79)-SUMIF(78:78,C18,79:79)+100</f>
        <v>100</v>
      </c>
      <c r="I17" s="288"/>
      <c r="J17" s="281">
        <f>SUMIF(78:78,I18,79:79)-SUMIF(78:78,C18,79:79)+100</f>
        <v>100</v>
      </c>
      <c r="K17" s="652"/>
      <c r="L17" s="415"/>
      <c r="M17" s="398"/>
      <c r="N17" s="398"/>
      <c r="O17" s="414"/>
      <c r="P17" s="419"/>
      <c r="Q17" s="407" t="str">
        <f>B17</f>
        <v>交通便捷度</v>
      </c>
      <c r="R17" s="489" t="s">
        <v>1299</v>
      </c>
      <c r="S17" s="490">
        <f>F17</f>
        <v>100</v>
      </c>
      <c r="T17" s="489" t="s">
        <v>1299</v>
      </c>
      <c r="U17" s="490">
        <f>H17</f>
        <v>100</v>
      </c>
      <c r="V17" s="489" t="s">
        <v>1299</v>
      </c>
      <c r="W17" s="490">
        <f>J17</f>
        <v>100</v>
      </c>
      <c r="X17" s="476"/>
      <c r="Y17" s="419"/>
      <c r="Z17" s="475" t="str">
        <f>Q17</f>
        <v>交通便捷度</v>
      </c>
      <c r="AA17" s="495">
        <f t="shared" si="3"/>
        <v>1</v>
      </c>
      <c r="AB17" s="495">
        <f t="shared" si="4"/>
        <v>1</v>
      </c>
      <c r="AC17" s="495">
        <f t="shared" si="5"/>
        <v>1</v>
      </c>
    </row>
    <row r="18" ht="15" spans="1:29">
      <c r="A18" s="273"/>
      <c r="B18" s="293"/>
      <c r="C18" s="286"/>
      <c r="D18" s="278"/>
      <c r="E18" s="581"/>
      <c r="F18" s="289"/>
      <c r="G18" s="582"/>
      <c r="H18" s="276"/>
      <c r="I18" s="581"/>
      <c r="J18" s="276"/>
      <c r="K18" s="653"/>
      <c r="L18" s="415"/>
      <c r="M18" s="398"/>
      <c r="N18" s="398"/>
      <c r="O18" s="414"/>
      <c r="P18" s="419"/>
      <c r="Q18" s="407"/>
      <c r="R18" s="489"/>
      <c r="S18" s="490"/>
      <c r="T18" s="489"/>
      <c r="U18" s="490"/>
      <c r="V18" s="489"/>
      <c r="W18" s="490"/>
      <c r="X18" s="476"/>
      <c r="Y18" s="419"/>
      <c r="Z18" s="475"/>
      <c r="AA18" s="495">
        <v>1</v>
      </c>
      <c r="AB18" s="495">
        <v>1</v>
      </c>
      <c r="AC18" s="495">
        <v>1</v>
      </c>
    </row>
    <row r="19" ht="40.5" spans="1:29">
      <c r="A19" s="273"/>
      <c r="B19" s="615" t="s">
        <v>231</v>
      </c>
      <c r="C19" s="280" t="str">
        <f>估价对象房地状况!C7</f>
        <v>估价对象所在区域公共配套设施齐备情况</v>
      </c>
      <c r="D19" s="281">
        <v>100</v>
      </c>
      <c r="E19" s="282"/>
      <c r="F19" s="283">
        <f>SUMIF(80:80,E20,81:81)-SUMIF(80:80,C20,81:81)+100</f>
        <v>100</v>
      </c>
      <c r="G19" s="284"/>
      <c r="H19" s="278">
        <f>SUMIF(80:80,G20,81:81)-SUMIF(80:80,C20,81:81)+100</f>
        <v>100</v>
      </c>
      <c r="I19" s="282"/>
      <c r="J19" s="278">
        <f>SUMIF(80:80,I20,81:81)-SUMIF(80:80,C20,81:81)+100</f>
        <v>100</v>
      </c>
      <c r="K19" s="652"/>
      <c r="L19" s="415"/>
      <c r="M19" s="398"/>
      <c r="N19" s="398"/>
      <c r="O19" s="414"/>
      <c r="P19" s="419"/>
      <c r="Q19" s="407" t="str">
        <f>B19</f>
        <v>公共配套设施</v>
      </c>
      <c r="R19" s="489" t="s">
        <v>1299</v>
      </c>
      <c r="S19" s="490">
        <f>F19</f>
        <v>100</v>
      </c>
      <c r="T19" s="489" t="s">
        <v>1299</v>
      </c>
      <c r="U19" s="490">
        <f>H19</f>
        <v>100</v>
      </c>
      <c r="V19" s="489" t="s">
        <v>1299</v>
      </c>
      <c r="W19" s="490">
        <f>J19</f>
        <v>100</v>
      </c>
      <c r="X19" s="476"/>
      <c r="Y19" s="419"/>
      <c r="Z19" s="475" t="str">
        <f>Q19</f>
        <v>公共配套设施</v>
      </c>
      <c r="AA19" s="495">
        <f t="shared" si="3"/>
        <v>1</v>
      </c>
      <c r="AB19" s="495">
        <f t="shared" si="4"/>
        <v>1</v>
      </c>
      <c r="AC19" s="495">
        <f t="shared" si="5"/>
        <v>1</v>
      </c>
    </row>
    <row r="20" ht="15" spans="1:29">
      <c r="A20" s="273"/>
      <c r="B20" s="293"/>
      <c r="C20" s="275"/>
      <c r="D20" s="276"/>
      <c r="E20" s="583"/>
      <c r="F20" s="277"/>
      <c r="G20" s="584"/>
      <c r="H20" s="276"/>
      <c r="I20" s="583"/>
      <c r="J20" s="276"/>
      <c r="K20" s="653"/>
      <c r="L20" s="415"/>
      <c r="M20" s="398"/>
      <c r="N20" s="398"/>
      <c r="O20" s="414"/>
      <c r="P20" s="419"/>
      <c r="Q20" s="407"/>
      <c r="R20" s="489"/>
      <c r="S20" s="490"/>
      <c r="T20" s="489"/>
      <c r="U20" s="490"/>
      <c r="V20" s="489"/>
      <c r="W20" s="490"/>
      <c r="X20" s="476"/>
      <c r="Y20" s="419"/>
      <c r="Z20" s="475"/>
      <c r="AA20" s="495">
        <v>1</v>
      </c>
      <c r="AB20" s="495">
        <v>1</v>
      </c>
      <c r="AC20" s="495">
        <v>1</v>
      </c>
    </row>
    <row r="21" ht="27" spans="1:29">
      <c r="A21" s="273"/>
      <c r="B21" s="616" t="s">
        <v>232</v>
      </c>
      <c r="C21" s="280" t="str">
        <f>估价对象房地状况!C8</f>
        <v>估价对象所在区域基础设施水平</v>
      </c>
      <c r="D21" s="281">
        <v>100</v>
      </c>
      <c r="E21" s="284"/>
      <c r="F21" s="283">
        <f>SUMIF(82:82,E22,83:83)-SUMIF(82:82,C22,83:83)+100</f>
        <v>100</v>
      </c>
      <c r="G21" s="284"/>
      <c r="H21" s="281">
        <f>SUMIF(82:82,G22,83:83)-SUMIF(82:82,C22,83:83)+100</f>
        <v>100</v>
      </c>
      <c r="I21" s="282"/>
      <c r="J21" s="281">
        <f>SUMIF(82:82,I22,83:83)-SUMIF(82:82,C22,83:83)+100</f>
        <v>100</v>
      </c>
      <c r="K21" s="652"/>
      <c r="L21" s="415"/>
      <c r="M21" s="398"/>
      <c r="N21" s="398"/>
      <c r="O21" s="414"/>
      <c r="P21" s="419"/>
      <c r="Q21" s="407" t="str">
        <f>B21</f>
        <v>基础设施水平</v>
      </c>
      <c r="R21" s="489" t="s">
        <v>1299</v>
      </c>
      <c r="S21" s="490">
        <f>F21</f>
        <v>100</v>
      </c>
      <c r="T21" s="489" t="s">
        <v>1299</v>
      </c>
      <c r="U21" s="490">
        <f>H21</f>
        <v>100</v>
      </c>
      <c r="V21" s="489" t="s">
        <v>1299</v>
      </c>
      <c r="W21" s="490">
        <f>J21</f>
        <v>100</v>
      </c>
      <c r="X21" s="476"/>
      <c r="Y21" s="419"/>
      <c r="Z21" s="475" t="str">
        <f>Q21</f>
        <v>基础设施水平</v>
      </c>
      <c r="AA21" s="495">
        <f t="shared" ref="AA21" si="8">D21/F21</f>
        <v>1</v>
      </c>
      <c r="AB21" s="495">
        <f t="shared" ref="AB21" si="9">D21/H21</f>
        <v>1</v>
      </c>
      <c r="AC21" s="495">
        <f t="shared" ref="AC21" si="10">D21/J21</f>
        <v>1</v>
      </c>
    </row>
    <row r="22" ht="15" spans="1:29">
      <c r="A22" s="273"/>
      <c r="B22" s="585"/>
      <c r="C22" s="286"/>
      <c r="D22" s="276"/>
      <c r="E22" s="275"/>
      <c r="F22" s="277"/>
      <c r="G22" s="275"/>
      <c r="H22" s="276"/>
      <c r="I22" s="275"/>
      <c r="J22" s="276"/>
      <c r="K22" s="654"/>
      <c r="L22" s="415"/>
      <c r="M22" s="398"/>
      <c r="N22" s="398"/>
      <c r="O22" s="414"/>
      <c r="P22" s="419"/>
      <c r="Q22" s="407"/>
      <c r="R22" s="489"/>
      <c r="S22" s="490"/>
      <c r="T22" s="489"/>
      <c r="U22" s="490"/>
      <c r="V22" s="489"/>
      <c r="W22" s="490"/>
      <c r="X22" s="476"/>
      <c r="Y22" s="419"/>
      <c r="Z22" s="475"/>
      <c r="AA22" s="495">
        <v>1</v>
      </c>
      <c r="AB22" s="495">
        <v>1</v>
      </c>
      <c r="AC22" s="495">
        <v>1</v>
      </c>
    </row>
    <row r="23" ht="54" spans="1:29">
      <c r="A23" s="273"/>
      <c r="B23" s="292" t="s">
        <v>2353</v>
      </c>
      <c r="C23" s="280" t="str">
        <f>估价对象房地状况!C9</f>
        <v>区域自然环境：；人文环境；综合评价环境状况一般</v>
      </c>
      <c r="D23" s="278">
        <v>100</v>
      </c>
      <c r="E23" s="288"/>
      <c r="F23" s="289">
        <f>SUMIF(84:84,E24,85:85)-SUMIF(84:84,C24,85:85)+100</f>
        <v>100</v>
      </c>
      <c r="G23" s="290"/>
      <c r="H23" s="278">
        <f>SUMIF(84:84,G24,85:85)-SUMIF(84:84,C24,85:85)+100</f>
        <v>100</v>
      </c>
      <c r="I23" s="288"/>
      <c r="J23" s="278">
        <f>SUMIF(84:84,I24,85:85)-SUMIF(84:84,C24,85:85)+100</f>
        <v>100</v>
      </c>
      <c r="K23" s="652"/>
      <c r="L23" s="415"/>
      <c r="M23" s="398"/>
      <c r="N23" s="398"/>
      <c r="O23" s="414"/>
      <c r="P23" s="419"/>
      <c r="Q23" s="407" t="str">
        <f>B23</f>
        <v>自然及人文环境</v>
      </c>
      <c r="R23" s="489" t="s">
        <v>1299</v>
      </c>
      <c r="S23" s="490">
        <f>F23</f>
        <v>100</v>
      </c>
      <c r="T23" s="489" t="s">
        <v>1299</v>
      </c>
      <c r="U23" s="490">
        <f>H23</f>
        <v>100</v>
      </c>
      <c r="V23" s="489" t="s">
        <v>1299</v>
      </c>
      <c r="W23" s="490">
        <f>J23</f>
        <v>100</v>
      </c>
      <c r="X23" s="476"/>
      <c r="Y23" s="419"/>
      <c r="Z23" s="475" t="str">
        <f>Q23</f>
        <v>自然及人文环境</v>
      </c>
      <c r="AA23" s="495">
        <f t="shared" si="3"/>
        <v>1</v>
      </c>
      <c r="AB23" s="495">
        <f t="shared" si="4"/>
        <v>1</v>
      </c>
      <c r="AC23" s="495">
        <f t="shared" si="5"/>
        <v>1</v>
      </c>
    </row>
    <row r="24" ht="15" spans="1:29">
      <c r="A24" s="273"/>
      <c r="B24" s="293"/>
      <c r="C24" s="275"/>
      <c r="D24" s="276"/>
      <c r="E24" s="583"/>
      <c r="F24" s="277"/>
      <c r="G24" s="584"/>
      <c r="H24" s="276"/>
      <c r="I24" s="583"/>
      <c r="J24" s="276"/>
      <c r="K24" s="653"/>
      <c r="L24" s="415"/>
      <c r="M24" s="398"/>
      <c r="N24" s="398"/>
      <c r="O24" s="414"/>
      <c r="P24" s="419"/>
      <c r="Q24" s="407"/>
      <c r="R24" s="489"/>
      <c r="S24" s="490"/>
      <c r="T24" s="489"/>
      <c r="U24" s="490"/>
      <c r="V24" s="489"/>
      <c r="W24" s="490"/>
      <c r="X24" s="476"/>
      <c r="Y24" s="419"/>
      <c r="Z24" s="475"/>
      <c r="AA24" s="495">
        <v>1</v>
      </c>
      <c r="AB24" s="495">
        <v>1</v>
      </c>
      <c r="AC24" s="495">
        <v>1</v>
      </c>
    </row>
    <row r="25" ht="15" spans="1:29">
      <c r="A25" s="273"/>
      <c r="B25" s="591" t="s">
        <v>2354</v>
      </c>
      <c r="C25" s="312"/>
      <c r="D25" s="265">
        <v>100</v>
      </c>
      <c r="E25" s="637"/>
      <c r="F25" s="295">
        <f>SUMIF(86:86,E25,87:87)-SUMIF(86:86,C25,87:87)+100</f>
        <v>100</v>
      </c>
      <c r="G25" s="622"/>
      <c r="H25" s="265">
        <f>SUMIF(86:86,G25,87:87)-SUMIF(86:86,C25,87:87)+100</f>
        <v>100</v>
      </c>
      <c r="I25" s="637"/>
      <c r="J25" s="265">
        <f>SUMIF(86:86,I25,87:87)-SUMIF(86:86,C25,87:87)+100</f>
        <v>100</v>
      </c>
      <c r="K25" s="650"/>
      <c r="L25" s="415"/>
      <c r="M25" s="398"/>
      <c r="N25" s="398"/>
      <c r="O25" s="414"/>
      <c r="P25" s="419"/>
      <c r="Q25" s="407" t="str">
        <f t="shared" ref="Q25:Q46" si="11">B25</f>
        <v>楼层-1</v>
      </c>
      <c r="R25" s="489" t="s">
        <v>1299</v>
      </c>
      <c r="S25" s="490">
        <f>F25</f>
        <v>100</v>
      </c>
      <c r="T25" s="489" t="s">
        <v>1299</v>
      </c>
      <c r="U25" s="490">
        <f>H25</f>
        <v>100</v>
      </c>
      <c r="V25" s="489" t="s">
        <v>1299</v>
      </c>
      <c r="W25" s="490">
        <f>J25</f>
        <v>100</v>
      </c>
      <c r="X25" s="476"/>
      <c r="Y25" s="419"/>
      <c r="Z25" s="475" t="str">
        <f>Q25</f>
        <v>楼层-1</v>
      </c>
      <c r="AA25" s="495">
        <f t="shared" si="3"/>
        <v>1</v>
      </c>
      <c r="AB25" s="495">
        <f t="shared" si="4"/>
        <v>1</v>
      </c>
      <c r="AC25" s="495">
        <f t="shared" si="5"/>
        <v>1</v>
      </c>
    </row>
    <row r="26" ht="15" spans="1:29">
      <c r="A26" s="273"/>
      <c r="B26" s="307" t="s">
        <v>1568</v>
      </c>
      <c r="C26" s="312"/>
      <c r="D26" s="265">
        <v>100</v>
      </c>
      <c r="E26" s="637"/>
      <c r="F26" s="295">
        <f>SUMIF(88:88,E26,89:89)-SUMIF(88:88,C26,89:89)+100</f>
        <v>100</v>
      </c>
      <c r="G26" s="622"/>
      <c r="H26" s="265">
        <f>SUMIF(88:88,G26,89:89)-SUMIF(88:88,C26,89:89)+100</f>
        <v>100</v>
      </c>
      <c r="I26" s="637"/>
      <c r="J26" s="265">
        <f>SUMIF(88:88,I26,89:89)-SUMIF(88:88,C26,89:89)+100</f>
        <v>100</v>
      </c>
      <c r="K26" s="650"/>
      <c r="L26" s="415"/>
      <c r="M26" s="398"/>
      <c r="N26" s="398"/>
      <c r="O26" s="414"/>
      <c r="P26" s="419"/>
      <c r="Q26" s="407" t="str">
        <f t="shared" si="11"/>
        <v>朝向</v>
      </c>
      <c r="R26" s="489" t="s">
        <v>1299</v>
      </c>
      <c r="S26" s="490">
        <f>F26</f>
        <v>100</v>
      </c>
      <c r="T26" s="489" t="s">
        <v>1299</v>
      </c>
      <c r="U26" s="490">
        <f>H26</f>
        <v>100</v>
      </c>
      <c r="V26" s="489" t="s">
        <v>1299</v>
      </c>
      <c r="W26" s="490">
        <f>J26</f>
        <v>100</v>
      </c>
      <c r="X26" s="476"/>
      <c r="Y26" s="419"/>
      <c r="Z26" s="475" t="str">
        <f>Q26</f>
        <v>朝向</v>
      </c>
      <c r="AA26" s="495">
        <f t="shared" si="3"/>
        <v>1</v>
      </c>
      <c r="AB26" s="495">
        <f t="shared" si="4"/>
        <v>1</v>
      </c>
      <c r="AC26" s="495">
        <f t="shared" si="5"/>
        <v>1</v>
      </c>
    </row>
    <row r="27" s="196" customFormat="1" ht="15" spans="1:29">
      <c r="A27" s="297"/>
      <c r="B27" s="296" t="s">
        <v>2355</v>
      </c>
      <c r="C27" s="259"/>
      <c r="D27" s="587">
        <v>100</v>
      </c>
      <c r="E27" s="638"/>
      <c r="F27" s="588">
        <f>SUMIF(90:90,E27,91:91)-SUMIF(90:90,C27,91:91)+100</f>
        <v>100</v>
      </c>
      <c r="G27" s="639"/>
      <c r="H27" s="587">
        <f>SUMIF(90:90,G27,91:91)-SUMIF(90:90,C27,91:91)+100</f>
        <v>100</v>
      </c>
      <c r="I27" s="638"/>
      <c r="J27" s="587">
        <f>SUMIF(90:90,I27,91:91)-SUMIF(90:90,C27,91:91)+100</f>
        <v>100</v>
      </c>
      <c r="K27" s="651"/>
      <c r="L27" s="403"/>
      <c r="M27" s="404"/>
      <c r="N27" s="404"/>
      <c r="O27" s="406"/>
      <c r="P27" s="419"/>
      <c r="Q27" s="488" t="str">
        <f t="shared" si="11"/>
        <v>道路级别</v>
      </c>
      <c r="R27" s="484" t="s">
        <v>1299</v>
      </c>
      <c r="S27" s="485">
        <f>F27</f>
        <v>100</v>
      </c>
      <c r="T27" s="484" t="s">
        <v>1299</v>
      </c>
      <c r="U27" s="485">
        <f>H27</f>
        <v>100</v>
      </c>
      <c r="V27" s="484" t="s">
        <v>1299</v>
      </c>
      <c r="W27" s="485">
        <f>J27</f>
        <v>100</v>
      </c>
      <c r="X27" s="486"/>
      <c r="Y27" s="419"/>
      <c r="Z27" s="509" t="str">
        <f>Q27</f>
        <v>道路级别</v>
      </c>
      <c r="AA27" s="495">
        <f t="shared" si="3"/>
        <v>1</v>
      </c>
      <c r="AB27" s="495">
        <f t="shared" si="4"/>
        <v>1</v>
      </c>
      <c r="AC27" s="495">
        <f t="shared" si="5"/>
        <v>1</v>
      </c>
    </row>
    <row r="28" ht="15" spans="1:29">
      <c r="A28" s="273"/>
      <c r="B28" s="586">
        <v>111</v>
      </c>
      <c r="C28" s="264"/>
      <c r="D28" s="265">
        <v>100</v>
      </c>
      <c r="E28" s="264"/>
      <c r="F28" s="295">
        <f>SUMIF(92:92,E28,93:93)-SUMIF(92:92,C28,93:93)+100</f>
        <v>100</v>
      </c>
      <c r="G28" s="264"/>
      <c r="H28" s="265">
        <f>SUMIF(92:92,G28,93:93)-SUMIF(92:92,C28,93:93)+100</f>
        <v>100</v>
      </c>
      <c r="I28" s="264"/>
      <c r="J28" s="265">
        <f>SUMIF(92:92,I28,93:93)-SUMIF(92:92,C28,93:93)+100</f>
        <v>100</v>
      </c>
      <c r="K28" s="651"/>
      <c r="L28" s="415"/>
      <c r="M28" s="398"/>
      <c r="N28" s="398"/>
      <c r="O28" s="414"/>
      <c r="P28" s="419"/>
      <c r="Q28" s="407">
        <f t="shared" si="11"/>
        <v>111</v>
      </c>
      <c r="R28" s="489" t="s">
        <v>1299</v>
      </c>
      <c r="S28" s="490">
        <f t="shared" ref="S28:S46" si="12">F28</f>
        <v>100</v>
      </c>
      <c r="T28" s="489" t="s">
        <v>1299</v>
      </c>
      <c r="U28" s="490">
        <f t="shared" ref="U28:U46" si="13">H28</f>
        <v>100</v>
      </c>
      <c r="V28" s="489" t="s">
        <v>1299</v>
      </c>
      <c r="W28" s="490">
        <f t="shared" ref="W28:W46" si="14">J28</f>
        <v>100</v>
      </c>
      <c r="X28" s="476"/>
      <c r="Y28" s="419"/>
      <c r="Z28" s="475">
        <f t="shared" ref="Z28:Z46" si="15">Q28</f>
        <v>111</v>
      </c>
      <c r="AA28" s="495">
        <f t="shared" si="3"/>
        <v>1</v>
      </c>
      <c r="AB28" s="495">
        <f t="shared" si="4"/>
        <v>1</v>
      </c>
      <c r="AC28" s="495">
        <f t="shared" si="5"/>
        <v>1</v>
      </c>
    </row>
    <row r="29" ht="15" spans="1:29">
      <c r="A29" s="273"/>
      <c r="B29" s="586">
        <v>111</v>
      </c>
      <c r="C29" s="264"/>
      <c r="D29" s="265">
        <v>100</v>
      </c>
      <c r="E29" s="264"/>
      <c r="F29" s="295">
        <f>SUMIF(94:94,E29,95:95)-SUMIF(94:94,C29,95:95)+100</f>
        <v>100</v>
      </c>
      <c r="G29" s="264"/>
      <c r="H29" s="265">
        <f>SUMIF(94:94,G29,95:95)-SUMIF(94:94,C29,95:95)+100</f>
        <v>100</v>
      </c>
      <c r="I29" s="264"/>
      <c r="J29" s="265">
        <f>SUMIF(94:94,I29,95:95)-SUMIF(94:94,C29,95:95)+100</f>
        <v>100</v>
      </c>
      <c r="K29" s="651"/>
      <c r="L29" s="415"/>
      <c r="M29" s="398"/>
      <c r="N29" s="398"/>
      <c r="O29" s="414"/>
      <c r="P29" s="419"/>
      <c r="Q29" s="407">
        <f t="shared" si="11"/>
        <v>111</v>
      </c>
      <c r="R29" s="489" t="s">
        <v>1299</v>
      </c>
      <c r="S29" s="490">
        <f t="shared" si="12"/>
        <v>100</v>
      </c>
      <c r="T29" s="489" t="s">
        <v>1299</v>
      </c>
      <c r="U29" s="490">
        <f t="shared" si="13"/>
        <v>100</v>
      </c>
      <c r="V29" s="489" t="s">
        <v>1299</v>
      </c>
      <c r="W29" s="490">
        <f t="shared" si="14"/>
        <v>100</v>
      </c>
      <c r="X29" s="476"/>
      <c r="Y29" s="419"/>
      <c r="Z29" s="475">
        <f t="shared" si="15"/>
        <v>111</v>
      </c>
      <c r="AA29" s="495">
        <f t="shared" si="3"/>
        <v>1</v>
      </c>
      <c r="AB29" s="495">
        <f t="shared" si="4"/>
        <v>1</v>
      </c>
      <c r="AC29" s="495">
        <f t="shared" si="5"/>
        <v>1</v>
      </c>
    </row>
    <row r="30" ht="15" spans="1:29">
      <c r="A30" s="273"/>
      <c r="B30" s="586">
        <v>111</v>
      </c>
      <c r="C30" s="264"/>
      <c r="D30" s="265">
        <v>100</v>
      </c>
      <c r="E30" s="264"/>
      <c r="F30" s="295">
        <f>SUMIF(96:96,E30,97:97)-SUMIF(96:96,C30,97:97)+100</f>
        <v>100</v>
      </c>
      <c r="G30" s="264"/>
      <c r="H30" s="265">
        <f>SUMIF(96:96,G30,97:97)-SUMIF(96:96,C30,97:97)+100</f>
        <v>100</v>
      </c>
      <c r="I30" s="264"/>
      <c r="J30" s="265">
        <f>SUMIF(96:96,I30,97:97)-SUMIF(96:96,C30,97:97)+100</f>
        <v>100</v>
      </c>
      <c r="K30" s="651"/>
      <c r="L30" s="415"/>
      <c r="M30" s="398"/>
      <c r="N30" s="398"/>
      <c r="O30" s="414"/>
      <c r="P30" s="419"/>
      <c r="Q30" s="407">
        <f t="shared" si="11"/>
        <v>111</v>
      </c>
      <c r="R30" s="489" t="s">
        <v>1299</v>
      </c>
      <c r="S30" s="490">
        <f t="shared" si="12"/>
        <v>100</v>
      </c>
      <c r="T30" s="489" t="s">
        <v>1299</v>
      </c>
      <c r="U30" s="490">
        <f t="shared" si="13"/>
        <v>100</v>
      </c>
      <c r="V30" s="489" t="s">
        <v>1299</v>
      </c>
      <c r="W30" s="490">
        <f t="shared" si="14"/>
        <v>100</v>
      </c>
      <c r="X30" s="476"/>
      <c r="Y30" s="419"/>
      <c r="Z30" s="475">
        <f t="shared" si="15"/>
        <v>111</v>
      </c>
      <c r="AA30" s="495">
        <f t="shared" si="3"/>
        <v>1</v>
      </c>
      <c r="AB30" s="495">
        <f t="shared" si="4"/>
        <v>1</v>
      </c>
      <c r="AC30" s="495">
        <f t="shared" si="5"/>
        <v>1</v>
      </c>
    </row>
    <row r="31" ht="15.75" spans="1:29">
      <c r="A31" s="589"/>
      <c r="B31" s="586">
        <v>111</v>
      </c>
      <c r="C31" s="317"/>
      <c r="D31" s="318">
        <v>100</v>
      </c>
      <c r="E31" s="317"/>
      <c r="F31" s="320">
        <f>SUMIF(98:98,E31,99:99)-SUMIF(98:98,C31,99:99)+100</f>
        <v>100</v>
      </c>
      <c r="G31" s="317"/>
      <c r="H31" s="318">
        <f>SUMIF(98:98,G31,99:99)-SUMIF(98:98,C31,99:99)+100</f>
        <v>100</v>
      </c>
      <c r="I31" s="317"/>
      <c r="J31" s="318">
        <f>SUMIF(98:98,I31,99:99)-SUMIF(98:98,C31,99:99)+100</f>
        <v>100</v>
      </c>
      <c r="K31" s="651"/>
      <c r="L31" s="415"/>
      <c r="M31" s="398"/>
      <c r="N31" s="398"/>
      <c r="O31" s="414"/>
      <c r="P31" s="419"/>
      <c r="Q31" s="407">
        <f t="shared" si="11"/>
        <v>111</v>
      </c>
      <c r="R31" s="489" t="s">
        <v>1299</v>
      </c>
      <c r="S31" s="490">
        <f t="shared" si="12"/>
        <v>100</v>
      </c>
      <c r="T31" s="489" t="s">
        <v>1299</v>
      </c>
      <c r="U31" s="490">
        <f t="shared" si="13"/>
        <v>100</v>
      </c>
      <c r="V31" s="489" t="s">
        <v>1299</v>
      </c>
      <c r="W31" s="490">
        <f t="shared" si="14"/>
        <v>100</v>
      </c>
      <c r="X31" s="476"/>
      <c r="Y31" s="419"/>
      <c r="Z31" s="475">
        <f t="shared" si="15"/>
        <v>111</v>
      </c>
      <c r="AA31" s="495">
        <f t="shared" si="3"/>
        <v>1</v>
      </c>
      <c r="AB31" s="495">
        <f t="shared" si="4"/>
        <v>1</v>
      </c>
      <c r="AC31" s="495">
        <f t="shared" si="5"/>
        <v>1</v>
      </c>
    </row>
    <row r="32" ht="15" spans="1:29">
      <c r="A32" s="301" t="s">
        <v>1315</v>
      </c>
      <c r="B32" s="302" t="s">
        <v>1569</v>
      </c>
      <c r="C32" s="619"/>
      <c r="D32" s="304">
        <v>100</v>
      </c>
      <c r="E32" s="640"/>
      <c r="F32" s="295">
        <f>SUMIF(100:100,E32,101:101)-SUMIF(100:100,C32,101:101)+100</f>
        <v>100</v>
      </c>
      <c r="G32" s="619"/>
      <c r="H32" s="304">
        <f>SUMIF(100:100,G32,101:101)-SUMIF(100:100,C32,101:101)+100</f>
        <v>100</v>
      </c>
      <c r="I32" s="640"/>
      <c r="J32" s="265">
        <f>SUMIF(100:100,I32,101:101)-SUMIF(100:100,C32,101:101)+100</f>
        <v>100</v>
      </c>
      <c r="K32" s="650"/>
      <c r="L32" s="415"/>
      <c r="M32" s="398"/>
      <c r="N32" s="398"/>
      <c r="O32" s="414"/>
      <c r="P32" s="421" t="s">
        <v>1314</v>
      </c>
      <c r="Q32" s="407" t="str">
        <f t="shared" si="11"/>
        <v>建筑类型</v>
      </c>
      <c r="R32" s="489" t="s">
        <v>1299</v>
      </c>
      <c r="S32" s="490">
        <f t="shared" si="12"/>
        <v>100</v>
      </c>
      <c r="T32" s="489" t="s">
        <v>1299</v>
      </c>
      <c r="U32" s="490">
        <f t="shared" si="13"/>
        <v>100</v>
      </c>
      <c r="V32" s="489" t="s">
        <v>1299</v>
      </c>
      <c r="W32" s="490">
        <f t="shared" si="14"/>
        <v>100</v>
      </c>
      <c r="X32" s="476"/>
      <c r="Y32" s="424" t="s">
        <v>1314</v>
      </c>
      <c r="Z32" s="475" t="str">
        <f t="shared" si="15"/>
        <v>建筑类型</v>
      </c>
      <c r="AA32" s="495">
        <f t="shared" si="3"/>
        <v>1</v>
      </c>
      <c r="AB32" s="495">
        <f t="shared" si="4"/>
        <v>1</v>
      </c>
      <c r="AC32" s="495">
        <f t="shared" si="5"/>
        <v>1</v>
      </c>
    </row>
    <row r="33" s="198" customFormat="1" ht="15" spans="1:29">
      <c r="A33" s="306"/>
      <c r="B33" s="307" t="s">
        <v>1571</v>
      </c>
      <c r="C33" s="260"/>
      <c r="D33" s="255">
        <v>100</v>
      </c>
      <c r="E33" s="579"/>
      <c r="F33" s="590" t="e">
        <f>LOOKUP(E33,103:103,104:104)-LOOKUP(C33,103:103,104:104)+100</f>
        <v>#N/A</v>
      </c>
      <c r="G33" s="578"/>
      <c r="H33" s="255" t="e">
        <f>LOOKUP(G33,103:103,104:104)-LOOKUP(C33,103:103,104:104)+100</f>
        <v>#N/A</v>
      </c>
      <c r="I33" s="579"/>
      <c r="J33" s="255" t="e">
        <f>LOOKUP(I33,103:103,104:104)-LOOKUP(C33,103:103,104:104)+100</f>
        <v>#N/A</v>
      </c>
      <c r="K33" s="651"/>
      <c r="L33" s="413"/>
      <c r="M33" s="422"/>
      <c r="N33" s="422"/>
      <c r="O33" s="423"/>
      <c r="P33" s="424"/>
      <c r="Q33" s="491" t="str">
        <f t="shared" si="11"/>
        <v>项目建筑规模</v>
      </c>
      <c r="R33" s="492" t="s">
        <v>1299</v>
      </c>
      <c r="S33" s="493" t="e">
        <f t="shared" si="12"/>
        <v>#N/A</v>
      </c>
      <c r="T33" s="492" t="s">
        <v>1299</v>
      </c>
      <c r="U33" s="493" t="e">
        <f t="shared" si="13"/>
        <v>#N/A</v>
      </c>
      <c r="V33" s="492" t="s">
        <v>1299</v>
      </c>
      <c r="W33" s="493" t="e">
        <f t="shared" si="14"/>
        <v>#N/A</v>
      </c>
      <c r="X33" s="494"/>
      <c r="Y33" s="424"/>
      <c r="Z33" s="510" t="str">
        <f t="shared" si="15"/>
        <v>项目建筑规模</v>
      </c>
      <c r="AA33" s="495" t="e">
        <f t="shared" si="3"/>
        <v>#N/A</v>
      </c>
      <c r="AB33" s="495" t="e">
        <f t="shared" si="4"/>
        <v>#N/A</v>
      </c>
      <c r="AC33" s="495" t="e">
        <f t="shared" si="5"/>
        <v>#N/A</v>
      </c>
    </row>
    <row r="34" ht="15" spans="1:29">
      <c r="A34" s="311"/>
      <c r="B34" s="307" t="s">
        <v>1572</v>
      </c>
      <c r="C34" s="620"/>
      <c r="D34" s="265">
        <v>100</v>
      </c>
      <c r="E34" s="621"/>
      <c r="F34" s="295">
        <f>SUMIF(105:105,E34,106:106)-SUMIF(105:105,C34,106:106)+100</f>
        <v>100</v>
      </c>
      <c r="G34" s="620"/>
      <c r="H34" s="265">
        <f>SUMIF(105:105,G34,106:106)-SUMIF(105:105,C34,106:106)+100</f>
        <v>100</v>
      </c>
      <c r="I34" s="621"/>
      <c r="J34" s="265">
        <f>SUMIF(105:105,I34,106:106)-SUMIF(105:105,C34,106:106)+100</f>
        <v>100</v>
      </c>
      <c r="K34" s="650"/>
      <c r="L34" s="415"/>
      <c r="M34" s="398"/>
      <c r="N34" s="398"/>
      <c r="O34" s="414"/>
      <c r="P34" s="424"/>
      <c r="Q34" s="407" t="str">
        <f t="shared" si="11"/>
        <v>建筑结构</v>
      </c>
      <c r="R34" s="489" t="s">
        <v>1299</v>
      </c>
      <c r="S34" s="490">
        <f t="shared" si="12"/>
        <v>100</v>
      </c>
      <c r="T34" s="489" t="s">
        <v>1299</v>
      </c>
      <c r="U34" s="490">
        <f t="shared" si="13"/>
        <v>100</v>
      </c>
      <c r="V34" s="489" t="s">
        <v>1299</v>
      </c>
      <c r="W34" s="490">
        <f t="shared" si="14"/>
        <v>100</v>
      </c>
      <c r="X34" s="476"/>
      <c r="Y34" s="424"/>
      <c r="Z34" s="475" t="str">
        <f t="shared" si="15"/>
        <v>建筑结构</v>
      </c>
      <c r="AA34" s="495">
        <f t="shared" si="3"/>
        <v>1</v>
      </c>
      <c r="AB34" s="495">
        <f t="shared" si="4"/>
        <v>1</v>
      </c>
      <c r="AC34" s="495">
        <f t="shared" si="5"/>
        <v>1</v>
      </c>
    </row>
    <row r="35" ht="15" spans="1:29">
      <c r="A35" s="311"/>
      <c r="B35" s="307" t="s">
        <v>2356</v>
      </c>
      <c r="C35" s="622"/>
      <c r="D35" s="265">
        <v>100</v>
      </c>
      <c r="E35" s="637"/>
      <c r="F35" s="295">
        <f>SUMIF(107:107,E35,108:108)-SUMIF(107:107,C35,108:108)+100</f>
        <v>100</v>
      </c>
      <c r="G35" s="622"/>
      <c r="H35" s="265">
        <f>SUMIF(107:107,G35,108:108)-SUMIF(107:107,C35,108:108)+100</f>
        <v>100</v>
      </c>
      <c r="I35" s="637"/>
      <c r="J35" s="265">
        <f>SUMIF(107:107,I35,108:108)-SUMIF(107:107,C35,108:108)+100</f>
        <v>100</v>
      </c>
      <c r="K35" s="650"/>
      <c r="L35" s="415"/>
      <c r="M35" s="398"/>
      <c r="N35" s="398"/>
      <c r="O35" s="414"/>
      <c r="P35" s="424"/>
      <c r="Q35" s="407" t="str">
        <f t="shared" si="11"/>
        <v>建筑品质</v>
      </c>
      <c r="R35" s="489" t="s">
        <v>1299</v>
      </c>
      <c r="S35" s="490">
        <f t="shared" si="12"/>
        <v>100</v>
      </c>
      <c r="T35" s="489" t="s">
        <v>1299</v>
      </c>
      <c r="U35" s="490">
        <f t="shared" si="13"/>
        <v>100</v>
      </c>
      <c r="V35" s="489" t="s">
        <v>1299</v>
      </c>
      <c r="W35" s="490">
        <f t="shared" si="14"/>
        <v>100</v>
      </c>
      <c r="X35" s="476"/>
      <c r="Y35" s="424"/>
      <c r="Z35" s="475" t="str">
        <f t="shared" si="15"/>
        <v>建筑品质</v>
      </c>
      <c r="AA35" s="495">
        <f t="shared" si="3"/>
        <v>1</v>
      </c>
      <c r="AB35" s="495">
        <f t="shared" si="4"/>
        <v>1</v>
      </c>
      <c r="AC35" s="495">
        <f t="shared" si="5"/>
        <v>1</v>
      </c>
    </row>
    <row r="36" ht="15" spans="1:29">
      <c r="A36" s="311"/>
      <c r="B36" s="307" t="s">
        <v>1573</v>
      </c>
      <c r="C36" s="622"/>
      <c r="D36" s="265">
        <v>100</v>
      </c>
      <c r="E36" s="637"/>
      <c r="F36" s="295">
        <f>SUMIF(109:109,E36,110:110)-SUMIF(109:109,C36,110:110)+100</f>
        <v>100</v>
      </c>
      <c r="G36" s="622"/>
      <c r="H36" s="265">
        <f>SUMIF(109:109,G36,110:110)-SUMIF(109:109,C36,110:110)+100</f>
        <v>100</v>
      </c>
      <c r="I36" s="637"/>
      <c r="J36" s="265">
        <f>SUMIF(109:109,I36,110:110)-SUMIF(109:109,C36,110:110)+100</f>
        <v>100</v>
      </c>
      <c r="K36" s="650"/>
      <c r="L36" s="415"/>
      <c r="M36" s="398"/>
      <c r="N36" s="398"/>
      <c r="O36" s="414"/>
      <c r="P36" s="424"/>
      <c r="Q36" s="407" t="str">
        <f t="shared" si="11"/>
        <v>公共部分装修</v>
      </c>
      <c r="R36" s="489" t="s">
        <v>1299</v>
      </c>
      <c r="S36" s="490">
        <f t="shared" si="12"/>
        <v>100</v>
      </c>
      <c r="T36" s="489" t="s">
        <v>1299</v>
      </c>
      <c r="U36" s="490">
        <f t="shared" si="13"/>
        <v>100</v>
      </c>
      <c r="V36" s="489" t="s">
        <v>1299</v>
      </c>
      <c r="W36" s="490">
        <f t="shared" si="14"/>
        <v>100</v>
      </c>
      <c r="X36" s="476"/>
      <c r="Y36" s="424"/>
      <c r="Z36" s="475" t="str">
        <f t="shared" si="15"/>
        <v>公共部分装修</v>
      </c>
      <c r="AA36" s="495">
        <f t="shared" si="3"/>
        <v>1</v>
      </c>
      <c r="AB36" s="495">
        <f t="shared" si="4"/>
        <v>1</v>
      </c>
      <c r="AC36" s="495">
        <f t="shared" si="5"/>
        <v>1</v>
      </c>
    </row>
    <row r="37" s="196" customFormat="1" ht="15" spans="1:29">
      <c r="A37" s="314"/>
      <c r="B37" s="307" t="s">
        <v>1575</v>
      </c>
      <c r="C37" s="308"/>
      <c r="D37" s="255">
        <v>100</v>
      </c>
      <c r="E37" s="309"/>
      <c r="F37" s="590" t="e">
        <f>LOOKUP(E37,112:112,113:113)-LOOKUP(C37,112:112,113:113)+100</f>
        <v>#N/A</v>
      </c>
      <c r="G37" s="310"/>
      <c r="H37" s="255" t="e">
        <f>LOOKUP(G37,112:112,113:113)-LOOKUP(C37,112:112,113:113)+100</f>
        <v>#N/A</v>
      </c>
      <c r="I37" s="309"/>
      <c r="J37" s="255" t="e">
        <f>LOOKUP(I37,112:112,113:113)-LOOKUP(C37,112:112,113:113)+100</f>
        <v>#N/A</v>
      </c>
      <c r="K37" s="650"/>
      <c r="L37" s="403"/>
      <c r="M37" s="404"/>
      <c r="N37" s="404"/>
      <c r="O37" s="406"/>
      <c r="P37" s="424"/>
      <c r="Q37" s="488" t="str">
        <f t="shared" si="11"/>
        <v>成新度</v>
      </c>
      <c r="R37" s="484" t="s">
        <v>1299</v>
      </c>
      <c r="S37" s="485" t="e">
        <f t="shared" si="12"/>
        <v>#N/A</v>
      </c>
      <c r="T37" s="484" t="s">
        <v>1299</v>
      </c>
      <c r="U37" s="485" t="e">
        <f t="shared" si="13"/>
        <v>#N/A</v>
      </c>
      <c r="V37" s="484" t="s">
        <v>1299</v>
      </c>
      <c r="W37" s="485" t="e">
        <f t="shared" si="14"/>
        <v>#N/A</v>
      </c>
      <c r="X37" s="486"/>
      <c r="Y37" s="424"/>
      <c r="Z37" s="509" t="str">
        <f t="shared" si="15"/>
        <v>成新度</v>
      </c>
      <c r="AA37" s="508" t="e">
        <f t="shared" si="3"/>
        <v>#N/A</v>
      </c>
      <c r="AB37" s="508" t="e">
        <f t="shared" si="4"/>
        <v>#N/A</v>
      </c>
      <c r="AC37" s="508" t="e">
        <f t="shared" si="5"/>
        <v>#N/A</v>
      </c>
    </row>
    <row r="38" ht="15" spans="1:29">
      <c r="A38" s="311"/>
      <c r="B38" s="307" t="s">
        <v>1577</v>
      </c>
      <c r="C38" s="622"/>
      <c r="D38" s="265">
        <v>100</v>
      </c>
      <c r="E38" s="637"/>
      <c r="F38" s="295">
        <f>SUMIF(114:114,E38,115:115)-SUMIF(114:114,C38,115:115)+100</f>
        <v>100</v>
      </c>
      <c r="G38" s="622"/>
      <c r="H38" s="265">
        <f>SUMIF(114:114,G38,115:115)-SUMIF(114:114,C38,115:115)+100</f>
        <v>100</v>
      </c>
      <c r="I38" s="637"/>
      <c r="J38" s="265">
        <f>SUMIF(114:114,I38,115:115)-SUMIF(114:114,C38,115:115)+100</f>
        <v>100</v>
      </c>
      <c r="K38" s="650"/>
      <c r="L38" s="415"/>
      <c r="M38" s="398"/>
      <c r="N38" s="398"/>
      <c r="O38" s="414"/>
      <c r="P38" s="424" t="s">
        <v>1314</v>
      </c>
      <c r="Q38" s="407" t="str">
        <f t="shared" si="11"/>
        <v>物业管理</v>
      </c>
      <c r="R38" s="489" t="s">
        <v>1299</v>
      </c>
      <c r="S38" s="490">
        <f t="shared" si="12"/>
        <v>100</v>
      </c>
      <c r="T38" s="489" t="s">
        <v>1299</v>
      </c>
      <c r="U38" s="490">
        <f t="shared" si="13"/>
        <v>100</v>
      </c>
      <c r="V38" s="489" t="s">
        <v>1299</v>
      </c>
      <c r="W38" s="490">
        <f t="shared" si="14"/>
        <v>100</v>
      </c>
      <c r="X38" s="476"/>
      <c r="Y38" s="424" t="s">
        <v>1314</v>
      </c>
      <c r="Z38" s="475" t="str">
        <f t="shared" si="15"/>
        <v>物业管理</v>
      </c>
      <c r="AA38" s="495">
        <f t="shared" si="3"/>
        <v>1</v>
      </c>
      <c r="AB38" s="495">
        <f t="shared" si="4"/>
        <v>1</v>
      </c>
      <c r="AC38" s="495">
        <f t="shared" si="5"/>
        <v>1</v>
      </c>
    </row>
    <row r="39" ht="15" spans="1:29">
      <c r="A39" s="311"/>
      <c r="B39" s="591" t="s">
        <v>1578</v>
      </c>
      <c r="C39" s="622"/>
      <c r="D39" s="265">
        <v>100</v>
      </c>
      <c r="E39" s="637"/>
      <c r="F39" s="295">
        <f>SUMIF(116:116,E39,117:117)-SUMIF(116:116,C39,117:117)+100</f>
        <v>100</v>
      </c>
      <c r="G39" s="622"/>
      <c r="H39" s="265">
        <f>SUMIF(116:116,G39,117:117)-SUMIF(116:116,C39,117:117)+100</f>
        <v>100</v>
      </c>
      <c r="I39" s="637"/>
      <c r="J39" s="265">
        <f>SUMIF(116:116,I39,117:117)-SUMIF(116:116,C39,117:117)+100</f>
        <v>100</v>
      </c>
      <c r="K39" s="650"/>
      <c r="L39" s="415"/>
      <c r="M39" s="398"/>
      <c r="N39" s="398"/>
      <c r="O39" s="414"/>
      <c r="P39" s="424"/>
      <c r="Q39" s="407" t="str">
        <f t="shared" si="11"/>
        <v>市政基础设施</v>
      </c>
      <c r="R39" s="489" t="s">
        <v>1299</v>
      </c>
      <c r="S39" s="490">
        <f t="shared" si="12"/>
        <v>100</v>
      </c>
      <c r="T39" s="489" t="s">
        <v>1299</v>
      </c>
      <c r="U39" s="490">
        <f t="shared" si="13"/>
        <v>100</v>
      </c>
      <c r="V39" s="489" t="s">
        <v>1299</v>
      </c>
      <c r="W39" s="490">
        <f t="shared" si="14"/>
        <v>100</v>
      </c>
      <c r="X39" s="476"/>
      <c r="Y39" s="424"/>
      <c r="Z39" s="475" t="str">
        <f t="shared" si="15"/>
        <v>市政基础设施</v>
      </c>
      <c r="AA39" s="495">
        <f t="shared" si="3"/>
        <v>1</v>
      </c>
      <c r="AB39" s="495">
        <f t="shared" si="4"/>
        <v>1</v>
      </c>
      <c r="AC39" s="495">
        <f t="shared" si="5"/>
        <v>1</v>
      </c>
    </row>
    <row r="40" ht="15" spans="1:29">
      <c r="A40" s="311"/>
      <c r="B40" s="307" t="s">
        <v>2357</v>
      </c>
      <c r="C40" s="622"/>
      <c r="D40" s="265">
        <v>100</v>
      </c>
      <c r="E40" s="637"/>
      <c r="F40" s="295">
        <f>SUMIF(118:118,E40,119:119)-SUMIF(118:118,C40,119:119)+100</f>
        <v>100</v>
      </c>
      <c r="G40" s="622"/>
      <c r="H40" s="265">
        <f>SUMIF(118:118,G40,119:119)-SUMIF(118:118,C40,119:119)+100</f>
        <v>100</v>
      </c>
      <c r="I40" s="637"/>
      <c r="J40" s="265">
        <f>SUMIF(118:118,I40,119:119)-SUMIF(118:118,C40,119:119)+100</f>
        <v>100</v>
      </c>
      <c r="K40" s="650"/>
      <c r="L40" s="415"/>
      <c r="M40" s="398"/>
      <c r="N40" s="398"/>
      <c r="O40" s="414"/>
      <c r="P40" s="424"/>
      <c r="Q40" s="407" t="str">
        <f t="shared" si="11"/>
        <v>房型</v>
      </c>
      <c r="R40" s="489" t="s">
        <v>1299</v>
      </c>
      <c r="S40" s="490">
        <f t="shared" si="12"/>
        <v>100</v>
      </c>
      <c r="T40" s="489" t="s">
        <v>1299</v>
      </c>
      <c r="U40" s="490">
        <f t="shared" si="13"/>
        <v>100</v>
      </c>
      <c r="V40" s="489" t="s">
        <v>1299</v>
      </c>
      <c r="W40" s="490">
        <f t="shared" si="14"/>
        <v>100</v>
      </c>
      <c r="X40" s="476"/>
      <c r="Y40" s="424"/>
      <c r="Z40" s="475" t="str">
        <f t="shared" si="15"/>
        <v>房型</v>
      </c>
      <c r="AA40" s="495">
        <f t="shared" si="3"/>
        <v>1</v>
      </c>
      <c r="AB40" s="495">
        <f t="shared" si="4"/>
        <v>1</v>
      </c>
      <c r="AC40" s="495">
        <f t="shared" si="5"/>
        <v>1</v>
      </c>
    </row>
    <row r="41" s="198" customFormat="1" ht="27.75" spans="1:29">
      <c r="A41" s="306"/>
      <c r="B41" s="307" t="s">
        <v>2358</v>
      </c>
      <c r="C41" s="260"/>
      <c r="D41" s="255">
        <v>100</v>
      </c>
      <c r="E41" s="579"/>
      <c r="F41" s="590">
        <f>SUMIF(120:120,E41,121:121)-SUMIF(120:120,C41,121:121)+100</f>
        <v>100</v>
      </c>
      <c r="G41" s="578"/>
      <c r="H41" s="255">
        <f>SUMIF(120:120,G41,121:121)-SUMIF(120:120,C41,121:121)+100</f>
        <v>100</v>
      </c>
      <c r="I41" s="655"/>
      <c r="J41" s="265">
        <f>SUMIF(120:120,I41,121:121)-SUMIF(120:120,C41,121:121)+100</f>
        <v>100</v>
      </c>
      <c r="K41" s="651"/>
      <c r="L41" s="413"/>
      <c r="M41" s="422"/>
      <c r="N41" s="422"/>
      <c r="O41" s="423"/>
      <c r="P41" s="424"/>
      <c r="Q41" s="491" t="str">
        <f t="shared" si="11"/>
        <v>单套/主力户型建筑面积</v>
      </c>
      <c r="R41" s="492" t="s">
        <v>1299</v>
      </c>
      <c r="S41" s="493">
        <f t="shared" si="12"/>
        <v>100</v>
      </c>
      <c r="T41" s="492" t="s">
        <v>1299</v>
      </c>
      <c r="U41" s="493">
        <f t="shared" si="13"/>
        <v>100</v>
      </c>
      <c r="V41" s="492" t="s">
        <v>1299</v>
      </c>
      <c r="W41" s="493">
        <f t="shared" si="14"/>
        <v>100</v>
      </c>
      <c r="X41" s="494"/>
      <c r="Y41" s="424"/>
      <c r="Z41" s="510" t="str">
        <f t="shared" si="15"/>
        <v>单套/主力户型建筑面积</v>
      </c>
      <c r="AA41" s="495">
        <f t="shared" si="3"/>
        <v>1</v>
      </c>
      <c r="AB41" s="495">
        <f t="shared" si="4"/>
        <v>1</v>
      </c>
      <c r="AC41" s="495">
        <f t="shared" si="5"/>
        <v>1</v>
      </c>
    </row>
    <row r="42" ht="15" spans="1:29">
      <c r="A42" s="311"/>
      <c r="B42" s="307" t="s">
        <v>1581</v>
      </c>
      <c r="C42" s="622"/>
      <c r="D42" s="265">
        <v>100</v>
      </c>
      <c r="E42" s="637"/>
      <c r="F42" s="295">
        <f>SUMIF(122:122,E42,123:123)-SUMIF(122:122,C42,123:123)+100</f>
        <v>100</v>
      </c>
      <c r="G42" s="622"/>
      <c r="H42" s="265">
        <f>SUMIF(122:122,G42,123:123)-SUMIF(122:122,C42,123:123)+100</f>
        <v>100</v>
      </c>
      <c r="I42" s="637"/>
      <c r="J42" s="265">
        <f>SUMIF(122:122,I42,123:123)-SUMIF(122:122,C42,123:123)+100</f>
        <v>100</v>
      </c>
      <c r="K42" s="650"/>
      <c r="L42" s="415"/>
      <c r="M42" s="398"/>
      <c r="N42" s="398"/>
      <c r="O42" s="414"/>
      <c r="P42" s="424"/>
      <c r="Q42" s="407" t="str">
        <f t="shared" si="11"/>
        <v>内部装修</v>
      </c>
      <c r="R42" s="489" t="s">
        <v>1299</v>
      </c>
      <c r="S42" s="490">
        <f t="shared" si="12"/>
        <v>100</v>
      </c>
      <c r="T42" s="489" t="s">
        <v>1299</v>
      </c>
      <c r="U42" s="490">
        <f t="shared" si="13"/>
        <v>100</v>
      </c>
      <c r="V42" s="489" t="s">
        <v>1299</v>
      </c>
      <c r="W42" s="490">
        <f t="shared" si="14"/>
        <v>100</v>
      </c>
      <c r="X42" s="476"/>
      <c r="Y42" s="424"/>
      <c r="Z42" s="475" t="str">
        <f t="shared" si="15"/>
        <v>内部装修</v>
      </c>
      <c r="AA42" s="495">
        <f t="shared" si="3"/>
        <v>1</v>
      </c>
      <c r="AB42" s="495">
        <f t="shared" si="4"/>
        <v>1</v>
      </c>
      <c r="AC42" s="495">
        <f t="shared" si="5"/>
        <v>1</v>
      </c>
    </row>
    <row r="43" ht="15" spans="1:29">
      <c r="A43" s="311"/>
      <c r="B43" s="307" t="s">
        <v>235</v>
      </c>
      <c r="C43" s="622"/>
      <c r="D43" s="265">
        <v>100</v>
      </c>
      <c r="E43" s="637"/>
      <c r="F43" s="295">
        <f>SUMIF(124:124,E43,125:125)-SUMIF(124:124,C43,125:125)+100</f>
        <v>100</v>
      </c>
      <c r="G43" s="622"/>
      <c r="H43" s="265">
        <f>SUMIF(124:124,G43,125:125)-SUMIF(124:124,C43,125:125)+100</f>
        <v>100</v>
      </c>
      <c r="I43" s="637"/>
      <c r="J43" s="265">
        <f>SUMIF(124:124,I43,125:125)-SUMIF(124:124,C43,125:125)+100</f>
        <v>100</v>
      </c>
      <c r="K43" s="650"/>
      <c r="L43" s="415"/>
      <c r="M43" s="398"/>
      <c r="N43" s="398"/>
      <c r="O43" s="414"/>
      <c r="P43" s="424"/>
      <c r="Q43" s="407" t="str">
        <f t="shared" si="11"/>
        <v>内部装修维护情况</v>
      </c>
      <c r="R43" s="489" t="s">
        <v>1299</v>
      </c>
      <c r="S43" s="490">
        <f t="shared" si="12"/>
        <v>100</v>
      </c>
      <c r="T43" s="489" t="s">
        <v>1299</v>
      </c>
      <c r="U43" s="490">
        <f t="shared" si="13"/>
        <v>100</v>
      </c>
      <c r="V43" s="489" t="s">
        <v>1299</v>
      </c>
      <c r="W43" s="490">
        <f t="shared" si="14"/>
        <v>100</v>
      </c>
      <c r="X43" s="476"/>
      <c r="Y43" s="424"/>
      <c r="Z43" s="475" t="str">
        <f t="shared" si="15"/>
        <v>内部装修维护情况</v>
      </c>
      <c r="AA43" s="495">
        <f t="shared" si="3"/>
        <v>1</v>
      </c>
      <c r="AB43" s="495">
        <f t="shared" si="4"/>
        <v>1</v>
      </c>
      <c r="AC43" s="495">
        <f t="shared" si="5"/>
        <v>1</v>
      </c>
    </row>
    <row r="44" s="196" customFormat="1" ht="15" spans="1:29">
      <c r="A44" s="314"/>
      <c r="B44" s="586">
        <v>111</v>
      </c>
      <c r="C44" s="260"/>
      <c r="D44" s="255">
        <v>100</v>
      </c>
      <c r="E44" s="260"/>
      <c r="F44" s="590">
        <f>SUMIF(126:126,E44,127:127)-SUMIF(126:126,C44,127:127)+100</f>
        <v>100</v>
      </c>
      <c r="G44" s="260"/>
      <c r="H44" s="255">
        <f>SUMIF(126:126,G44,127:127)-SUMIF(126:126,C44,127:127)+100</f>
        <v>100</v>
      </c>
      <c r="I44" s="260"/>
      <c r="J44" s="255">
        <f>SUMIF(126:126,I44,127:127)-SUMIF(126:126,C44,127:127)+100</f>
        <v>100</v>
      </c>
      <c r="K44" s="651"/>
      <c r="L44" s="403"/>
      <c r="M44" s="404"/>
      <c r="N44" s="404"/>
      <c r="O44" s="406"/>
      <c r="P44" s="424"/>
      <c r="Q44" s="488">
        <f t="shared" si="11"/>
        <v>111</v>
      </c>
      <c r="R44" s="484" t="s">
        <v>1299</v>
      </c>
      <c r="S44" s="485">
        <f t="shared" si="12"/>
        <v>100</v>
      </c>
      <c r="T44" s="484" t="s">
        <v>1299</v>
      </c>
      <c r="U44" s="485">
        <f t="shared" si="13"/>
        <v>100</v>
      </c>
      <c r="V44" s="484" t="s">
        <v>1299</v>
      </c>
      <c r="W44" s="485">
        <f t="shared" si="14"/>
        <v>100</v>
      </c>
      <c r="X44" s="486"/>
      <c r="Y44" s="424"/>
      <c r="Z44" s="509">
        <f t="shared" si="15"/>
        <v>111</v>
      </c>
      <c r="AA44" s="508">
        <f t="shared" si="3"/>
        <v>1</v>
      </c>
      <c r="AB44" s="508">
        <f t="shared" si="4"/>
        <v>1</v>
      </c>
      <c r="AC44" s="508">
        <f t="shared" si="5"/>
        <v>1</v>
      </c>
    </row>
    <row r="45" ht="15" spans="1:29">
      <c r="A45" s="311"/>
      <c r="B45" s="586">
        <v>111</v>
      </c>
      <c r="C45" s="264"/>
      <c r="D45" s="265">
        <v>100</v>
      </c>
      <c r="E45" s="264"/>
      <c r="F45" s="295">
        <f>SUMIF(128:128,E45,129:129)-SUMIF(128:128,C45,129:129)+100</f>
        <v>100</v>
      </c>
      <c r="G45" s="264"/>
      <c r="H45" s="265">
        <f>SUMIF(128:128,G45,129:129)-SUMIF(128:128,C45,129:129)+100</f>
        <v>100</v>
      </c>
      <c r="I45" s="264"/>
      <c r="J45" s="265">
        <f>SUMIF(128:128,I45,129:129)-SUMIF(128:128,C45,129:129)+100</f>
        <v>100</v>
      </c>
      <c r="K45" s="651"/>
      <c r="L45" s="415"/>
      <c r="M45" s="398"/>
      <c r="N45" s="398"/>
      <c r="O45" s="414"/>
      <c r="P45" s="424"/>
      <c r="Q45" s="407">
        <f t="shared" si="11"/>
        <v>111</v>
      </c>
      <c r="R45" s="489" t="s">
        <v>1299</v>
      </c>
      <c r="S45" s="490">
        <f t="shared" si="12"/>
        <v>100</v>
      </c>
      <c r="T45" s="489" t="s">
        <v>1299</v>
      </c>
      <c r="U45" s="490">
        <f t="shared" si="13"/>
        <v>100</v>
      </c>
      <c r="V45" s="489" t="s">
        <v>1299</v>
      </c>
      <c r="W45" s="490">
        <f t="shared" si="14"/>
        <v>100</v>
      </c>
      <c r="X45" s="476"/>
      <c r="Y45" s="424"/>
      <c r="Z45" s="475">
        <f t="shared" si="15"/>
        <v>111</v>
      </c>
      <c r="AA45" s="495">
        <f t="shared" si="3"/>
        <v>1</v>
      </c>
      <c r="AB45" s="495">
        <f t="shared" si="4"/>
        <v>1</v>
      </c>
      <c r="AC45" s="495">
        <f t="shared" si="5"/>
        <v>1</v>
      </c>
    </row>
    <row r="46" ht="15.75" spans="1:29">
      <c r="A46" s="315"/>
      <c r="B46" s="316">
        <v>111</v>
      </c>
      <c r="C46" s="317"/>
      <c r="D46" s="318">
        <v>100</v>
      </c>
      <c r="E46" s="317"/>
      <c r="F46" s="320">
        <f>SUMIF(130:130,E46,131:131)-SUMIF(130:130,C46,131:131)+100</f>
        <v>100</v>
      </c>
      <c r="G46" s="317"/>
      <c r="H46" s="318">
        <f>SUMIF(130:130,G46,131:131)-SUMIF(130:130,C46,131:131)+100</f>
        <v>100</v>
      </c>
      <c r="I46" s="317"/>
      <c r="J46" s="318">
        <f>SUMIF(130:130,I46,131:131)-SUMIF(130:130,C46,131:131)+100</f>
        <v>100</v>
      </c>
      <c r="K46" s="651"/>
      <c r="L46" s="415"/>
      <c r="M46" s="398"/>
      <c r="N46" s="398"/>
      <c r="O46" s="414"/>
      <c r="P46" s="594"/>
      <c r="Q46" s="407">
        <f t="shared" si="11"/>
        <v>111</v>
      </c>
      <c r="R46" s="489" t="s">
        <v>1299</v>
      </c>
      <c r="S46" s="490">
        <f t="shared" si="12"/>
        <v>100</v>
      </c>
      <c r="T46" s="489" t="s">
        <v>1299</v>
      </c>
      <c r="U46" s="490">
        <f t="shared" si="13"/>
        <v>100</v>
      </c>
      <c r="V46" s="489" t="s">
        <v>1299</v>
      </c>
      <c r="W46" s="490">
        <f t="shared" si="14"/>
        <v>100</v>
      </c>
      <c r="X46" s="476"/>
      <c r="Y46" s="594"/>
      <c r="Z46" s="475">
        <f t="shared" si="15"/>
        <v>111</v>
      </c>
      <c r="AA46" s="495">
        <f t="shared" si="3"/>
        <v>1</v>
      </c>
      <c r="AB46" s="495">
        <f t="shared" si="4"/>
        <v>1</v>
      </c>
      <c r="AC46" s="495">
        <f t="shared" si="5"/>
        <v>1</v>
      </c>
    </row>
    <row r="47" ht="15" spans="1:29">
      <c r="A47" s="321" t="s">
        <v>1584</v>
      </c>
      <c r="B47" s="322"/>
      <c r="C47" s="323" t="s">
        <v>138</v>
      </c>
      <c r="D47" s="324"/>
      <c r="E47" s="325"/>
      <c r="F47" s="326"/>
      <c r="G47" s="327"/>
      <c r="H47" s="328"/>
      <c r="I47" s="325"/>
      <c r="J47" s="328"/>
      <c r="K47" s="656"/>
      <c r="L47" s="426"/>
      <c r="M47" s="349"/>
      <c r="N47" s="398"/>
      <c r="O47" s="349"/>
      <c r="P47" s="407" t="str">
        <f>A47</f>
        <v>成交单价（元/平方米）</v>
      </c>
      <c r="Q47" s="407"/>
      <c r="R47" s="495">
        <f>E47</f>
        <v>0</v>
      </c>
      <c r="S47" s="495"/>
      <c r="T47" s="495">
        <f>G47</f>
        <v>0</v>
      </c>
      <c r="U47" s="495"/>
      <c r="V47" s="495">
        <f>I47</f>
        <v>0</v>
      </c>
      <c r="W47" s="495"/>
      <c r="X47" s="351"/>
      <c r="Y47" s="511"/>
      <c r="Z47" s="351"/>
      <c r="AA47" s="351"/>
      <c r="AB47" s="351"/>
      <c r="AC47" s="351"/>
    </row>
    <row r="48" ht="15.75" spans="1:29">
      <c r="A48" s="329" t="s">
        <v>1323</v>
      </c>
      <c r="B48" s="330"/>
      <c r="C48" s="331" t="e">
        <f>R49</f>
        <v>#DIV/0!</v>
      </c>
      <c r="D48" s="332" t="s">
        <v>1324</v>
      </c>
      <c r="E48" s="333" t="e">
        <f>R48</f>
        <v>#DIV/0!</v>
      </c>
      <c r="F48" s="334"/>
      <c r="G48" s="331" t="e">
        <f>T48</f>
        <v>#DIV/0!</v>
      </c>
      <c r="H48" s="334"/>
      <c r="I48" s="333" t="e">
        <f>V48</f>
        <v>#DIV/0!</v>
      </c>
      <c r="J48" s="334"/>
      <c r="K48" s="427">
        <f>F48+H48+J48</f>
        <v>0</v>
      </c>
      <c r="L48" s="426"/>
      <c r="M48" s="349"/>
      <c r="N48" s="349"/>
      <c r="O48" s="349"/>
      <c r="P48" s="407" t="str">
        <f>A48</f>
        <v>比较价格（元/平方米）</v>
      </c>
      <c r="Q48" s="407"/>
      <c r="R48" s="495" t="e">
        <f>IF(F1="售价",ROUND(PRODUCT(R47,AA7:AA46),0),ROUND(PRODUCT(R47,AA7:AA46),1))</f>
        <v>#DIV/0!</v>
      </c>
      <c r="S48" s="495"/>
      <c r="T48" s="495" t="e">
        <f>IF(F1="售价",ROUND(PRODUCT(T47,AB7:AB46),0),ROUND(PRODUCT(T47,AB7:AB46),1))</f>
        <v>#DIV/0!</v>
      </c>
      <c r="U48" s="495"/>
      <c r="V48" s="495" t="e">
        <f>IF(F1="售价",ROUND(PRODUCT(V47,AC7:AC46),0),ROUND(PRODUCT(V47,AC7:AC46),1))</f>
        <v>#DIV/0!</v>
      </c>
      <c r="W48" s="495"/>
      <c r="X48" s="351"/>
      <c r="Y48" s="351"/>
      <c r="Z48" s="351"/>
      <c r="AA48" s="351"/>
      <c r="AB48" s="351"/>
      <c r="AC48" s="351"/>
    </row>
    <row r="49" ht="15.75" spans="1:29">
      <c r="A49" s="335" t="s">
        <v>1325</v>
      </c>
      <c r="B49" s="336"/>
      <c r="C49" s="337" t="e">
        <f>R49</f>
        <v>#DIV/0!</v>
      </c>
      <c r="D49" s="337"/>
      <c r="E49" s="337"/>
      <c r="F49" s="337"/>
      <c r="G49" s="337"/>
      <c r="H49" s="337"/>
      <c r="I49" s="337"/>
      <c r="J49" s="337"/>
      <c r="K49" s="657"/>
      <c r="L49" s="426"/>
      <c r="M49" s="349"/>
      <c r="N49" s="349"/>
      <c r="O49" s="349"/>
      <c r="P49" s="429" t="str">
        <f>A49</f>
        <v>估价对象XX用房的比较价格（楼面单价，元/平方米）</v>
      </c>
      <c r="Q49" s="496"/>
      <c r="R49" s="497" t="e">
        <f>IF(F1="售价",ROUND(IF(D48="简单平均",AVERAGE(R48:V48),R48*F48+T48*H48+V48*J48),0),ROUND(IF(D48="简单平均",AVERAGE(R48:V48),R48*F48+T48*H48+V48*J48),1))</f>
        <v>#DIV/0!</v>
      </c>
      <c r="S49" s="497"/>
      <c r="T49" s="497"/>
      <c r="U49" s="497"/>
      <c r="V49" s="497"/>
      <c r="W49" s="497"/>
      <c r="X49" s="351"/>
      <c r="Y49" s="351"/>
      <c r="Z49" s="351"/>
      <c r="AA49" s="351"/>
      <c r="AB49" s="351"/>
      <c r="AC49" s="351"/>
    </row>
    <row r="50" spans="1:29">
      <c r="A50" s="338"/>
      <c r="B50" s="338"/>
      <c r="C50" s="338"/>
      <c r="D50" s="338"/>
      <c r="E50" s="338"/>
      <c r="F50" s="338"/>
      <c r="G50" s="339"/>
      <c r="H50" s="338"/>
      <c r="I50" s="338"/>
      <c r="J50" s="338"/>
      <c r="K50" s="430"/>
      <c r="L50" s="431"/>
      <c r="M50" s="349"/>
      <c r="N50" s="349"/>
      <c r="O50" s="349"/>
      <c r="P50" s="349"/>
      <c r="Q50" s="349"/>
      <c r="R50" s="349"/>
      <c r="S50" s="349"/>
      <c r="T50" s="349"/>
      <c r="U50" s="349"/>
      <c r="V50" s="349"/>
      <c r="W50" s="349"/>
      <c r="X50" s="349"/>
      <c r="Y50" s="349"/>
      <c r="Z50" s="349"/>
      <c r="AA50" s="349"/>
      <c r="AB50" s="349"/>
      <c r="AC50" s="349"/>
    </row>
    <row r="51" spans="1:29">
      <c r="A51" s="338"/>
      <c r="B51" s="338"/>
      <c r="C51" s="338"/>
      <c r="D51" s="338"/>
      <c r="E51" s="338"/>
      <c r="F51" s="338"/>
      <c r="G51" s="338"/>
      <c r="H51" s="338"/>
      <c r="I51" s="338"/>
      <c r="J51" s="338"/>
      <c r="K51" s="430"/>
      <c r="L51" s="431"/>
      <c r="M51" s="349"/>
      <c r="N51" s="349"/>
      <c r="O51" s="349"/>
      <c r="P51" s="349"/>
      <c r="Q51" s="349"/>
      <c r="R51" s="349"/>
      <c r="S51" s="349"/>
      <c r="T51" s="349"/>
      <c r="U51" s="349"/>
      <c r="V51" s="349"/>
      <c r="W51" s="349"/>
      <c r="X51" s="349"/>
      <c r="Y51" s="349"/>
      <c r="Z51" s="349"/>
      <c r="AA51" s="349"/>
      <c r="AB51" s="349"/>
      <c r="AC51" s="349"/>
    </row>
    <row r="52" ht="13.5" customHeight="1" spans="1:29">
      <c r="A52" s="338"/>
      <c r="B52" s="338"/>
      <c r="C52" s="340" t="s">
        <v>1326</v>
      </c>
      <c r="D52" s="341"/>
      <c r="E52" s="342" t="e">
        <f>IF(E47&lt;E48,E48/E47-1,E47/E48-1)</f>
        <v>#DIV/0!</v>
      </c>
      <c r="F52" s="343" t="e">
        <f>IF(OR(E52&gt;=0.3,E52&lt;=-0.3),"超过30%","")</f>
        <v>#DIV/0!</v>
      </c>
      <c r="G52" s="342" t="e">
        <f>IF(G47&lt;G48,G48/G47-1,G47/G48-1)</f>
        <v>#DIV/0!</v>
      </c>
      <c r="H52" s="343" t="e">
        <f>IF(OR(G52&gt;=0.3,G52&lt;=-0.3),"超过30%","")</f>
        <v>#DIV/0!</v>
      </c>
      <c r="I52" s="342" t="e">
        <f>IF(I47&lt;I48,I48/I47-1,I47/I48-1)</f>
        <v>#DIV/0!</v>
      </c>
      <c r="J52" s="343" t="e">
        <f>IF(OR(I52&gt;=0.3,I52&lt;=-0.3),"超过30%","")</f>
        <v>#DIV/0!</v>
      </c>
      <c r="K52" s="430"/>
      <c r="L52" s="431"/>
      <c r="M52" s="349"/>
      <c r="N52" s="349"/>
      <c r="O52" s="349"/>
      <c r="P52" s="349"/>
      <c r="Q52" s="349"/>
      <c r="R52" s="349"/>
      <c r="S52" s="349"/>
      <c r="T52" s="349"/>
      <c r="U52" s="349"/>
      <c r="V52" s="349"/>
      <c r="W52" s="349"/>
      <c r="X52" s="349"/>
      <c r="Y52" s="349"/>
      <c r="Z52" s="349"/>
      <c r="AA52" s="349"/>
      <c r="AB52" s="349"/>
      <c r="AC52" s="349"/>
    </row>
    <row r="53" ht="13.5" customHeight="1" spans="1:29">
      <c r="A53" s="338"/>
      <c r="B53" s="338"/>
      <c r="C53" s="340" t="s">
        <v>1327</v>
      </c>
      <c r="D53" s="344"/>
      <c r="E53" s="342" t="e">
        <f>IF(E48&lt;G48,G48/E48-1,E48/G48-1)</f>
        <v>#DIV/0!</v>
      </c>
      <c r="F53" s="343" t="e">
        <f>IF(OR(E53&gt;=0.2,E53&lt;=-0.2),"超过20%","")</f>
        <v>#DIV/0!</v>
      </c>
      <c r="G53" s="342" t="e">
        <f>IF(G48&lt;I48,I48/G48-1,G48/I48-1)</f>
        <v>#DIV/0!</v>
      </c>
      <c r="H53" s="343" t="e">
        <f>IF(OR(G53&gt;=0.2,G53&lt;=-0.2),"超过20%","")</f>
        <v>#DIV/0!</v>
      </c>
      <c r="I53" s="342" t="e">
        <f>IF(I48&lt;E48,E48/I48-1,I48/E48-1)</f>
        <v>#DIV/0!</v>
      </c>
      <c r="J53" s="343" t="e">
        <f>IF(OR(I53&gt;=0.2,I53&lt;=-0.2),"超过20%","")</f>
        <v>#DIV/0!</v>
      </c>
      <c r="K53" s="430"/>
      <c r="L53" s="431"/>
      <c r="M53" s="349"/>
      <c r="N53" s="349"/>
      <c r="O53" s="349"/>
      <c r="P53" s="349"/>
      <c r="Q53" s="349"/>
      <c r="R53" s="349"/>
      <c r="S53" s="349"/>
      <c r="T53" s="349"/>
      <c r="U53" s="349"/>
      <c r="V53" s="349"/>
      <c r="W53" s="349"/>
      <c r="X53" s="349"/>
      <c r="Y53" s="349"/>
      <c r="Z53" s="349"/>
      <c r="AA53" s="349"/>
      <c r="AB53" s="349"/>
      <c r="AC53" s="349"/>
    </row>
    <row r="54" s="199" customFormat="1" ht="13.5" customHeight="1" spans="1:29">
      <c r="A54" s="345"/>
      <c r="B54" s="345"/>
      <c r="C54" s="340" t="s">
        <v>1328</v>
      </c>
      <c r="D54" s="344"/>
      <c r="E54" s="342" t="e">
        <f>IF(E47&lt;G47,G47/E47-1,E47/G47-1)</f>
        <v>#DIV/0!</v>
      </c>
      <c r="F54" s="343" t="e">
        <f>IF(OR(E54&gt;=0.3,E54&lt;=-0.3),"超过30%","")</f>
        <v>#DIV/0!</v>
      </c>
      <c r="G54" s="342" t="e">
        <f>IF(G47&lt;I47,I47/G47-1,G47/I47-1)</f>
        <v>#DIV/0!</v>
      </c>
      <c r="H54" s="343" t="e">
        <f>IF(OR(G54&gt;=0.3,G54&lt;=-0.3),"超过30%","")</f>
        <v>#DIV/0!</v>
      </c>
      <c r="I54" s="342" t="e">
        <f>IF(I47&lt;E47,E47/I47-1,I47/E47-1)</f>
        <v>#DIV/0!</v>
      </c>
      <c r="J54" s="343" t="e">
        <f>IF(OR(I54&gt;=0.3,I54&lt;=-0.3),"超过30%","")</f>
        <v>#DIV/0!</v>
      </c>
      <c r="K54" s="432"/>
      <c r="L54" s="433"/>
      <c r="M54" s="346"/>
      <c r="N54" s="346"/>
      <c r="O54" s="346"/>
      <c r="P54" s="346"/>
      <c r="Q54" s="346"/>
      <c r="R54" s="346"/>
      <c r="S54" s="346"/>
      <c r="T54" s="346"/>
      <c r="U54" s="346"/>
      <c r="V54" s="346"/>
      <c r="W54" s="346"/>
      <c r="X54" s="346"/>
      <c r="Y54" s="346"/>
      <c r="Z54" s="346"/>
      <c r="AA54" s="346"/>
      <c r="AB54" s="346"/>
      <c r="AC54" s="346"/>
    </row>
    <row r="55" s="199" customFormat="1" spans="1:29">
      <c r="A55" s="346"/>
      <c r="B55" s="347"/>
      <c r="C55" s="348"/>
      <c r="D55" s="346"/>
      <c r="E55" s="346"/>
      <c r="F55" s="346"/>
      <c r="G55" s="346"/>
      <c r="H55" s="346"/>
      <c r="I55" s="346"/>
      <c r="J55" s="346"/>
      <c r="K55" s="434"/>
      <c r="L55" s="433"/>
      <c r="M55" s="346"/>
      <c r="N55" s="346"/>
      <c r="O55" s="346"/>
      <c r="P55" s="346"/>
      <c r="Q55" s="346"/>
      <c r="R55" s="346"/>
      <c r="S55" s="346"/>
      <c r="T55" s="346"/>
      <c r="U55" s="346"/>
      <c r="V55" s="346"/>
      <c r="W55" s="346"/>
      <c r="X55" s="346"/>
      <c r="Y55" s="346"/>
      <c r="Z55" s="346"/>
      <c r="AA55" s="346"/>
      <c r="AB55" s="346"/>
      <c r="AC55" s="346"/>
    </row>
    <row r="56" spans="1:29">
      <c r="A56" s="349"/>
      <c r="B56" s="347"/>
      <c r="C56" s="348"/>
      <c r="D56" s="347"/>
      <c r="E56" s="347"/>
      <c r="F56" s="347"/>
      <c r="G56" s="347"/>
      <c r="H56" s="347"/>
      <c r="I56" s="347"/>
      <c r="J56" s="347"/>
      <c r="K56" s="347"/>
      <c r="L56" s="347"/>
      <c r="M56" s="347"/>
      <c r="N56" s="347"/>
      <c r="O56" s="347"/>
      <c r="P56" s="349"/>
      <c r="Q56" s="349"/>
      <c r="R56" s="349"/>
      <c r="S56" s="349"/>
      <c r="T56" s="349"/>
      <c r="U56" s="349"/>
      <c r="V56" s="349"/>
      <c r="W56" s="349"/>
      <c r="X56" s="349"/>
      <c r="Y56" s="349"/>
      <c r="Z56" s="349"/>
      <c r="AA56" s="349"/>
      <c r="AB56" s="349"/>
      <c r="AC56" s="349"/>
    </row>
    <row r="57" ht="21" spans="1:29">
      <c r="A57" s="350" t="s">
        <v>1350</v>
      </c>
      <c r="B57" s="351"/>
      <c r="C57" s="352"/>
      <c r="D57" s="352"/>
      <c r="E57" s="352"/>
      <c r="F57" s="353"/>
      <c r="G57" s="353"/>
      <c r="H57" s="352"/>
      <c r="I57" s="352"/>
      <c r="J57" s="352"/>
      <c r="K57" s="436"/>
      <c r="L57" s="437"/>
      <c r="M57" s="352"/>
      <c r="N57" s="438"/>
      <c r="O57" s="438"/>
      <c r="P57" s="438"/>
      <c r="Q57" s="442"/>
      <c r="R57" s="349"/>
      <c r="S57" s="349"/>
      <c r="T57" s="349"/>
      <c r="U57" s="349"/>
      <c r="V57" s="349"/>
      <c r="W57" s="349"/>
      <c r="X57" s="349"/>
      <c r="Y57" s="349"/>
      <c r="Z57" s="349"/>
      <c r="AA57" s="349"/>
      <c r="AB57" s="349"/>
      <c r="AC57" s="349"/>
    </row>
    <row r="58" s="200" customFormat="1" ht="15" spans="1:29">
      <c r="A58" s="354" t="s">
        <v>1297</v>
      </c>
      <c r="B58" s="355"/>
      <c r="C58" s="357" t="str">
        <f>YEAR(C7)&amp;"-"&amp;MONTH(C7)</f>
        <v>2021-11</v>
      </c>
      <c r="D58" s="357">
        <f>EDATE(C58,-1)</f>
        <v>44470</v>
      </c>
      <c r="E58" s="357">
        <f t="shared" ref="E58:O58" si="16">EDATE(D58,-1)</f>
        <v>44440</v>
      </c>
      <c r="F58" s="357">
        <f t="shared" si="16"/>
        <v>44409</v>
      </c>
      <c r="G58" s="357">
        <f t="shared" si="16"/>
        <v>44378</v>
      </c>
      <c r="H58" s="357">
        <f t="shared" si="16"/>
        <v>44348</v>
      </c>
      <c r="I58" s="357">
        <f t="shared" si="16"/>
        <v>44317</v>
      </c>
      <c r="J58" s="357">
        <f t="shared" si="16"/>
        <v>44287</v>
      </c>
      <c r="K58" s="357">
        <f t="shared" si="16"/>
        <v>44256</v>
      </c>
      <c r="L58" s="357">
        <f t="shared" si="16"/>
        <v>44228</v>
      </c>
      <c r="M58" s="357">
        <f t="shared" si="16"/>
        <v>44197</v>
      </c>
      <c r="N58" s="357">
        <f t="shared" si="16"/>
        <v>44166</v>
      </c>
      <c r="O58" s="357">
        <f t="shared" si="16"/>
        <v>44136</v>
      </c>
      <c r="P58" s="439"/>
      <c r="Q58" s="498"/>
      <c r="R58" s="498"/>
      <c r="S58" s="498"/>
      <c r="T58" s="498"/>
      <c r="U58" s="498"/>
      <c r="V58" s="498"/>
      <c r="W58" s="498"/>
      <c r="X58" s="498"/>
      <c r="Y58" s="498"/>
      <c r="Z58" s="498"/>
      <c r="AA58" s="498"/>
      <c r="AB58" s="498"/>
      <c r="AC58" s="498"/>
    </row>
    <row r="59" s="196" customFormat="1" ht="15" spans="1:29">
      <c r="A59" s="358"/>
      <c r="B59" s="359"/>
      <c r="C59" s="360">
        <v>100</v>
      </c>
      <c r="D59" s="361"/>
      <c r="E59" s="361"/>
      <c r="F59" s="361"/>
      <c r="G59" s="361"/>
      <c r="H59" s="361"/>
      <c r="I59" s="361"/>
      <c r="J59" s="361"/>
      <c r="K59" s="361"/>
      <c r="L59" s="361"/>
      <c r="M59" s="361"/>
      <c r="N59" s="361"/>
      <c r="O59" s="361"/>
      <c r="P59" s="442"/>
      <c r="Q59" s="499"/>
      <c r="R59" s="499"/>
      <c r="S59" s="499"/>
      <c r="T59" s="499"/>
      <c r="U59" s="499"/>
      <c r="V59" s="499"/>
      <c r="W59" s="499"/>
      <c r="X59" s="499"/>
      <c r="Y59" s="499"/>
      <c r="Z59" s="499"/>
      <c r="AA59" s="499"/>
      <c r="AB59" s="499"/>
      <c r="AC59" s="499"/>
    </row>
    <row r="60" s="196" customFormat="1" ht="15.75" spans="1:29">
      <c r="A60" s="362" t="s">
        <v>1366</v>
      </c>
      <c r="B60" s="363"/>
      <c r="C60" s="364"/>
      <c r="D60" s="365"/>
      <c r="E60" s="365"/>
      <c r="F60" s="365"/>
      <c r="G60" s="365"/>
      <c r="H60" s="365"/>
      <c r="I60" s="365"/>
      <c r="J60" s="365"/>
      <c r="K60" s="365"/>
      <c r="L60" s="365"/>
      <c r="M60" s="443"/>
      <c r="N60" s="365"/>
      <c r="O60" s="444"/>
      <c r="P60" s="442"/>
      <c r="Q60" s="442"/>
      <c r="R60" s="499"/>
      <c r="S60" s="499"/>
      <c r="T60" s="499"/>
      <c r="U60" s="499"/>
      <c r="V60" s="499"/>
      <c r="W60" s="499"/>
      <c r="X60" s="499"/>
      <c r="Y60" s="499"/>
      <c r="Z60" s="499"/>
      <c r="AA60" s="499"/>
      <c r="AB60" s="499"/>
      <c r="AC60" s="499"/>
    </row>
    <row r="61" s="196" customFormat="1" ht="15" spans="1:29">
      <c r="A61" s="366" t="s">
        <v>1300</v>
      </c>
      <c r="B61" s="359"/>
      <c r="C61" s="367" t="s">
        <v>1301</v>
      </c>
      <c r="D61" s="368"/>
      <c r="E61" s="368"/>
      <c r="F61" s="368"/>
      <c r="G61" s="368"/>
      <c r="H61" s="368"/>
      <c r="I61" s="368"/>
      <c r="J61" s="368"/>
      <c r="K61" s="368"/>
      <c r="L61" s="445"/>
      <c r="M61" s="446"/>
      <c r="N61" s="447"/>
      <c r="O61" s="447"/>
      <c r="P61" s="448"/>
      <c r="Q61" s="442"/>
      <c r="R61" s="499"/>
      <c r="S61" s="499"/>
      <c r="T61" s="499"/>
      <c r="U61" s="499"/>
      <c r="V61" s="499"/>
      <c r="W61" s="499"/>
      <c r="X61" s="499"/>
      <c r="Y61" s="499"/>
      <c r="Z61" s="499"/>
      <c r="AA61" s="499"/>
      <c r="AB61" s="499"/>
      <c r="AC61" s="499"/>
    </row>
    <row r="62" s="196" customFormat="1" ht="15.75" spans="1:29">
      <c r="A62" s="366"/>
      <c r="B62" s="359"/>
      <c r="C62" s="625">
        <v>100</v>
      </c>
      <c r="D62" s="361"/>
      <c r="E62" s="361"/>
      <c r="F62" s="361"/>
      <c r="G62" s="361"/>
      <c r="H62" s="361"/>
      <c r="I62" s="361"/>
      <c r="J62" s="361"/>
      <c r="K62" s="361"/>
      <c r="L62" s="361"/>
      <c r="M62" s="441"/>
      <c r="N62" s="447"/>
      <c r="O62" s="447"/>
      <c r="P62" s="442"/>
      <c r="Q62" s="442"/>
      <c r="R62" s="499"/>
      <c r="S62" s="499"/>
      <c r="T62" s="499"/>
      <c r="U62" s="499"/>
      <c r="V62" s="499"/>
      <c r="W62" s="499"/>
      <c r="X62" s="499"/>
      <c r="Y62" s="499"/>
      <c r="Z62" s="499"/>
      <c r="AA62" s="499"/>
      <c r="AB62" s="499"/>
      <c r="AC62" s="499"/>
    </row>
    <row r="63" spans="1:29">
      <c r="A63" s="369" t="s">
        <v>1353</v>
      </c>
      <c r="B63" s="370" t="s">
        <v>1354</v>
      </c>
      <c r="C63" s="371">
        <f>C9</f>
        <v>0</v>
      </c>
      <c r="D63" s="372"/>
      <c r="E63" s="372"/>
      <c r="F63" s="372"/>
      <c r="G63" s="372"/>
      <c r="H63" s="372"/>
      <c r="I63" s="372"/>
      <c r="J63" s="372"/>
      <c r="K63" s="449"/>
      <c r="L63" s="450"/>
      <c r="M63" s="451"/>
      <c r="N63" s="452"/>
      <c r="O63" s="452"/>
      <c r="P63" s="453"/>
      <c r="Q63" s="442"/>
      <c r="R63" s="349"/>
      <c r="S63" s="349"/>
      <c r="T63" s="349"/>
      <c r="U63" s="349"/>
      <c r="V63" s="349"/>
      <c r="W63" s="349"/>
      <c r="X63" s="349"/>
      <c r="Y63" s="349"/>
      <c r="Z63" s="349"/>
      <c r="AA63" s="349"/>
      <c r="AB63" s="349"/>
      <c r="AC63" s="349"/>
    </row>
    <row r="64" ht="15.75" spans="1:29">
      <c r="A64" s="373"/>
      <c r="B64" s="374"/>
      <c r="C64" s="375"/>
      <c r="D64" s="375"/>
      <c r="E64" s="641"/>
      <c r="F64" s="641"/>
      <c r="G64" s="641"/>
      <c r="H64" s="641"/>
      <c r="I64" s="641"/>
      <c r="J64" s="641"/>
      <c r="K64" s="641"/>
      <c r="L64" s="641"/>
      <c r="M64" s="658"/>
      <c r="N64" s="455"/>
      <c r="O64" s="455"/>
      <c r="P64" s="453"/>
      <c r="Q64" s="442"/>
      <c r="R64" s="349"/>
      <c r="S64" s="349"/>
      <c r="T64" s="349"/>
      <c r="U64" s="349"/>
      <c r="V64" s="349"/>
      <c r="W64" s="349"/>
      <c r="X64" s="349"/>
      <c r="Y64" s="349"/>
      <c r="Z64" s="349"/>
      <c r="AA64" s="349"/>
      <c r="AB64" s="349"/>
      <c r="AC64" s="349"/>
    </row>
    <row r="65" ht="27.75" spans="1:29">
      <c r="A65" s="373"/>
      <c r="B65" s="376" t="s">
        <v>1355</v>
      </c>
      <c r="C65" s="377" t="s">
        <v>1585</v>
      </c>
      <c r="D65" s="377" t="s">
        <v>1586</v>
      </c>
      <c r="E65" s="377" t="s">
        <v>1587</v>
      </c>
      <c r="F65" s="377" t="s">
        <v>1588</v>
      </c>
      <c r="G65" s="377" t="s">
        <v>1589</v>
      </c>
      <c r="H65" s="377" t="s">
        <v>1590</v>
      </c>
      <c r="I65" s="377" t="s">
        <v>1591</v>
      </c>
      <c r="J65" s="377"/>
      <c r="K65" s="456"/>
      <c r="L65" s="457"/>
      <c r="M65" s="458"/>
      <c r="N65" s="452"/>
      <c r="O65" s="452"/>
      <c r="P65" s="453"/>
      <c r="Q65" s="442"/>
      <c r="R65" s="349"/>
      <c r="S65" s="349"/>
      <c r="T65" s="349"/>
      <c r="U65" s="349"/>
      <c r="V65" s="349"/>
      <c r="W65" s="349"/>
      <c r="X65" s="349"/>
      <c r="Y65" s="349"/>
      <c r="Z65" s="349"/>
      <c r="AA65" s="349"/>
      <c r="AB65" s="349"/>
      <c r="AC65" s="349"/>
    </row>
    <row r="66" ht="15.75" spans="1:29">
      <c r="A66" s="373"/>
      <c r="B66" s="378"/>
      <c r="C66" s="379">
        <v>100</v>
      </c>
      <c r="D66" s="379">
        <f t="shared" ref="D66:I66" si="17">C66-$K10</f>
        <v>100</v>
      </c>
      <c r="E66" s="379">
        <f t="shared" si="17"/>
        <v>100</v>
      </c>
      <c r="F66" s="379">
        <f t="shared" si="17"/>
        <v>100</v>
      </c>
      <c r="G66" s="379">
        <f t="shared" si="17"/>
        <v>100</v>
      </c>
      <c r="H66" s="379">
        <f t="shared" si="17"/>
        <v>100</v>
      </c>
      <c r="I66" s="379">
        <f t="shared" si="17"/>
        <v>100</v>
      </c>
      <c r="J66" s="379"/>
      <c r="K66" s="379"/>
      <c r="L66" s="379"/>
      <c r="M66" s="459"/>
      <c r="N66" s="455"/>
      <c r="O66" s="455"/>
      <c r="P66" s="453"/>
      <c r="Q66" s="442"/>
      <c r="R66" s="349"/>
      <c r="S66" s="349"/>
      <c r="T66" s="349"/>
      <c r="U66" s="349"/>
      <c r="V66" s="349"/>
      <c r="W66" s="349"/>
      <c r="X66" s="349"/>
      <c r="Y66" s="349"/>
      <c r="Z66" s="349"/>
      <c r="AA66" s="349"/>
      <c r="AB66" s="349"/>
      <c r="AC66" s="349"/>
    </row>
    <row r="67" ht="15.75" spans="1:29">
      <c r="A67" s="373"/>
      <c r="B67" s="514" t="s">
        <v>1356</v>
      </c>
      <c r="C67" s="592" t="str">
        <f>C68&amp;"（含）"&amp;"-"&amp;D68</f>
        <v>（含）-</v>
      </c>
      <c r="D67" s="592" t="str">
        <f t="shared" ref="D67:L67" si="18">D68&amp;"（含）"&amp;"-"&amp;E68</f>
        <v>（含）-</v>
      </c>
      <c r="E67" s="592" t="str">
        <f t="shared" si="18"/>
        <v>（含）-</v>
      </c>
      <c r="F67" s="592" t="str">
        <f t="shared" si="18"/>
        <v>（含）-</v>
      </c>
      <c r="G67" s="592" t="str">
        <f t="shared" si="18"/>
        <v>（含）-</v>
      </c>
      <c r="H67" s="592" t="str">
        <f t="shared" si="18"/>
        <v>（含）-</v>
      </c>
      <c r="I67" s="592" t="str">
        <f t="shared" si="18"/>
        <v>（含）-</v>
      </c>
      <c r="J67" s="592" t="str">
        <f t="shared" si="18"/>
        <v>（含）-</v>
      </c>
      <c r="K67" s="592" t="str">
        <f t="shared" si="18"/>
        <v>（含）-</v>
      </c>
      <c r="L67" s="592" t="str">
        <f t="shared" si="18"/>
        <v>（含）-</v>
      </c>
      <c r="M67" s="276" t="str">
        <f>M68&amp;"（含）"&amp;"-"&amp;P68</f>
        <v>（含）-</v>
      </c>
      <c r="N67" s="455"/>
      <c r="O67" s="455"/>
      <c r="P67" s="453"/>
      <c r="Q67" s="442"/>
      <c r="R67" s="349"/>
      <c r="S67" s="349"/>
      <c r="T67" s="349"/>
      <c r="U67" s="349"/>
      <c r="V67" s="349"/>
      <c r="W67" s="349"/>
      <c r="X67" s="349"/>
      <c r="Y67" s="349"/>
      <c r="Z67" s="349"/>
      <c r="AA67" s="349"/>
      <c r="AB67" s="349"/>
      <c r="AC67" s="349"/>
    </row>
    <row r="68" ht="15" spans="1:29">
      <c r="A68" s="373"/>
      <c r="B68" s="593"/>
      <c r="C68" s="381"/>
      <c r="D68" s="381"/>
      <c r="E68" s="381"/>
      <c r="F68" s="381"/>
      <c r="G68" s="381"/>
      <c r="H68" s="381"/>
      <c r="I68" s="381"/>
      <c r="J68" s="381"/>
      <c r="K68" s="460"/>
      <c r="L68" s="461"/>
      <c r="M68" s="462"/>
      <c r="N68" s="452"/>
      <c r="O68" s="452"/>
      <c r="P68" s="453"/>
      <c r="Q68" s="442"/>
      <c r="R68" s="349"/>
      <c r="S68" s="349"/>
      <c r="T68" s="349"/>
      <c r="U68" s="349"/>
      <c r="V68" s="349"/>
      <c r="W68" s="349"/>
      <c r="X68" s="349"/>
      <c r="Y68" s="349"/>
      <c r="Z68" s="349"/>
      <c r="AA68" s="349"/>
      <c r="AB68" s="349"/>
      <c r="AC68" s="349"/>
    </row>
    <row r="69" ht="15.75" spans="1:29">
      <c r="A69" s="373"/>
      <c r="B69" s="374"/>
      <c r="C69" s="379">
        <v>100</v>
      </c>
      <c r="D69" s="379">
        <f t="shared" ref="D69:M69" si="19">C69-$K11</f>
        <v>100</v>
      </c>
      <c r="E69" s="379">
        <f t="shared" si="19"/>
        <v>100</v>
      </c>
      <c r="F69" s="379">
        <f t="shared" si="19"/>
        <v>100</v>
      </c>
      <c r="G69" s="379">
        <f t="shared" si="19"/>
        <v>100</v>
      </c>
      <c r="H69" s="379">
        <f t="shared" si="19"/>
        <v>100</v>
      </c>
      <c r="I69" s="379">
        <f t="shared" si="19"/>
        <v>100</v>
      </c>
      <c r="J69" s="379">
        <f t="shared" si="19"/>
        <v>100</v>
      </c>
      <c r="K69" s="379">
        <f t="shared" si="19"/>
        <v>100</v>
      </c>
      <c r="L69" s="379">
        <f t="shared" si="19"/>
        <v>100</v>
      </c>
      <c r="M69" s="459">
        <f t="shared" si="19"/>
        <v>100</v>
      </c>
      <c r="N69" s="455"/>
      <c r="O69" s="455"/>
      <c r="P69" s="453"/>
      <c r="Q69" s="442"/>
      <c r="R69" s="349"/>
      <c r="S69" s="349"/>
      <c r="T69" s="349"/>
      <c r="U69" s="349"/>
      <c r="V69" s="349"/>
      <c r="W69" s="349"/>
      <c r="X69" s="349"/>
      <c r="Y69" s="349"/>
      <c r="Z69" s="349"/>
      <c r="AA69" s="349"/>
      <c r="AB69" s="349"/>
      <c r="AC69" s="349"/>
    </row>
    <row r="70" s="198" customFormat="1" ht="15.75" spans="1:29">
      <c r="A70" s="383"/>
      <c r="B70" s="376">
        <f>B12</f>
        <v>111</v>
      </c>
      <c r="C70" s="384"/>
      <c r="D70" s="384"/>
      <c r="E70" s="384"/>
      <c r="F70" s="384"/>
      <c r="G70" s="384"/>
      <c r="H70" s="385"/>
      <c r="I70" s="385"/>
      <c r="J70" s="385"/>
      <c r="K70" s="385"/>
      <c r="L70" s="463"/>
      <c r="M70" s="464"/>
      <c r="N70" s="465"/>
      <c r="O70" s="465"/>
      <c r="P70" s="466"/>
      <c r="Q70" s="500"/>
      <c r="R70" s="501"/>
      <c r="S70" s="501"/>
      <c r="T70" s="501"/>
      <c r="U70" s="501"/>
      <c r="V70" s="501"/>
      <c r="W70" s="501"/>
      <c r="X70" s="501"/>
      <c r="Y70" s="501"/>
      <c r="Z70" s="501"/>
      <c r="AA70" s="501"/>
      <c r="AB70" s="501"/>
      <c r="AC70" s="501"/>
    </row>
    <row r="71" s="198" customFormat="1" ht="15.75" spans="1:29">
      <c r="A71" s="383"/>
      <c r="B71" s="378"/>
      <c r="C71" s="382"/>
      <c r="D71" s="375"/>
      <c r="E71" s="375"/>
      <c r="F71" s="375"/>
      <c r="G71" s="375"/>
      <c r="H71" s="375"/>
      <c r="I71" s="375"/>
      <c r="J71" s="375"/>
      <c r="K71" s="375"/>
      <c r="L71" s="375"/>
      <c r="M71" s="454"/>
      <c r="N71" s="455"/>
      <c r="O71" s="455"/>
      <c r="P71" s="466"/>
      <c r="Q71" s="500"/>
      <c r="R71" s="501"/>
      <c r="S71" s="501"/>
      <c r="T71" s="501"/>
      <c r="U71" s="501"/>
      <c r="V71" s="501"/>
      <c r="W71" s="501"/>
      <c r="X71" s="501"/>
      <c r="Y71" s="501"/>
      <c r="Z71" s="501"/>
      <c r="AA71" s="501"/>
      <c r="AB71" s="501"/>
      <c r="AC71" s="501"/>
    </row>
    <row r="72" s="198" customFormat="1" ht="15.75" spans="1:29">
      <c r="A72" s="383"/>
      <c r="B72" s="376">
        <f>B13</f>
        <v>111</v>
      </c>
      <c r="C72" s="384"/>
      <c r="D72" s="384"/>
      <c r="E72" s="384"/>
      <c r="F72" s="384"/>
      <c r="G72" s="384"/>
      <c r="H72" s="385"/>
      <c r="I72" s="385"/>
      <c r="J72" s="385"/>
      <c r="K72" s="385"/>
      <c r="L72" s="463"/>
      <c r="M72" s="464"/>
      <c r="N72" s="465"/>
      <c r="O72" s="465"/>
      <c r="P72" s="422"/>
      <c r="Q72" s="502"/>
      <c r="R72" s="501"/>
      <c r="S72" s="501"/>
      <c r="T72" s="501"/>
      <c r="U72" s="501"/>
      <c r="V72" s="501"/>
      <c r="W72" s="501"/>
      <c r="X72" s="501"/>
      <c r="Y72" s="501"/>
      <c r="Z72" s="501"/>
      <c r="AA72" s="501"/>
      <c r="AB72" s="501"/>
      <c r="AC72" s="501"/>
    </row>
    <row r="73" s="198" customFormat="1" ht="15.75" spans="1:29">
      <c r="A73" s="383"/>
      <c r="B73" s="378"/>
      <c r="C73" s="382"/>
      <c r="D73" s="382"/>
      <c r="E73" s="382"/>
      <c r="F73" s="382"/>
      <c r="G73" s="382"/>
      <c r="H73" s="386"/>
      <c r="I73" s="386"/>
      <c r="J73" s="386"/>
      <c r="K73" s="386"/>
      <c r="L73" s="386"/>
      <c r="M73" s="467"/>
      <c r="N73" s="465"/>
      <c r="O73" s="465"/>
      <c r="P73" s="466"/>
      <c r="Q73" s="500"/>
      <c r="R73" s="501"/>
      <c r="S73" s="501"/>
      <c r="T73" s="501"/>
      <c r="U73" s="501"/>
      <c r="V73" s="501"/>
      <c r="W73" s="501"/>
      <c r="X73" s="501"/>
      <c r="Y73" s="501"/>
      <c r="Z73" s="501"/>
      <c r="AA73" s="501"/>
      <c r="AB73" s="501"/>
      <c r="AC73" s="501"/>
    </row>
    <row r="74" s="198" customFormat="1" ht="15.75" spans="1:29">
      <c r="A74" s="383"/>
      <c r="B74" s="514">
        <f>B14</f>
        <v>111</v>
      </c>
      <c r="C74" s="384"/>
      <c r="D74" s="384"/>
      <c r="E74" s="384"/>
      <c r="F74" s="384"/>
      <c r="G74" s="368"/>
      <c r="H74" s="595"/>
      <c r="I74" s="595"/>
      <c r="J74" s="595"/>
      <c r="K74" s="595"/>
      <c r="L74" s="604"/>
      <c r="M74" s="605"/>
      <c r="N74" s="465"/>
      <c r="O74" s="465"/>
      <c r="P74" s="606"/>
      <c r="Q74" s="500"/>
      <c r="R74" s="501"/>
      <c r="S74" s="501"/>
      <c r="T74" s="501"/>
      <c r="U74" s="501"/>
      <c r="V74" s="501"/>
      <c r="W74" s="501"/>
      <c r="X74" s="501"/>
      <c r="Y74" s="501"/>
      <c r="Z74" s="501"/>
      <c r="AA74" s="501"/>
      <c r="AB74" s="501"/>
      <c r="AC74" s="501"/>
    </row>
    <row r="75" s="198" customFormat="1" ht="15.75" spans="1:29">
      <c r="A75" s="596"/>
      <c r="B75" s="597"/>
      <c r="C75" s="598"/>
      <c r="D75" s="598"/>
      <c r="E75" s="598"/>
      <c r="F75" s="598"/>
      <c r="G75" s="598"/>
      <c r="H75" s="599"/>
      <c r="I75" s="599"/>
      <c r="J75" s="599"/>
      <c r="K75" s="599"/>
      <c r="L75" s="599"/>
      <c r="M75" s="607"/>
      <c r="N75" s="465"/>
      <c r="O75" s="465"/>
      <c r="P75" s="466"/>
      <c r="Q75" s="500"/>
      <c r="R75" s="501"/>
      <c r="S75" s="501"/>
      <c r="T75" s="501"/>
      <c r="U75" s="501"/>
      <c r="V75" s="501"/>
      <c r="W75" s="501"/>
      <c r="X75" s="501"/>
      <c r="Y75" s="501"/>
      <c r="Z75" s="501"/>
      <c r="AA75" s="501"/>
      <c r="AB75" s="501"/>
      <c r="AC75" s="501"/>
    </row>
    <row r="76" spans="1:29">
      <c r="A76" s="369" t="s">
        <v>1357</v>
      </c>
      <c r="B76" s="370" t="s">
        <v>225</v>
      </c>
      <c r="C76" s="387" t="s">
        <v>246</v>
      </c>
      <c r="D76" s="387" t="s">
        <v>258</v>
      </c>
      <c r="E76" s="387" t="s">
        <v>269</v>
      </c>
      <c r="F76" s="387" t="s">
        <v>279</v>
      </c>
      <c r="G76" s="387" t="s">
        <v>287</v>
      </c>
      <c r="H76" s="371"/>
      <c r="I76" s="371"/>
      <c r="J76" s="371"/>
      <c r="K76" s="468"/>
      <c r="L76" s="469"/>
      <c r="M76" s="470"/>
      <c r="N76" s="452"/>
      <c r="O76" s="452"/>
      <c r="P76" s="471"/>
      <c r="Q76" s="442"/>
      <c r="R76" s="349"/>
      <c r="S76" s="349"/>
      <c r="T76" s="349"/>
      <c r="U76" s="349"/>
      <c r="V76" s="349"/>
      <c r="W76" s="349"/>
      <c r="X76" s="349"/>
      <c r="Y76" s="349"/>
      <c r="Z76" s="349"/>
      <c r="AA76" s="349"/>
      <c r="AB76" s="349"/>
      <c r="AC76" s="349"/>
    </row>
    <row r="77" ht="15.75" spans="1:29">
      <c r="A77" s="373"/>
      <c r="B77" s="378"/>
      <c r="C77" s="379">
        <v>100</v>
      </c>
      <c r="D77" s="379">
        <f>C77-$K15</f>
        <v>100</v>
      </c>
      <c r="E77" s="379">
        <f>D77-$K15</f>
        <v>100</v>
      </c>
      <c r="F77" s="379">
        <f>E77-$K15</f>
        <v>100</v>
      </c>
      <c r="G77" s="379">
        <f>F77-$K15</f>
        <v>100</v>
      </c>
      <c r="H77" s="379"/>
      <c r="I77" s="379"/>
      <c r="J77" s="379"/>
      <c r="K77" s="379"/>
      <c r="L77" s="379"/>
      <c r="M77" s="459"/>
      <c r="N77" s="455"/>
      <c r="O77" s="455"/>
      <c r="P77" s="453"/>
      <c r="Q77" s="442"/>
      <c r="R77" s="349"/>
      <c r="S77" s="349"/>
      <c r="T77" s="349"/>
      <c r="U77" s="349"/>
      <c r="V77" s="349"/>
      <c r="W77" s="349"/>
      <c r="X77" s="349"/>
      <c r="Y77" s="349"/>
      <c r="Z77" s="349"/>
      <c r="AA77" s="349"/>
      <c r="AB77" s="349"/>
      <c r="AC77" s="349"/>
    </row>
    <row r="78" ht="15.75" spans="1:29">
      <c r="A78" s="373"/>
      <c r="B78" s="376" t="s">
        <v>229</v>
      </c>
      <c r="C78" s="389" t="s">
        <v>246</v>
      </c>
      <c r="D78" s="389" t="s">
        <v>258</v>
      </c>
      <c r="E78" s="389" t="s">
        <v>269</v>
      </c>
      <c r="F78" s="389" t="s">
        <v>279</v>
      </c>
      <c r="G78" s="389" t="s">
        <v>287</v>
      </c>
      <c r="H78" s="377"/>
      <c r="I78" s="377"/>
      <c r="J78" s="377"/>
      <c r="K78" s="456"/>
      <c r="L78" s="457"/>
      <c r="M78" s="458"/>
      <c r="N78" s="452"/>
      <c r="O78" s="452"/>
      <c r="P78" s="453"/>
      <c r="Q78" s="442"/>
      <c r="R78" s="349"/>
      <c r="S78" s="349"/>
      <c r="T78" s="349"/>
      <c r="U78" s="349"/>
      <c r="V78" s="349"/>
      <c r="W78" s="349"/>
      <c r="X78" s="349"/>
      <c r="Y78" s="349"/>
      <c r="Z78" s="349"/>
      <c r="AA78" s="349"/>
      <c r="AB78" s="349"/>
      <c r="AC78" s="349"/>
    </row>
    <row r="79" ht="15.75" spans="1:29">
      <c r="A79" s="373"/>
      <c r="B79" s="378"/>
      <c r="C79" s="379">
        <v>100</v>
      </c>
      <c r="D79" s="379">
        <f>C79-$K17</f>
        <v>100</v>
      </c>
      <c r="E79" s="379">
        <f>D79-$K17</f>
        <v>100</v>
      </c>
      <c r="F79" s="379">
        <f>E79-$K17</f>
        <v>100</v>
      </c>
      <c r="G79" s="379">
        <f>F79-$K17</f>
        <v>100</v>
      </c>
      <c r="H79" s="379"/>
      <c r="I79" s="379"/>
      <c r="J79" s="379"/>
      <c r="K79" s="379"/>
      <c r="L79" s="379"/>
      <c r="M79" s="459"/>
      <c r="N79" s="455"/>
      <c r="O79" s="455"/>
      <c r="P79" s="453"/>
      <c r="Q79" s="442"/>
      <c r="R79" s="349"/>
      <c r="S79" s="349"/>
      <c r="T79" s="349"/>
      <c r="U79" s="349"/>
      <c r="V79" s="349"/>
      <c r="W79" s="349"/>
      <c r="X79" s="349"/>
      <c r="Y79" s="349"/>
      <c r="Z79" s="349"/>
      <c r="AA79" s="349"/>
      <c r="AB79" s="349"/>
      <c r="AC79" s="349"/>
    </row>
    <row r="80" ht="15.75" spans="1:29">
      <c r="A80" s="373"/>
      <c r="B80" s="388" t="s">
        <v>231</v>
      </c>
      <c r="C80" s="389" t="s">
        <v>246</v>
      </c>
      <c r="D80" s="389" t="s">
        <v>258</v>
      </c>
      <c r="E80" s="389" t="s">
        <v>269</v>
      </c>
      <c r="F80" s="389" t="s">
        <v>279</v>
      </c>
      <c r="G80" s="389" t="s">
        <v>287</v>
      </c>
      <c r="H80" s="377"/>
      <c r="I80" s="377"/>
      <c r="J80" s="377"/>
      <c r="K80" s="456"/>
      <c r="L80" s="457"/>
      <c r="M80" s="458"/>
      <c r="N80" s="452"/>
      <c r="O80" s="452"/>
      <c r="P80" s="453"/>
      <c r="Q80" s="442"/>
      <c r="R80" s="349"/>
      <c r="S80" s="349"/>
      <c r="T80" s="349"/>
      <c r="U80" s="349"/>
      <c r="V80" s="349"/>
      <c r="W80" s="349"/>
      <c r="X80" s="349"/>
      <c r="Y80" s="349"/>
      <c r="Z80" s="349"/>
      <c r="AA80" s="349"/>
      <c r="AB80" s="349"/>
      <c r="AC80" s="349"/>
    </row>
    <row r="81" ht="15.75" spans="1:29">
      <c r="A81" s="373"/>
      <c r="B81" s="378"/>
      <c r="C81" s="379">
        <v>100</v>
      </c>
      <c r="D81" s="379">
        <f>C81-$K19</f>
        <v>100</v>
      </c>
      <c r="E81" s="379">
        <f>D81-$K19</f>
        <v>100</v>
      </c>
      <c r="F81" s="379">
        <f>E81-$K19</f>
        <v>100</v>
      </c>
      <c r="G81" s="379">
        <f>F81-$K19</f>
        <v>100</v>
      </c>
      <c r="H81" s="379"/>
      <c r="I81" s="379"/>
      <c r="J81" s="379"/>
      <c r="K81" s="379"/>
      <c r="L81" s="379"/>
      <c r="M81" s="459"/>
      <c r="N81" s="455"/>
      <c r="O81" s="455"/>
      <c r="P81" s="453"/>
      <c r="Q81" s="442"/>
      <c r="R81" s="349"/>
      <c r="S81" s="349"/>
      <c r="T81" s="349"/>
      <c r="U81" s="349"/>
      <c r="V81" s="349"/>
      <c r="W81" s="349"/>
      <c r="X81" s="349"/>
      <c r="Y81" s="349"/>
      <c r="Z81" s="349"/>
      <c r="AA81" s="349"/>
      <c r="AB81" s="349"/>
      <c r="AC81" s="349"/>
    </row>
    <row r="82" ht="15.75" spans="1:29">
      <c r="A82" s="373"/>
      <c r="B82" s="512" t="s">
        <v>232</v>
      </c>
      <c r="C82" s="513" t="s">
        <v>247</v>
      </c>
      <c r="D82" s="513" t="s">
        <v>259</v>
      </c>
      <c r="E82" s="513" t="s">
        <v>270</v>
      </c>
      <c r="F82" s="513" t="s">
        <v>280</v>
      </c>
      <c r="G82" s="513" t="s">
        <v>288</v>
      </c>
      <c r="H82" s="377"/>
      <c r="I82" s="377"/>
      <c r="J82" s="377"/>
      <c r="K82" s="377"/>
      <c r="L82" s="377"/>
      <c r="M82" s="524"/>
      <c r="N82" s="455"/>
      <c r="O82" s="455"/>
      <c r="P82" s="453"/>
      <c r="Q82" s="442"/>
      <c r="R82" s="349"/>
      <c r="S82" s="349"/>
      <c r="T82" s="349"/>
      <c r="U82" s="349"/>
      <c r="V82" s="349"/>
      <c r="W82" s="349"/>
      <c r="X82" s="349"/>
      <c r="Y82" s="349"/>
      <c r="Z82" s="349"/>
      <c r="AA82" s="349"/>
      <c r="AB82" s="349"/>
      <c r="AC82" s="349"/>
    </row>
    <row r="83" ht="15.75" spans="1:29">
      <c r="A83" s="373"/>
      <c r="B83" s="514"/>
      <c r="C83" s="379">
        <v>100</v>
      </c>
      <c r="D83" s="379">
        <f>C83-$K21</f>
        <v>100</v>
      </c>
      <c r="E83" s="379">
        <f>D83-$K21</f>
        <v>100</v>
      </c>
      <c r="F83" s="379">
        <f>E83-$K21</f>
        <v>100</v>
      </c>
      <c r="G83" s="379">
        <f>F83-$K21</f>
        <v>100</v>
      </c>
      <c r="H83" s="380"/>
      <c r="I83" s="380"/>
      <c r="J83" s="380"/>
      <c r="K83" s="380"/>
      <c r="L83" s="380"/>
      <c r="M83" s="278"/>
      <c r="N83" s="455"/>
      <c r="O83" s="455"/>
      <c r="P83" s="453"/>
      <c r="Q83" s="442"/>
      <c r="R83" s="349"/>
      <c r="S83" s="349"/>
      <c r="T83" s="349"/>
      <c r="U83" s="349"/>
      <c r="V83" s="349"/>
      <c r="W83" s="349"/>
      <c r="X83" s="349"/>
      <c r="Y83" s="349"/>
      <c r="Z83" s="349"/>
      <c r="AA83" s="349"/>
      <c r="AB83" s="349"/>
      <c r="AC83" s="349"/>
    </row>
    <row r="84" ht="15.75" spans="1:29">
      <c r="A84" s="373"/>
      <c r="B84" s="376" t="s">
        <v>2353</v>
      </c>
      <c r="C84" s="389" t="s">
        <v>246</v>
      </c>
      <c r="D84" s="389" t="s">
        <v>258</v>
      </c>
      <c r="E84" s="389" t="s">
        <v>269</v>
      </c>
      <c r="F84" s="389" t="s">
        <v>279</v>
      </c>
      <c r="G84" s="389" t="s">
        <v>287</v>
      </c>
      <c r="H84" s="377"/>
      <c r="I84" s="377"/>
      <c r="J84" s="377"/>
      <c r="K84" s="456"/>
      <c r="L84" s="457"/>
      <c r="M84" s="458"/>
      <c r="N84" s="452"/>
      <c r="O84" s="452"/>
      <c r="P84" s="453"/>
      <c r="Q84" s="442"/>
      <c r="R84" s="349"/>
      <c r="S84" s="349"/>
      <c r="T84" s="349"/>
      <c r="U84" s="349"/>
      <c r="V84" s="349"/>
      <c r="W84" s="349"/>
      <c r="X84" s="349"/>
      <c r="Y84" s="349"/>
      <c r="Z84" s="349"/>
      <c r="AA84" s="349"/>
      <c r="AB84" s="349"/>
      <c r="AC84" s="349"/>
    </row>
    <row r="85" ht="15.75" spans="1:29">
      <c r="A85" s="373"/>
      <c r="B85" s="378"/>
      <c r="C85" s="379">
        <v>100</v>
      </c>
      <c r="D85" s="379">
        <f>C85-$K23</f>
        <v>100</v>
      </c>
      <c r="E85" s="379">
        <f>D85-$K23</f>
        <v>100</v>
      </c>
      <c r="F85" s="379">
        <f>E85-$K23</f>
        <v>100</v>
      </c>
      <c r="G85" s="379">
        <f>F85-$K23</f>
        <v>100</v>
      </c>
      <c r="H85" s="379"/>
      <c r="I85" s="379"/>
      <c r="J85" s="379"/>
      <c r="K85" s="379"/>
      <c r="L85" s="379"/>
      <c r="M85" s="459"/>
      <c r="N85" s="455"/>
      <c r="O85" s="455"/>
      <c r="P85" s="453"/>
      <c r="Q85" s="442"/>
      <c r="R85" s="349"/>
      <c r="S85" s="349"/>
      <c r="T85" s="349"/>
      <c r="U85" s="349"/>
      <c r="V85" s="349"/>
      <c r="W85" s="349"/>
      <c r="X85" s="349"/>
      <c r="Y85" s="349"/>
      <c r="Z85" s="349"/>
      <c r="AA85" s="349"/>
      <c r="AB85" s="349"/>
      <c r="AC85" s="349"/>
    </row>
    <row r="86" s="196" customFormat="1" ht="15.75" spans="1:29">
      <c r="A86" s="516"/>
      <c r="B86" s="388" t="s">
        <v>2354</v>
      </c>
      <c r="C86" s="384"/>
      <c r="D86" s="384"/>
      <c r="E86" s="384"/>
      <c r="F86" s="384"/>
      <c r="G86" s="384"/>
      <c r="H86" s="384"/>
      <c r="I86" s="384"/>
      <c r="J86" s="384"/>
      <c r="K86" s="384"/>
      <c r="L86" s="528"/>
      <c r="M86" s="529"/>
      <c r="N86" s="447"/>
      <c r="O86" s="447"/>
      <c r="P86" s="453"/>
      <c r="Q86" s="442"/>
      <c r="R86" s="499"/>
      <c r="S86" s="499"/>
      <c r="T86" s="499"/>
      <c r="U86" s="499"/>
      <c r="V86" s="499"/>
      <c r="W86" s="499"/>
      <c r="X86" s="499"/>
      <c r="Y86" s="499"/>
      <c r="Z86" s="499"/>
      <c r="AA86" s="499"/>
      <c r="AB86" s="499"/>
      <c r="AC86" s="499"/>
    </row>
    <row r="87" s="196" customFormat="1" ht="15.75" spans="1:29">
      <c r="A87" s="516"/>
      <c r="B87" s="378"/>
      <c r="C87" s="518">
        <v>100</v>
      </c>
      <c r="D87" s="379">
        <f>$C$87-($C$86-D86)*$K$25</f>
        <v>100</v>
      </c>
      <c r="E87" s="379">
        <f t="shared" ref="E87:M87" si="20">$C$87-($C$86-E86)*$K$25</f>
        <v>100</v>
      </c>
      <c r="F87" s="379">
        <f t="shared" si="20"/>
        <v>100</v>
      </c>
      <c r="G87" s="379">
        <f t="shared" si="20"/>
        <v>100</v>
      </c>
      <c r="H87" s="379">
        <f t="shared" si="20"/>
        <v>100</v>
      </c>
      <c r="I87" s="379">
        <f t="shared" si="20"/>
        <v>100</v>
      </c>
      <c r="J87" s="379">
        <f t="shared" si="20"/>
        <v>100</v>
      </c>
      <c r="K87" s="379">
        <f t="shared" si="20"/>
        <v>100</v>
      </c>
      <c r="L87" s="379">
        <f t="shared" si="20"/>
        <v>100</v>
      </c>
      <c r="M87" s="379">
        <f t="shared" si="20"/>
        <v>100</v>
      </c>
      <c r="N87" s="455"/>
      <c r="O87" s="455"/>
      <c r="P87" s="453"/>
      <c r="Q87" s="442"/>
      <c r="R87" s="499"/>
      <c r="S87" s="499"/>
      <c r="T87" s="499"/>
      <c r="U87" s="499"/>
      <c r="V87" s="499"/>
      <c r="W87" s="499"/>
      <c r="X87" s="499"/>
      <c r="Y87" s="499"/>
      <c r="Z87" s="499"/>
      <c r="AA87" s="499"/>
      <c r="AB87" s="499"/>
      <c r="AC87" s="499"/>
    </row>
    <row r="88" s="196" customFormat="1" ht="15.75" spans="1:29">
      <c r="A88" s="516"/>
      <c r="B88" s="376" t="s">
        <v>1568</v>
      </c>
      <c r="C88" s="384"/>
      <c r="D88" s="384"/>
      <c r="E88" s="384"/>
      <c r="F88" s="627"/>
      <c r="G88" s="384"/>
      <c r="H88" s="384"/>
      <c r="I88" s="384"/>
      <c r="J88" s="384"/>
      <c r="K88" s="384"/>
      <c r="L88" s="384"/>
      <c r="M88" s="529"/>
      <c r="N88" s="447"/>
      <c r="O88" s="447"/>
      <c r="P88" s="453"/>
      <c r="Q88" s="442"/>
      <c r="R88" s="499"/>
      <c r="S88" s="499"/>
      <c r="T88" s="499"/>
      <c r="U88" s="499"/>
      <c r="V88" s="499"/>
      <c r="W88" s="499"/>
      <c r="X88" s="499"/>
      <c r="Y88" s="499"/>
      <c r="Z88" s="499"/>
      <c r="AA88" s="499"/>
      <c r="AB88" s="499"/>
      <c r="AC88" s="499"/>
    </row>
    <row r="89" s="196" customFormat="1" ht="15.75" spans="1:29">
      <c r="A89" s="516"/>
      <c r="B89" s="378"/>
      <c r="C89" s="518">
        <v>100</v>
      </c>
      <c r="D89" s="379">
        <f t="shared" ref="D89:M89" si="21">C89-$K26</f>
        <v>100</v>
      </c>
      <c r="E89" s="379">
        <f t="shared" si="21"/>
        <v>100</v>
      </c>
      <c r="F89" s="379">
        <f t="shared" si="21"/>
        <v>100</v>
      </c>
      <c r="G89" s="379">
        <f t="shared" si="21"/>
        <v>100</v>
      </c>
      <c r="H89" s="379">
        <f t="shared" si="21"/>
        <v>100</v>
      </c>
      <c r="I89" s="379">
        <f t="shared" si="21"/>
        <v>100</v>
      </c>
      <c r="J89" s="379">
        <f t="shared" si="21"/>
        <v>100</v>
      </c>
      <c r="K89" s="379">
        <f t="shared" si="21"/>
        <v>100</v>
      </c>
      <c r="L89" s="379">
        <f t="shared" si="21"/>
        <v>100</v>
      </c>
      <c r="M89" s="379">
        <f t="shared" si="21"/>
        <v>100</v>
      </c>
      <c r="N89" s="455"/>
      <c r="O89" s="455"/>
      <c r="P89" s="453"/>
      <c r="Q89" s="442"/>
      <c r="R89" s="499"/>
      <c r="S89" s="499"/>
      <c r="T89" s="499"/>
      <c r="U89" s="499"/>
      <c r="V89" s="499"/>
      <c r="W89" s="499"/>
      <c r="X89" s="499"/>
      <c r="Y89" s="499"/>
      <c r="Z89" s="499"/>
      <c r="AA89" s="499"/>
      <c r="AB89" s="499"/>
      <c r="AC89" s="499"/>
    </row>
    <row r="90" s="198" customFormat="1" ht="15.75" spans="1:29">
      <c r="A90" s="383"/>
      <c r="B90" s="376" t="str">
        <f>B27</f>
        <v>道路级别</v>
      </c>
      <c r="C90" s="384"/>
      <c r="D90" s="384"/>
      <c r="E90" s="384"/>
      <c r="F90" s="384"/>
      <c r="G90" s="384"/>
      <c r="H90" s="385"/>
      <c r="I90" s="385"/>
      <c r="J90" s="385"/>
      <c r="K90" s="385"/>
      <c r="L90" s="463"/>
      <c r="M90" s="464"/>
      <c r="N90" s="465"/>
      <c r="O90" s="465"/>
      <c r="P90" s="466"/>
      <c r="Q90" s="500"/>
      <c r="R90" s="501"/>
      <c r="S90" s="501"/>
      <c r="T90" s="501"/>
      <c r="U90" s="501"/>
      <c r="V90" s="501"/>
      <c r="W90" s="501"/>
      <c r="X90" s="501"/>
      <c r="Y90" s="501"/>
      <c r="Z90" s="501"/>
      <c r="AA90" s="501"/>
      <c r="AB90" s="501"/>
      <c r="AC90" s="501"/>
    </row>
    <row r="91" s="198" customFormat="1" ht="15.75" spans="1:29">
      <c r="A91" s="383"/>
      <c r="B91" s="378"/>
      <c r="C91" s="382"/>
      <c r="D91" s="382"/>
      <c r="E91" s="382"/>
      <c r="F91" s="382"/>
      <c r="G91" s="382"/>
      <c r="H91" s="386"/>
      <c r="I91" s="386"/>
      <c r="J91" s="386"/>
      <c r="K91" s="386"/>
      <c r="L91" s="386"/>
      <c r="M91" s="467"/>
      <c r="N91" s="465"/>
      <c r="O91" s="465"/>
      <c r="P91" s="466"/>
      <c r="Q91" s="500"/>
      <c r="R91" s="501"/>
      <c r="S91" s="501"/>
      <c r="T91" s="501"/>
      <c r="U91" s="501"/>
      <c r="V91" s="501"/>
      <c r="W91" s="501"/>
      <c r="X91" s="501"/>
      <c r="Y91" s="501"/>
      <c r="Z91" s="501"/>
      <c r="AA91" s="501"/>
      <c r="AB91" s="501"/>
      <c r="AC91" s="501"/>
    </row>
    <row r="92" ht="15.75" spans="1:29">
      <c r="A92" s="373"/>
      <c r="B92" s="376">
        <f>B28</f>
        <v>111</v>
      </c>
      <c r="C92" s="384"/>
      <c r="D92" s="384"/>
      <c r="E92" s="384"/>
      <c r="F92" s="384"/>
      <c r="G92" s="515"/>
      <c r="H92" s="515"/>
      <c r="I92" s="515"/>
      <c r="J92" s="515"/>
      <c r="K92" s="525"/>
      <c r="L92" s="526"/>
      <c r="M92" s="527"/>
      <c r="N92" s="452"/>
      <c r="O92" s="452"/>
      <c r="P92" s="453"/>
      <c r="Q92" s="442"/>
      <c r="R92" s="349"/>
      <c r="S92" s="349"/>
      <c r="T92" s="349"/>
      <c r="U92" s="349"/>
      <c r="V92" s="349"/>
      <c r="W92" s="349"/>
      <c r="X92" s="349"/>
      <c r="Y92" s="349"/>
      <c r="Z92" s="349"/>
      <c r="AA92" s="349"/>
      <c r="AB92" s="349"/>
      <c r="AC92" s="349"/>
    </row>
    <row r="93" ht="15.75" spans="1:29">
      <c r="A93" s="373"/>
      <c r="B93" s="378"/>
      <c r="C93" s="382"/>
      <c r="D93" s="375"/>
      <c r="E93" s="375"/>
      <c r="F93" s="375"/>
      <c r="G93" s="375"/>
      <c r="H93" s="375"/>
      <c r="I93" s="375"/>
      <c r="J93" s="375"/>
      <c r="K93" s="375"/>
      <c r="L93" s="375"/>
      <c r="M93" s="454"/>
      <c r="N93" s="455"/>
      <c r="O93" s="455"/>
      <c r="P93" s="453"/>
      <c r="Q93" s="442"/>
      <c r="R93" s="349"/>
      <c r="S93" s="349"/>
      <c r="T93" s="349"/>
      <c r="U93" s="349"/>
      <c r="V93" s="349"/>
      <c r="W93" s="349"/>
      <c r="X93" s="349"/>
      <c r="Y93" s="349"/>
      <c r="Z93" s="349"/>
      <c r="AA93" s="349"/>
      <c r="AB93" s="349"/>
      <c r="AC93" s="349"/>
    </row>
    <row r="94" ht="15.75" spans="1:29">
      <c r="A94" s="373"/>
      <c r="B94" s="376">
        <f>B29</f>
        <v>111</v>
      </c>
      <c r="C94" s="384"/>
      <c r="D94" s="384"/>
      <c r="E94" s="384"/>
      <c r="F94" s="384"/>
      <c r="G94" s="515"/>
      <c r="H94" s="515"/>
      <c r="I94" s="515"/>
      <c r="J94" s="515"/>
      <c r="K94" s="525"/>
      <c r="L94" s="526"/>
      <c r="M94" s="527"/>
      <c r="N94" s="452"/>
      <c r="O94" s="452"/>
      <c r="P94" s="453"/>
      <c r="Q94" s="442"/>
      <c r="R94" s="349"/>
      <c r="S94" s="349"/>
      <c r="T94" s="349"/>
      <c r="U94" s="349"/>
      <c r="V94" s="349"/>
      <c r="W94" s="349"/>
      <c r="X94" s="349"/>
      <c r="Y94" s="349"/>
      <c r="Z94" s="349"/>
      <c r="AA94" s="349"/>
      <c r="AB94" s="349"/>
      <c r="AC94" s="349"/>
    </row>
    <row r="95" ht="15.75" spans="1:29">
      <c r="A95" s="373"/>
      <c r="B95" s="378"/>
      <c r="C95" s="382"/>
      <c r="D95" s="382"/>
      <c r="E95" s="382"/>
      <c r="F95" s="382"/>
      <c r="G95" s="375"/>
      <c r="H95" s="375"/>
      <c r="I95" s="375"/>
      <c r="J95" s="375"/>
      <c r="K95" s="375"/>
      <c r="L95" s="375"/>
      <c r="M95" s="454"/>
      <c r="N95" s="455"/>
      <c r="O95" s="455"/>
      <c r="P95" s="453"/>
      <c r="Q95" s="442"/>
      <c r="R95" s="349"/>
      <c r="S95" s="349"/>
      <c r="T95" s="349"/>
      <c r="U95" s="349"/>
      <c r="V95" s="349"/>
      <c r="W95" s="349"/>
      <c r="X95" s="349"/>
      <c r="Y95" s="349"/>
      <c r="Z95" s="349"/>
      <c r="AA95" s="349"/>
      <c r="AB95" s="349"/>
      <c r="AC95" s="349"/>
    </row>
    <row r="96" ht="15.75" spans="1:29">
      <c r="A96" s="373"/>
      <c r="B96" s="376">
        <f>B30</f>
        <v>111</v>
      </c>
      <c r="C96" s="384"/>
      <c r="D96" s="384"/>
      <c r="E96" s="384"/>
      <c r="F96" s="384"/>
      <c r="G96" s="515"/>
      <c r="H96" s="515"/>
      <c r="I96" s="515"/>
      <c r="J96" s="515"/>
      <c r="K96" s="525"/>
      <c r="L96" s="526"/>
      <c r="M96" s="527"/>
      <c r="N96" s="452"/>
      <c r="O96" s="452"/>
      <c r="P96" s="453"/>
      <c r="Q96" s="442"/>
      <c r="R96" s="349"/>
      <c r="S96" s="349"/>
      <c r="T96" s="349"/>
      <c r="U96" s="349"/>
      <c r="V96" s="349"/>
      <c r="W96" s="349"/>
      <c r="X96" s="349"/>
      <c r="Y96" s="349"/>
      <c r="Z96" s="349"/>
      <c r="AA96" s="349"/>
      <c r="AB96" s="349"/>
      <c r="AC96" s="349"/>
    </row>
    <row r="97" ht="15.75" spans="1:29">
      <c r="A97" s="373"/>
      <c r="B97" s="378"/>
      <c r="C97" s="598"/>
      <c r="D97" s="598"/>
      <c r="E97" s="598"/>
      <c r="F97" s="598"/>
      <c r="G97" s="375"/>
      <c r="H97" s="375"/>
      <c r="I97" s="375"/>
      <c r="J97" s="375"/>
      <c r="K97" s="375"/>
      <c r="L97" s="375"/>
      <c r="M97" s="454"/>
      <c r="N97" s="455"/>
      <c r="O97" s="455"/>
      <c r="P97" s="453"/>
      <c r="Q97" s="442"/>
      <c r="R97" s="349"/>
      <c r="S97" s="349"/>
      <c r="T97" s="349"/>
      <c r="U97" s="349"/>
      <c r="V97" s="349"/>
      <c r="W97" s="349"/>
      <c r="X97" s="349"/>
      <c r="Y97" s="349"/>
      <c r="Z97" s="349"/>
      <c r="AA97" s="349"/>
      <c r="AB97" s="349"/>
      <c r="AC97" s="349"/>
    </row>
    <row r="98" ht="15.75" spans="1:29">
      <c r="A98" s="373"/>
      <c r="B98" s="514">
        <f>B31</f>
        <v>111</v>
      </c>
      <c r="C98" s="600"/>
      <c r="D98" s="600"/>
      <c r="E98" s="600"/>
      <c r="F98" s="600"/>
      <c r="G98" s="600"/>
      <c r="H98" s="600"/>
      <c r="I98" s="600"/>
      <c r="J98" s="600"/>
      <c r="K98" s="608"/>
      <c r="L98" s="609"/>
      <c r="M98" s="610"/>
      <c r="N98" s="452"/>
      <c r="O98" s="452"/>
      <c r="P98" s="453"/>
      <c r="Q98" s="442"/>
      <c r="R98" s="349"/>
      <c r="S98" s="349"/>
      <c r="T98" s="349"/>
      <c r="U98" s="349"/>
      <c r="V98" s="349"/>
      <c r="W98" s="349"/>
      <c r="X98" s="349"/>
      <c r="Y98" s="349"/>
      <c r="Z98" s="349"/>
      <c r="AA98" s="349"/>
      <c r="AB98" s="349"/>
      <c r="AC98" s="349"/>
    </row>
    <row r="99" ht="15.75" spans="1:29">
      <c r="A99" s="601"/>
      <c r="B99" s="597"/>
      <c r="C99" s="602"/>
      <c r="D99" s="602"/>
      <c r="E99" s="602"/>
      <c r="F99" s="602"/>
      <c r="G99" s="602"/>
      <c r="H99" s="602"/>
      <c r="I99" s="602"/>
      <c r="J99" s="602"/>
      <c r="K99" s="602"/>
      <c r="L99" s="602"/>
      <c r="M99" s="611"/>
      <c r="N99" s="455"/>
      <c r="O99" s="455"/>
      <c r="P99" s="453"/>
      <c r="Q99" s="442"/>
      <c r="R99" s="349"/>
      <c r="S99" s="349"/>
      <c r="T99" s="349"/>
      <c r="U99" s="349"/>
      <c r="V99" s="349"/>
      <c r="W99" s="349"/>
      <c r="X99" s="349"/>
      <c r="Y99" s="349"/>
      <c r="Z99" s="349"/>
      <c r="AA99" s="349"/>
      <c r="AB99" s="349"/>
      <c r="AC99" s="349"/>
    </row>
    <row r="100" spans="1:29">
      <c r="A100" s="369" t="s">
        <v>1362</v>
      </c>
      <c r="B100" s="370" t="s">
        <v>1569</v>
      </c>
      <c r="C100" s="372"/>
      <c r="D100" s="372"/>
      <c r="E100" s="372"/>
      <c r="F100" s="372"/>
      <c r="G100" s="372"/>
      <c r="H100" s="372"/>
      <c r="I100" s="372"/>
      <c r="J100" s="372"/>
      <c r="K100" s="449"/>
      <c r="L100" s="450"/>
      <c r="M100" s="451"/>
      <c r="N100" s="452"/>
      <c r="O100" s="452"/>
      <c r="P100" s="453"/>
      <c r="Q100" s="442"/>
      <c r="R100" s="349"/>
      <c r="S100" s="349"/>
      <c r="T100" s="349"/>
      <c r="U100" s="349"/>
      <c r="V100" s="349"/>
      <c r="W100" s="349"/>
      <c r="X100" s="349"/>
      <c r="Y100" s="349"/>
      <c r="Z100" s="349"/>
      <c r="AA100" s="349"/>
      <c r="AB100" s="349"/>
      <c r="AC100" s="349"/>
    </row>
    <row r="101" ht="15.75" spans="1:29">
      <c r="A101" s="373"/>
      <c r="B101" s="378"/>
      <c r="C101" s="379">
        <v>100</v>
      </c>
      <c r="D101" s="379">
        <f t="shared" ref="D101:M101" si="22">C101-$K32</f>
        <v>100</v>
      </c>
      <c r="E101" s="379">
        <f t="shared" si="22"/>
        <v>100</v>
      </c>
      <c r="F101" s="379">
        <f t="shared" si="22"/>
        <v>100</v>
      </c>
      <c r="G101" s="379">
        <f t="shared" si="22"/>
        <v>100</v>
      </c>
      <c r="H101" s="379">
        <f t="shared" si="22"/>
        <v>100</v>
      </c>
      <c r="I101" s="379">
        <f t="shared" si="22"/>
        <v>100</v>
      </c>
      <c r="J101" s="379">
        <f t="shared" si="22"/>
        <v>100</v>
      </c>
      <c r="K101" s="379">
        <f t="shared" si="22"/>
        <v>100</v>
      </c>
      <c r="L101" s="379">
        <f t="shared" si="22"/>
        <v>100</v>
      </c>
      <c r="M101" s="379">
        <f t="shared" si="22"/>
        <v>100</v>
      </c>
      <c r="N101" s="455"/>
      <c r="O101" s="455"/>
      <c r="P101" s="453"/>
      <c r="Q101" s="442"/>
      <c r="R101" s="349"/>
      <c r="S101" s="349"/>
      <c r="T101" s="349"/>
      <c r="U101" s="349"/>
      <c r="V101" s="349"/>
      <c r="W101" s="349"/>
      <c r="X101" s="349"/>
      <c r="Y101" s="349"/>
      <c r="Z101" s="349"/>
      <c r="AA101" s="349"/>
      <c r="AB101" s="349"/>
      <c r="AC101" s="349"/>
    </row>
    <row r="102" ht="15.75" spans="1:29">
      <c r="A102" s="373"/>
      <c r="B102" s="376" t="s">
        <v>1571</v>
      </c>
      <c r="C102" s="389" t="str">
        <f>C103&amp;"(含)"&amp;"-"&amp;D103</f>
        <v>(含)-</v>
      </c>
      <c r="D102" s="389" t="str">
        <f t="shared" ref="D102:L102" si="23">D103&amp;"(含)"&amp;"-"&amp;E103</f>
        <v>(含)-</v>
      </c>
      <c r="E102" s="389" t="str">
        <f t="shared" si="23"/>
        <v>(含)-</v>
      </c>
      <c r="F102" s="389" t="str">
        <f t="shared" si="23"/>
        <v>(含)-</v>
      </c>
      <c r="G102" s="389" t="str">
        <f t="shared" si="23"/>
        <v>(含)-</v>
      </c>
      <c r="H102" s="389" t="str">
        <f t="shared" si="23"/>
        <v>(含)-</v>
      </c>
      <c r="I102" s="389" t="str">
        <f t="shared" si="23"/>
        <v>(含)-</v>
      </c>
      <c r="J102" s="389" t="str">
        <f t="shared" si="23"/>
        <v>(含)-</v>
      </c>
      <c r="K102" s="389" t="str">
        <f t="shared" si="23"/>
        <v>(含)-</v>
      </c>
      <c r="L102" s="389" t="str">
        <f t="shared" si="23"/>
        <v>(含)-</v>
      </c>
      <c r="M102" s="389" t="str">
        <f>M103&amp;"(含)"&amp;"-"&amp;P103</f>
        <v>(含)-</v>
      </c>
      <c r="N102" s="447"/>
      <c r="O102" s="447"/>
      <c r="P102" s="453"/>
      <c r="Q102" s="442"/>
      <c r="R102" s="349"/>
      <c r="S102" s="349"/>
      <c r="T102" s="349"/>
      <c r="U102" s="349"/>
      <c r="V102" s="349"/>
      <c r="W102" s="349"/>
      <c r="X102" s="349"/>
      <c r="Y102" s="349"/>
      <c r="Z102" s="349"/>
      <c r="AA102" s="349"/>
      <c r="AB102" s="349"/>
      <c r="AC102" s="349"/>
    </row>
    <row r="103" s="198" customFormat="1" ht="15" spans="1:29">
      <c r="A103" s="521"/>
      <c r="B103" s="603"/>
      <c r="C103" s="520"/>
      <c r="D103" s="520"/>
      <c r="E103" s="520"/>
      <c r="F103" s="520"/>
      <c r="G103" s="520"/>
      <c r="H103" s="520"/>
      <c r="I103" s="520"/>
      <c r="J103" s="534"/>
      <c r="K103" s="534"/>
      <c r="L103" s="535"/>
      <c r="M103" s="536"/>
      <c r="N103" s="465"/>
      <c r="O103" s="465"/>
      <c r="P103" s="466"/>
      <c r="Q103" s="500"/>
      <c r="R103" s="501"/>
      <c r="S103" s="501"/>
      <c r="T103" s="501"/>
      <c r="U103" s="501"/>
      <c r="V103" s="501"/>
      <c r="W103" s="501"/>
      <c r="X103" s="501"/>
      <c r="Y103" s="501"/>
      <c r="Z103" s="501"/>
      <c r="AA103" s="501"/>
      <c r="AB103" s="501"/>
      <c r="AC103" s="501"/>
    </row>
    <row r="104" s="198" customFormat="1" ht="15.75" spans="1:29">
      <c r="A104" s="383"/>
      <c r="B104" s="378"/>
      <c r="C104" s="382"/>
      <c r="D104" s="375"/>
      <c r="E104" s="375"/>
      <c r="F104" s="375"/>
      <c r="G104" s="375"/>
      <c r="H104" s="375"/>
      <c r="I104" s="375"/>
      <c r="J104" s="375"/>
      <c r="K104" s="375"/>
      <c r="L104" s="375"/>
      <c r="M104" s="375"/>
      <c r="N104" s="455"/>
      <c r="O104" s="455"/>
      <c r="P104" s="466"/>
      <c r="Q104" s="500"/>
      <c r="R104" s="501"/>
      <c r="S104" s="501"/>
      <c r="T104" s="501"/>
      <c r="U104" s="501"/>
      <c r="V104" s="501"/>
      <c r="W104" s="501"/>
      <c r="X104" s="501"/>
      <c r="Y104" s="501"/>
      <c r="Z104" s="501"/>
      <c r="AA104" s="501"/>
      <c r="AB104" s="501"/>
      <c r="AC104" s="501"/>
    </row>
    <row r="105" ht="15.75" spans="1:29">
      <c r="A105" s="519"/>
      <c r="B105" s="376" t="s">
        <v>1572</v>
      </c>
      <c r="C105" s="384"/>
      <c r="D105" s="384"/>
      <c r="E105" s="515"/>
      <c r="F105" s="515"/>
      <c r="G105" s="515"/>
      <c r="H105" s="515"/>
      <c r="I105" s="515"/>
      <c r="J105" s="515"/>
      <c r="K105" s="525"/>
      <c r="L105" s="526"/>
      <c r="M105" s="527"/>
      <c r="N105" s="452"/>
      <c r="O105" s="452"/>
      <c r="P105" s="453"/>
      <c r="Q105" s="442"/>
      <c r="R105" s="349"/>
      <c r="S105" s="349"/>
      <c r="T105" s="349"/>
      <c r="U105" s="349"/>
      <c r="V105" s="349"/>
      <c r="W105" s="349"/>
      <c r="X105" s="349"/>
      <c r="Y105" s="349"/>
      <c r="Z105" s="349"/>
      <c r="AA105" s="349"/>
      <c r="AB105" s="349"/>
      <c r="AC105" s="349"/>
    </row>
    <row r="106" ht="15.75" spans="1:29">
      <c r="A106" s="373"/>
      <c r="B106" s="378"/>
      <c r="C106" s="379">
        <v>100</v>
      </c>
      <c r="D106" s="379">
        <f t="shared" ref="D106:M106" si="24">C106-$K34</f>
        <v>100</v>
      </c>
      <c r="E106" s="379">
        <f t="shared" si="24"/>
        <v>100</v>
      </c>
      <c r="F106" s="379">
        <f t="shared" si="24"/>
        <v>100</v>
      </c>
      <c r="G106" s="379">
        <f t="shared" si="24"/>
        <v>100</v>
      </c>
      <c r="H106" s="379">
        <f t="shared" si="24"/>
        <v>100</v>
      </c>
      <c r="I106" s="379">
        <f t="shared" si="24"/>
        <v>100</v>
      </c>
      <c r="J106" s="379">
        <f t="shared" si="24"/>
        <v>100</v>
      </c>
      <c r="K106" s="379">
        <f t="shared" si="24"/>
        <v>100</v>
      </c>
      <c r="L106" s="379">
        <f t="shared" si="24"/>
        <v>100</v>
      </c>
      <c r="M106" s="379">
        <f t="shared" si="24"/>
        <v>100</v>
      </c>
      <c r="N106" s="455"/>
      <c r="O106" s="455"/>
      <c r="P106" s="453"/>
      <c r="Q106" s="442"/>
      <c r="R106" s="349"/>
      <c r="S106" s="349"/>
      <c r="T106" s="349"/>
      <c r="U106" s="349"/>
      <c r="V106" s="349"/>
      <c r="W106" s="349"/>
      <c r="X106" s="349"/>
      <c r="Y106" s="349"/>
      <c r="Z106" s="349"/>
      <c r="AA106" s="349"/>
      <c r="AB106" s="349"/>
      <c r="AC106" s="349"/>
    </row>
    <row r="107" ht="15.75" spans="1:29">
      <c r="A107" s="519"/>
      <c r="B107" s="376" t="s">
        <v>2356</v>
      </c>
      <c r="C107" s="515"/>
      <c r="D107" s="515"/>
      <c r="E107" s="515"/>
      <c r="F107" s="515"/>
      <c r="G107" s="515"/>
      <c r="H107" s="515"/>
      <c r="I107" s="515"/>
      <c r="J107" s="515"/>
      <c r="K107" s="525"/>
      <c r="L107" s="526"/>
      <c r="M107" s="527"/>
      <c r="N107" s="452"/>
      <c r="O107" s="452"/>
      <c r="P107" s="453"/>
      <c r="Q107" s="442"/>
      <c r="R107" s="349"/>
      <c r="S107" s="349"/>
      <c r="T107" s="349"/>
      <c r="U107" s="349"/>
      <c r="V107" s="349"/>
      <c r="W107" s="349"/>
      <c r="X107" s="349"/>
      <c r="Y107" s="349"/>
      <c r="Z107" s="349"/>
      <c r="AA107" s="349"/>
      <c r="AB107" s="349"/>
      <c r="AC107" s="349"/>
    </row>
    <row r="108" ht="15.75" spans="1:29">
      <c r="A108" s="373"/>
      <c r="B108" s="378"/>
      <c r="C108" s="379">
        <v>100</v>
      </c>
      <c r="D108" s="379">
        <f t="shared" ref="D108:M108" si="25">C108-$K35</f>
        <v>100</v>
      </c>
      <c r="E108" s="379">
        <f t="shared" si="25"/>
        <v>100</v>
      </c>
      <c r="F108" s="379">
        <f t="shared" si="25"/>
        <v>100</v>
      </c>
      <c r="G108" s="379">
        <f t="shared" si="25"/>
        <v>100</v>
      </c>
      <c r="H108" s="379">
        <f t="shared" si="25"/>
        <v>100</v>
      </c>
      <c r="I108" s="379">
        <f t="shared" si="25"/>
        <v>100</v>
      </c>
      <c r="J108" s="379">
        <f t="shared" si="25"/>
        <v>100</v>
      </c>
      <c r="K108" s="379">
        <f t="shared" si="25"/>
        <v>100</v>
      </c>
      <c r="L108" s="379">
        <f t="shared" si="25"/>
        <v>100</v>
      </c>
      <c r="M108" s="379">
        <f t="shared" si="25"/>
        <v>100</v>
      </c>
      <c r="N108" s="455"/>
      <c r="O108" s="455"/>
      <c r="P108" s="453"/>
      <c r="Q108" s="442"/>
      <c r="R108" s="349"/>
      <c r="S108" s="349"/>
      <c r="T108" s="349"/>
      <c r="U108" s="349"/>
      <c r="V108" s="349"/>
      <c r="W108" s="349"/>
      <c r="X108" s="349"/>
      <c r="Y108" s="349"/>
      <c r="Z108" s="349"/>
      <c r="AA108" s="349"/>
      <c r="AB108" s="349"/>
      <c r="AC108" s="349"/>
    </row>
    <row r="109" ht="15.75" spans="1:29">
      <c r="A109" s="519"/>
      <c r="B109" s="376" t="s">
        <v>1573</v>
      </c>
      <c r="C109" s="384"/>
      <c r="D109" s="384"/>
      <c r="E109" s="384"/>
      <c r="F109" s="515"/>
      <c r="G109" s="515"/>
      <c r="H109" s="515"/>
      <c r="I109" s="515"/>
      <c r="J109" s="515"/>
      <c r="K109" s="525"/>
      <c r="L109" s="526"/>
      <c r="M109" s="527"/>
      <c r="N109" s="452"/>
      <c r="O109" s="452"/>
      <c r="P109" s="453"/>
      <c r="Q109" s="442"/>
      <c r="R109" s="349"/>
      <c r="S109" s="349"/>
      <c r="T109" s="349"/>
      <c r="U109" s="349"/>
      <c r="V109" s="349"/>
      <c r="W109" s="349"/>
      <c r="X109" s="349"/>
      <c r="Y109" s="349"/>
      <c r="Z109" s="349"/>
      <c r="AA109" s="349"/>
      <c r="AB109" s="349"/>
      <c r="AC109" s="349"/>
    </row>
    <row r="110" ht="15.75" spans="1:29">
      <c r="A110" s="373"/>
      <c r="B110" s="378"/>
      <c r="C110" s="379">
        <v>100</v>
      </c>
      <c r="D110" s="379">
        <f t="shared" ref="D110:M110" si="26">C110-$K36</f>
        <v>100</v>
      </c>
      <c r="E110" s="379">
        <f t="shared" si="26"/>
        <v>100</v>
      </c>
      <c r="F110" s="379">
        <f t="shared" si="26"/>
        <v>100</v>
      </c>
      <c r="G110" s="379">
        <f t="shared" si="26"/>
        <v>100</v>
      </c>
      <c r="H110" s="379">
        <f t="shared" si="26"/>
        <v>100</v>
      </c>
      <c r="I110" s="379">
        <f t="shared" si="26"/>
        <v>100</v>
      </c>
      <c r="J110" s="379">
        <f t="shared" si="26"/>
        <v>100</v>
      </c>
      <c r="K110" s="379">
        <f t="shared" si="26"/>
        <v>100</v>
      </c>
      <c r="L110" s="379">
        <f t="shared" si="26"/>
        <v>100</v>
      </c>
      <c r="M110" s="379">
        <f t="shared" si="26"/>
        <v>100</v>
      </c>
      <c r="N110" s="455"/>
      <c r="O110" s="455"/>
      <c r="P110" s="453"/>
      <c r="Q110" s="442"/>
      <c r="R110" s="349"/>
      <c r="S110" s="349"/>
      <c r="T110" s="349"/>
      <c r="U110" s="349"/>
      <c r="V110" s="349"/>
      <c r="W110" s="349"/>
      <c r="X110" s="349"/>
      <c r="Y110" s="349"/>
      <c r="Z110" s="349"/>
      <c r="AA110" s="349"/>
      <c r="AB110" s="349"/>
      <c r="AC110" s="349"/>
    </row>
    <row r="111" s="198" customFormat="1" ht="15.75" spans="1:29">
      <c r="A111" s="521"/>
      <c r="B111" s="376" t="s">
        <v>1575</v>
      </c>
      <c r="C111" s="389" t="str">
        <f>C112&amp;"(含)"&amp;"-"&amp;D112</f>
        <v>0.5(含)-0.6</v>
      </c>
      <c r="D111" s="389" t="str">
        <f>D112&amp;"(含)"&amp;"-"&amp;E112</f>
        <v>0.6(含)-0.7</v>
      </c>
      <c r="E111" s="389" t="str">
        <f>E112&amp;"(含)"&amp;"-"&amp;F112</f>
        <v>0.7(含)-0.8</v>
      </c>
      <c r="F111" s="389" t="str">
        <f>F112&amp;"(含)"&amp;"-"&amp;G112</f>
        <v>0.8(含)-0.9</v>
      </c>
      <c r="G111" s="389" t="str">
        <f>G112&amp;"(含)"&amp;"-"&amp;ROUND(H112,0)</f>
        <v>0.9(含)-1</v>
      </c>
      <c r="H111" s="389" t="str">
        <f>ROUND(H112,0)&amp;"(含)"&amp;"-"&amp;I112</f>
        <v>1(含)-</v>
      </c>
      <c r="I111" s="389"/>
      <c r="J111" s="662"/>
      <c r="K111" s="662"/>
      <c r="L111" s="663"/>
      <c r="M111" s="664"/>
      <c r="N111" s="465"/>
      <c r="O111" s="465"/>
      <c r="P111" s="466"/>
      <c r="Q111" s="500"/>
      <c r="R111" s="501"/>
      <c r="S111" s="501"/>
      <c r="T111" s="501"/>
      <c r="U111" s="501"/>
      <c r="V111" s="501"/>
      <c r="W111" s="501"/>
      <c r="X111" s="501"/>
      <c r="Y111" s="501"/>
      <c r="Z111" s="501"/>
      <c r="AA111" s="501"/>
      <c r="AB111" s="501"/>
      <c r="AC111" s="501"/>
    </row>
    <row r="112" s="198" customFormat="1" ht="15" spans="1:29">
      <c r="A112" s="521"/>
      <c r="B112" s="514"/>
      <c r="C112" s="517">
        <v>0.5</v>
      </c>
      <c r="D112" s="517">
        <v>0.6</v>
      </c>
      <c r="E112" s="517">
        <v>0.7</v>
      </c>
      <c r="F112" s="517">
        <v>0.8</v>
      </c>
      <c r="G112" s="517">
        <v>0.9</v>
      </c>
      <c r="H112" s="517">
        <v>1.0001</v>
      </c>
      <c r="I112" s="517"/>
      <c r="J112" s="665"/>
      <c r="K112" s="665"/>
      <c r="L112" s="666"/>
      <c r="M112" s="667"/>
      <c r="N112" s="465"/>
      <c r="O112" s="465"/>
      <c r="P112" s="466"/>
      <c r="Q112" s="500"/>
      <c r="R112" s="501"/>
      <c r="S112" s="501"/>
      <c r="T112" s="501"/>
      <c r="U112" s="501"/>
      <c r="V112" s="501"/>
      <c r="W112" s="501"/>
      <c r="X112" s="501"/>
      <c r="Y112" s="501"/>
      <c r="Z112" s="501"/>
      <c r="AA112" s="501"/>
      <c r="AB112" s="501"/>
      <c r="AC112" s="501"/>
    </row>
    <row r="113" s="198" customFormat="1" ht="15.75" spans="1:29">
      <c r="A113" s="383"/>
      <c r="B113" s="378"/>
      <c r="C113" s="518">
        <v>100</v>
      </c>
      <c r="D113" s="379">
        <f>C113+$K37</f>
        <v>100</v>
      </c>
      <c r="E113" s="379">
        <f>D113+$K37</f>
        <v>100</v>
      </c>
      <c r="F113" s="379">
        <f>E113+$K37</f>
        <v>100</v>
      </c>
      <c r="G113" s="379">
        <f>F113+$K37</f>
        <v>100</v>
      </c>
      <c r="H113" s="379">
        <f>G113+$K37</f>
        <v>100</v>
      </c>
      <c r="I113" s="518"/>
      <c r="J113" s="668"/>
      <c r="K113" s="668"/>
      <c r="L113" s="668"/>
      <c r="M113" s="669"/>
      <c r="N113" s="465"/>
      <c r="O113" s="465"/>
      <c r="P113" s="466"/>
      <c r="Q113" s="500"/>
      <c r="R113" s="501"/>
      <c r="S113" s="501"/>
      <c r="T113" s="501"/>
      <c r="U113" s="501"/>
      <c r="V113" s="501"/>
      <c r="W113" s="501"/>
      <c r="X113" s="501"/>
      <c r="Y113" s="501"/>
      <c r="Z113" s="501"/>
      <c r="AA113" s="501"/>
      <c r="AB113" s="501"/>
      <c r="AC113" s="501"/>
    </row>
    <row r="114" ht="15.75" spans="1:29">
      <c r="A114" s="519"/>
      <c r="B114" s="376" t="s">
        <v>1577</v>
      </c>
      <c r="C114" s="384"/>
      <c r="D114" s="384"/>
      <c r="E114" s="515"/>
      <c r="F114" s="515"/>
      <c r="G114" s="515"/>
      <c r="H114" s="515"/>
      <c r="I114" s="515"/>
      <c r="J114" s="515"/>
      <c r="K114" s="525"/>
      <c r="L114" s="526"/>
      <c r="M114" s="527"/>
      <c r="N114" s="452"/>
      <c r="O114" s="452"/>
      <c r="P114" s="453"/>
      <c r="Q114" s="442"/>
      <c r="R114" s="349"/>
      <c r="S114" s="349"/>
      <c r="T114" s="349"/>
      <c r="U114" s="349"/>
      <c r="V114" s="349"/>
      <c r="W114" s="349"/>
      <c r="X114" s="349"/>
      <c r="Y114" s="349"/>
      <c r="Z114" s="349"/>
      <c r="AA114" s="349"/>
      <c r="AB114" s="349"/>
      <c r="AC114" s="349"/>
    </row>
    <row r="115" ht="15.75" spans="1:29">
      <c r="A115" s="373"/>
      <c r="B115" s="378"/>
      <c r="C115" s="379">
        <v>100</v>
      </c>
      <c r="D115" s="379">
        <f t="shared" ref="D115:M115" si="27">C115-$K38</f>
        <v>100</v>
      </c>
      <c r="E115" s="379">
        <f t="shared" si="27"/>
        <v>100</v>
      </c>
      <c r="F115" s="379">
        <f t="shared" si="27"/>
        <v>100</v>
      </c>
      <c r="G115" s="379">
        <f t="shared" si="27"/>
        <v>100</v>
      </c>
      <c r="H115" s="379">
        <f t="shared" si="27"/>
        <v>100</v>
      </c>
      <c r="I115" s="379">
        <f t="shared" si="27"/>
        <v>100</v>
      </c>
      <c r="J115" s="379">
        <f t="shared" si="27"/>
        <v>100</v>
      </c>
      <c r="K115" s="379">
        <f t="shared" si="27"/>
        <v>100</v>
      </c>
      <c r="L115" s="379">
        <f t="shared" si="27"/>
        <v>100</v>
      </c>
      <c r="M115" s="379">
        <f t="shared" si="27"/>
        <v>100</v>
      </c>
      <c r="N115" s="455"/>
      <c r="O115" s="455"/>
      <c r="P115" s="453"/>
      <c r="Q115" s="442"/>
      <c r="R115" s="349"/>
      <c r="S115" s="349"/>
      <c r="T115" s="349"/>
      <c r="U115" s="349"/>
      <c r="V115" s="349"/>
      <c r="W115" s="349"/>
      <c r="X115" s="349"/>
      <c r="Y115" s="349"/>
      <c r="Z115" s="349"/>
      <c r="AA115" s="349"/>
      <c r="AB115" s="349"/>
      <c r="AC115" s="349"/>
    </row>
    <row r="116" ht="15.75" spans="1:29">
      <c r="A116" s="519"/>
      <c r="B116" s="388" t="s">
        <v>1578</v>
      </c>
      <c r="C116" s="384"/>
      <c r="D116" s="384"/>
      <c r="E116" s="384"/>
      <c r="F116" s="384"/>
      <c r="G116" s="384"/>
      <c r="H116" s="515"/>
      <c r="I116" s="515"/>
      <c r="J116" s="515"/>
      <c r="K116" s="525"/>
      <c r="L116" s="526"/>
      <c r="M116" s="527"/>
      <c r="N116" s="452"/>
      <c r="O116" s="452"/>
      <c r="P116" s="453"/>
      <c r="Q116" s="442"/>
      <c r="R116" s="349"/>
      <c r="S116" s="349"/>
      <c r="T116" s="349"/>
      <c r="U116" s="349"/>
      <c r="V116" s="349"/>
      <c r="W116" s="349"/>
      <c r="X116" s="349"/>
      <c r="Y116" s="349"/>
      <c r="Z116" s="349"/>
      <c r="AA116" s="349"/>
      <c r="AB116" s="349"/>
      <c r="AC116" s="349"/>
    </row>
    <row r="117" ht="15.75" spans="1:29">
      <c r="A117" s="373"/>
      <c r="B117" s="378"/>
      <c r="C117" s="379">
        <v>100</v>
      </c>
      <c r="D117" s="379">
        <f>C117-$K39</f>
        <v>100</v>
      </c>
      <c r="E117" s="379">
        <f>D117-$K39</f>
        <v>100</v>
      </c>
      <c r="F117" s="379">
        <f>E117-$K39</f>
        <v>100</v>
      </c>
      <c r="G117" s="379">
        <f>F117-$K39</f>
        <v>100</v>
      </c>
      <c r="H117" s="379"/>
      <c r="I117" s="379"/>
      <c r="J117" s="379"/>
      <c r="K117" s="379"/>
      <c r="L117" s="379"/>
      <c r="M117" s="459"/>
      <c r="N117" s="455"/>
      <c r="O117" s="455"/>
      <c r="P117" s="453"/>
      <c r="Q117" s="442"/>
      <c r="R117" s="349"/>
      <c r="S117" s="349"/>
      <c r="T117" s="349"/>
      <c r="U117" s="349"/>
      <c r="V117" s="349"/>
      <c r="W117" s="349"/>
      <c r="X117" s="349"/>
      <c r="Y117" s="349"/>
      <c r="Z117" s="349"/>
      <c r="AA117" s="349"/>
      <c r="AB117" s="349"/>
      <c r="AC117" s="349"/>
    </row>
    <row r="118" ht="15.75" spans="1:29">
      <c r="A118" s="519"/>
      <c r="B118" s="376" t="s">
        <v>2357</v>
      </c>
      <c r="C118" s="515"/>
      <c r="D118" s="515"/>
      <c r="E118" s="515"/>
      <c r="F118" s="515"/>
      <c r="G118" s="515"/>
      <c r="H118" s="515"/>
      <c r="I118" s="515"/>
      <c r="J118" s="515"/>
      <c r="K118" s="525"/>
      <c r="L118" s="526"/>
      <c r="M118" s="527"/>
      <c r="N118" s="452"/>
      <c r="O118" s="452"/>
      <c r="P118" s="453"/>
      <c r="Q118" s="442"/>
      <c r="R118" s="349"/>
      <c r="S118" s="349"/>
      <c r="T118" s="349"/>
      <c r="U118" s="349"/>
      <c r="V118" s="349"/>
      <c r="W118" s="349"/>
      <c r="X118" s="349"/>
      <c r="Y118" s="349"/>
      <c r="Z118" s="349"/>
      <c r="AA118" s="349"/>
      <c r="AB118" s="349"/>
      <c r="AC118" s="349"/>
    </row>
    <row r="119" ht="15.75" spans="1:29">
      <c r="A119" s="373"/>
      <c r="B119" s="378"/>
      <c r="C119" s="379">
        <v>100</v>
      </c>
      <c r="D119" s="379">
        <f t="shared" ref="D119:M119" si="28">C119-$K40</f>
        <v>100</v>
      </c>
      <c r="E119" s="379">
        <f t="shared" si="28"/>
        <v>100</v>
      </c>
      <c r="F119" s="379">
        <f t="shared" si="28"/>
        <v>100</v>
      </c>
      <c r="G119" s="379">
        <f t="shared" si="28"/>
        <v>100</v>
      </c>
      <c r="H119" s="379">
        <f t="shared" si="28"/>
        <v>100</v>
      </c>
      <c r="I119" s="379">
        <f t="shared" si="28"/>
        <v>100</v>
      </c>
      <c r="J119" s="379">
        <f t="shared" si="28"/>
        <v>100</v>
      </c>
      <c r="K119" s="379">
        <f t="shared" si="28"/>
        <v>100</v>
      </c>
      <c r="L119" s="379">
        <f t="shared" si="28"/>
        <v>100</v>
      </c>
      <c r="M119" s="379">
        <f t="shared" si="28"/>
        <v>100</v>
      </c>
      <c r="N119" s="455"/>
      <c r="O119" s="455"/>
      <c r="P119" s="453"/>
      <c r="Q119" s="442"/>
      <c r="R119" s="349"/>
      <c r="S119" s="349"/>
      <c r="T119" s="349"/>
      <c r="U119" s="349"/>
      <c r="V119" s="349"/>
      <c r="W119" s="349"/>
      <c r="X119" s="349"/>
      <c r="Y119" s="349"/>
      <c r="Z119" s="349"/>
      <c r="AA119" s="349"/>
      <c r="AB119" s="349"/>
      <c r="AC119" s="349"/>
    </row>
    <row r="120" s="198" customFormat="1" ht="28.5" spans="1:29">
      <c r="A120" s="521"/>
      <c r="B120" s="376" t="s">
        <v>2358</v>
      </c>
      <c r="C120" s="384"/>
      <c r="D120" s="384"/>
      <c r="E120" s="384"/>
      <c r="F120" s="384"/>
      <c r="G120" s="384"/>
      <c r="H120" s="384"/>
      <c r="I120" s="384"/>
      <c r="J120" s="384"/>
      <c r="K120" s="384"/>
      <c r="L120" s="528"/>
      <c r="M120" s="529"/>
      <c r="N120" s="465"/>
      <c r="O120" s="465"/>
      <c r="P120" s="466"/>
      <c r="Q120" s="500"/>
      <c r="R120" s="501"/>
      <c r="S120" s="501"/>
      <c r="T120" s="501"/>
      <c r="U120" s="501"/>
      <c r="V120" s="501"/>
      <c r="W120" s="501"/>
      <c r="X120" s="501"/>
      <c r="Y120" s="501"/>
      <c r="Z120" s="501"/>
      <c r="AA120" s="501"/>
      <c r="AB120" s="501"/>
      <c r="AC120" s="501"/>
    </row>
    <row r="121" s="198" customFormat="1" ht="15.75" spans="1:29">
      <c r="A121" s="383"/>
      <c r="B121" s="374"/>
      <c r="C121" s="382"/>
      <c r="D121" s="375"/>
      <c r="E121" s="375"/>
      <c r="F121" s="375"/>
      <c r="G121" s="375"/>
      <c r="H121" s="375"/>
      <c r="I121" s="375"/>
      <c r="J121" s="375"/>
      <c r="K121" s="375"/>
      <c r="L121" s="375"/>
      <c r="M121" s="375"/>
      <c r="N121" s="465"/>
      <c r="O121" s="465"/>
      <c r="P121" s="466"/>
      <c r="Q121" s="500"/>
      <c r="R121" s="501"/>
      <c r="S121" s="501"/>
      <c r="T121" s="501"/>
      <c r="U121" s="501"/>
      <c r="V121" s="501"/>
      <c r="W121" s="501"/>
      <c r="X121" s="501"/>
      <c r="Y121" s="501"/>
      <c r="Z121" s="501"/>
      <c r="AA121" s="501"/>
      <c r="AB121" s="501"/>
      <c r="AC121" s="501"/>
    </row>
    <row r="122" ht="15.75" spans="1:29">
      <c r="A122" s="519"/>
      <c r="B122" s="376" t="s">
        <v>1581</v>
      </c>
      <c r="C122" s="384"/>
      <c r="D122" s="384"/>
      <c r="E122" s="384"/>
      <c r="F122" s="515"/>
      <c r="G122" s="515"/>
      <c r="H122" s="515"/>
      <c r="I122" s="515"/>
      <c r="J122" s="515"/>
      <c r="K122" s="525"/>
      <c r="L122" s="526"/>
      <c r="M122" s="527"/>
      <c r="N122" s="452"/>
      <c r="O122" s="452"/>
      <c r="P122" s="453"/>
      <c r="Q122" s="442"/>
      <c r="R122" s="349"/>
      <c r="S122" s="349"/>
      <c r="T122" s="349"/>
      <c r="U122" s="349"/>
      <c r="V122" s="349"/>
      <c r="W122" s="349"/>
      <c r="X122" s="349"/>
      <c r="Y122" s="349"/>
      <c r="Z122" s="349"/>
      <c r="AA122" s="349"/>
      <c r="AB122" s="349"/>
      <c r="AC122" s="349"/>
    </row>
    <row r="123" ht="15.75" spans="1:29">
      <c r="A123" s="373"/>
      <c r="B123" s="378"/>
      <c r="C123" s="379">
        <v>100</v>
      </c>
      <c r="D123" s="379">
        <f t="shared" ref="D123:M123" si="29">C123-$K42</f>
        <v>100</v>
      </c>
      <c r="E123" s="379">
        <f t="shared" si="29"/>
        <v>100</v>
      </c>
      <c r="F123" s="379">
        <f t="shared" si="29"/>
        <v>100</v>
      </c>
      <c r="G123" s="379">
        <f t="shared" si="29"/>
        <v>100</v>
      </c>
      <c r="H123" s="379">
        <f t="shared" si="29"/>
        <v>100</v>
      </c>
      <c r="I123" s="379">
        <f t="shared" si="29"/>
        <v>100</v>
      </c>
      <c r="J123" s="379">
        <f t="shared" si="29"/>
        <v>100</v>
      </c>
      <c r="K123" s="379">
        <f t="shared" si="29"/>
        <v>100</v>
      </c>
      <c r="L123" s="379">
        <f t="shared" si="29"/>
        <v>100</v>
      </c>
      <c r="M123" s="379">
        <f t="shared" si="29"/>
        <v>100</v>
      </c>
      <c r="N123" s="455"/>
      <c r="O123" s="455"/>
      <c r="P123" s="453"/>
      <c r="Q123" s="442"/>
      <c r="R123" s="349"/>
      <c r="S123" s="349"/>
      <c r="T123" s="349"/>
      <c r="U123" s="349"/>
      <c r="V123" s="349"/>
      <c r="W123" s="349"/>
      <c r="X123" s="349"/>
      <c r="Y123" s="349"/>
      <c r="Z123" s="349"/>
      <c r="AA123" s="349"/>
      <c r="AB123" s="349"/>
      <c r="AC123" s="349"/>
    </row>
    <row r="124" ht="15.75" spans="1:29">
      <c r="A124" s="519"/>
      <c r="B124" s="376" t="s">
        <v>235</v>
      </c>
      <c r="C124" s="389" t="s">
        <v>246</v>
      </c>
      <c r="D124" s="389" t="s">
        <v>258</v>
      </c>
      <c r="E124" s="389" t="s">
        <v>269</v>
      </c>
      <c r="F124" s="389" t="s">
        <v>279</v>
      </c>
      <c r="G124" s="389" t="s">
        <v>287</v>
      </c>
      <c r="H124" s="377"/>
      <c r="I124" s="377"/>
      <c r="J124" s="377"/>
      <c r="K124" s="456"/>
      <c r="L124" s="457"/>
      <c r="M124" s="458"/>
      <c r="N124" s="452"/>
      <c r="O124" s="452"/>
      <c r="P124" s="466"/>
      <c r="Q124" s="442"/>
      <c r="R124" s="349"/>
      <c r="S124" s="349"/>
      <c r="T124" s="349"/>
      <c r="U124" s="349"/>
      <c r="V124" s="349"/>
      <c r="W124" s="349"/>
      <c r="X124" s="349"/>
      <c r="Y124" s="349"/>
      <c r="Z124" s="349"/>
      <c r="AA124" s="349"/>
      <c r="AB124" s="349"/>
      <c r="AC124" s="349"/>
    </row>
    <row r="125" ht="15.75" spans="1:29">
      <c r="A125" s="373"/>
      <c r="B125" s="378"/>
      <c r="C125" s="379">
        <v>100</v>
      </c>
      <c r="D125" s="379">
        <f>C125-$K43</f>
        <v>100</v>
      </c>
      <c r="E125" s="379">
        <f>D125-$K43</f>
        <v>100</v>
      </c>
      <c r="F125" s="379">
        <f>E125-$K43</f>
        <v>100</v>
      </c>
      <c r="G125" s="379">
        <f>F125-$K43</f>
        <v>100</v>
      </c>
      <c r="H125" s="379"/>
      <c r="I125" s="379"/>
      <c r="J125" s="379"/>
      <c r="K125" s="379"/>
      <c r="L125" s="379"/>
      <c r="M125" s="459"/>
      <c r="N125" s="455"/>
      <c r="O125" s="455"/>
      <c r="P125" s="453"/>
      <c r="Q125" s="442"/>
      <c r="R125" s="349"/>
      <c r="S125" s="349"/>
      <c r="T125" s="349"/>
      <c r="U125" s="349"/>
      <c r="V125" s="349"/>
      <c r="W125" s="349"/>
      <c r="X125" s="349"/>
      <c r="Y125" s="349"/>
      <c r="Z125" s="349"/>
      <c r="AA125" s="349"/>
      <c r="AB125" s="349"/>
      <c r="AC125" s="349"/>
    </row>
    <row r="126" s="198" customFormat="1" ht="15.75" spans="1:29">
      <c r="A126" s="521"/>
      <c r="B126" s="376">
        <f>B44</f>
        <v>111</v>
      </c>
      <c r="C126" s="384"/>
      <c r="D126" s="384"/>
      <c r="E126" s="384"/>
      <c r="F126" s="384"/>
      <c r="G126" s="384"/>
      <c r="H126" s="385"/>
      <c r="I126" s="385"/>
      <c r="J126" s="385"/>
      <c r="K126" s="385"/>
      <c r="L126" s="463"/>
      <c r="M126" s="464"/>
      <c r="N126" s="465"/>
      <c r="O126" s="465"/>
      <c r="P126" s="466"/>
      <c r="Q126" s="500"/>
      <c r="R126" s="501"/>
      <c r="S126" s="501"/>
      <c r="T126" s="501"/>
      <c r="U126" s="501"/>
      <c r="V126" s="501"/>
      <c r="W126" s="501"/>
      <c r="X126" s="501"/>
      <c r="Y126" s="501"/>
      <c r="Z126" s="501"/>
      <c r="AA126" s="501"/>
      <c r="AB126" s="501"/>
      <c r="AC126" s="501"/>
    </row>
    <row r="127" s="198" customFormat="1" ht="15.75" spans="1:29">
      <c r="A127" s="383"/>
      <c r="B127" s="378"/>
      <c r="C127" s="382"/>
      <c r="D127" s="375"/>
      <c r="E127" s="375"/>
      <c r="F127" s="375"/>
      <c r="G127" s="382"/>
      <c r="H127" s="386"/>
      <c r="I127" s="386"/>
      <c r="J127" s="386"/>
      <c r="K127" s="386"/>
      <c r="L127" s="386"/>
      <c r="M127" s="467"/>
      <c r="N127" s="465"/>
      <c r="O127" s="465"/>
      <c r="P127" s="466"/>
      <c r="Q127" s="500"/>
      <c r="R127" s="501"/>
      <c r="S127" s="501"/>
      <c r="T127" s="501"/>
      <c r="U127" s="501"/>
      <c r="V127" s="501"/>
      <c r="W127" s="501"/>
      <c r="X127" s="501"/>
      <c r="Y127" s="501"/>
      <c r="Z127" s="501"/>
      <c r="AA127" s="501"/>
      <c r="AB127" s="501"/>
      <c r="AC127" s="501"/>
    </row>
    <row r="128" ht="15.75" spans="1:29">
      <c r="A128" s="519"/>
      <c r="B128" s="376">
        <f>B45</f>
        <v>111</v>
      </c>
      <c r="C128" s="384"/>
      <c r="D128" s="384"/>
      <c r="E128" s="384"/>
      <c r="F128" s="384"/>
      <c r="G128" s="515"/>
      <c r="H128" s="515"/>
      <c r="I128" s="515"/>
      <c r="J128" s="515"/>
      <c r="K128" s="525"/>
      <c r="L128" s="526"/>
      <c r="M128" s="527"/>
      <c r="N128" s="452"/>
      <c r="O128" s="452"/>
      <c r="P128" s="453"/>
      <c r="Q128" s="442"/>
      <c r="R128" s="349"/>
      <c r="S128" s="349"/>
      <c r="T128" s="349"/>
      <c r="U128" s="349"/>
      <c r="V128" s="349"/>
      <c r="W128" s="349"/>
      <c r="X128" s="349"/>
      <c r="Y128" s="349"/>
      <c r="Z128" s="349"/>
      <c r="AA128" s="349"/>
      <c r="AB128" s="349"/>
      <c r="AC128" s="349"/>
    </row>
    <row r="129" ht="15.75" spans="1:29">
      <c r="A129" s="373"/>
      <c r="B129" s="378"/>
      <c r="C129" s="382"/>
      <c r="D129" s="382"/>
      <c r="E129" s="382"/>
      <c r="F129" s="382"/>
      <c r="G129" s="375"/>
      <c r="H129" s="375"/>
      <c r="I129" s="375"/>
      <c r="J129" s="375"/>
      <c r="K129" s="375"/>
      <c r="L129" s="375"/>
      <c r="M129" s="454"/>
      <c r="N129" s="455"/>
      <c r="O129" s="455"/>
      <c r="P129" s="453"/>
      <c r="Q129" s="442"/>
      <c r="R129" s="349"/>
      <c r="S129" s="349"/>
      <c r="T129" s="349"/>
      <c r="U129" s="349"/>
      <c r="V129" s="349"/>
      <c r="W129" s="349"/>
      <c r="X129" s="349"/>
      <c r="Y129" s="349"/>
      <c r="Z129" s="349"/>
      <c r="AA129" s="349"/>
      <c r="AB129" s="349"/>
      <c r="AC129" s="349"/>
    </row>
    <row r="130" ht="15.75" spans="1:29">
      <c r="A130" s="519"/>
      <c r="B130" s="514">
        <f>B46</f>
        <v>111</v>
      </c>
      <c r="C130" s="384"/>
      <c r="D130" s="384"/>
      <c r="E130" s="384"/>
      <c r="F130" s="384"/>
      <c r="G130" s="600"/>
      <c r="H130" s="600"/>
      <c r="I130" s="600"/>
      <c r="J130" s="600"/>
      <c r="K130" s="368"/>
      <c r="L130" s="445"/>
      <c r="M130" s="610"/>
      <c r="N130" s="452"/>
      <c r="O130" s="452"/>
      <c r="P130" s="453"/>
      <c r="Q130" s="442"/>
      <c r="R130" s="349"/>
      <c r="S130" s="349"/>
      <c r="T130" s="349"/>
      <c r="U130" s="349"/>
      <c r="V130" s="349"/>
      <c r="W130" s="349"/>
      <c r="X130" s="349"/>
      <c r="Y130" s="349"/>
      <c r="Z130" s="349"/>
      <c r="AA130" s="349"/>
      <c r="AB130" s="349"/>
      <c r="AC130" s="349"/>
    </row>
    <row r="131" ht="15.75" spans="1:29">
      <c r="A131" s="601"/>
      <c r="B131" s="597"/>
      <c r="C131" s="598"/>
      <c r="D131" s="598"/>
      <c r="E131" s="598"/>
      <c r="F131" s="598"/>
      <c r="G131" s="602"/>
      <c r="H131" s="602"/>
      <c r="I131" s="602"/>
      <c r="J131" s="602"/>
      <c r="K131" s="602"/>
      <c r="L131" s="602"/>
      <c r="M131" s="611"/>
      <c r="N131" s="455"/>
      <c r="O131" s="455"/>
      <c r="P131" s="453"/>
      <c r="Q131" s="442"/>
      <c r="R131" s="349"/>
      <c r="S131" s="349"/>
      <c r="T131" s="349"/>
      <c r="U131" s="349"/>
      <c r="V131" s="349"/>
      <c r="W131" s="349"/>
      <c r="X131" s="349"/>
      <c r="Y131" s="349"/>
      <c r="Z131" s="349"/>
      <c r="AA131" s="349"/>
      <c r="AB131" s="349"/>
      <c r="AC131" s="349"/>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ht="15" spans="1:29">
      <c r="A136" s="523"/>
      <c r="B136" s="670" t="s">
        <v>2359</v>
      </c>
      <c r="C136" s="671"/>
      <c r="D136" s="671"/>
      <c r="E136" s="671"/>
      <c r="F136" s="671"/>
      <c r="G136" s="671"/>
      <c r="H136" s="671"/>
      <c r="I136" s="671"/>
      <c r="J136" s="671"/>
      <c r="K136" s="702"/>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672" t="s">
        <v>2360</v>
      </c>
      <c r="C137" s="673"/>
      <c r="D137" s="673"/>
      <c r="E137" s="673"/>
      <c r="F137" s="673"/>
      <c r="G137" s="674"/>
      <c r="H137" s="675"/>
      <c r="I137" s="703" t="s">
        <v>2361</v>
      </c>
      <c r="J137" s="673"/>
      <c r="K137" s="704"/>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676"/>
      <c r="C138" s="677" t="s">
        <v>2362</v>
      </c>
      <c r="D138" s="677" t="s">
        <v>2363</v>
      </c>
      <c r="E138" s="678" t="s">
        <v>2364</v>
      </c>
      <c r="F138" s="679" t="s">
        <v>2365</v>
      </c>
      <c r="G138" s="677" t="s">
        <v>2363</v>
      </c>
      <c r="H138" s="680" t="s">
        <v>2364</v>
      </c>
      <c r="I138" s="705"/>
      <c r="J138" s="677" t="s">
        <v>2366</v>
      </c>
      <c r="K138" s="680" t="s">
        <v>2367</v>
      </c>
      <c r="L138" s="539"/>
      <c r="M138" s="523"/>
      <c r="N138" s="523"/>
      <c r="O138" s="523"/>
      <c r="P138" s="523"/>
      <c r="Q138" s="523"/>
      <c r="R138" s="523"/>
      <c r="S138" s="523"/>
      <c r="T138" s="523"/>
      <c r="U138" s="523"/>
      <c r="V138" s="523"/>
      <c r="W138" s="523"/>
      <c r="X138" s="523"/>
      <c r="Y138" s="523"/>
      <c r="Z138" s="523"/>
      <c r="AA138" s="523"/>
      <c r="AB138" s="523"/>
      <c r="AC138" s="523"/>
    </row>
    <row r="139" ht="15" spans="1:29">
      <c r="A139" s="523"/>
      <c r="B139" s="681">
        <v>6</v>
      </c>
      <c r="C139" s="682">
        <v>96</v>
      </c>
      <c r="D139" s="683" t="s">
        <v>2368</v>
      </c>
      <c r="E139" s="684">
        <v>100</v>
      </c>
      <c r="F139" s="685">
        <v>102.5</v>
      </c>
      <c r="G139" s="683" t="s">
        <v>2368</v>
      </c>
      <c r="H139" s="686">
        <v>105</v>
      </c>
      <c r="I139" s="706" t="s">
        <v>2369</v>
      </c>
      <c r="J139" s="682">
        <v>20</v>
      </c>
      <c r="K139" s="707">
        <f>C145/(J139-2)</f>
        <v>0.00405555555555556</v>
      </c>
      <c r="L139" s="539"/>
      <c r="M139" s="523"/>
      <c r="N139" s="523"/>
      <c r="O139" s="523"/>
      <c r="P139" s="523"/>
      <c r="Q139" s="523"/>
      <c r="R139" s="523"/>
      <c r="S139" s="523"/>
      <c r="T139" s="523"/>
      <c r="U139" s="523"/>
      <c r="V139" s="523"/>
      <c r="W139" s="523"/>
      <c r="X139" s="523"/>
      <c r="Y139" s="523"/>
      <c r="Z139" s="523"/>
      <c r="AA139" s="523"/>
      <c r="AB139" s="523"/>
      <c r="AC139" s="523"/>
    </row>
    <row r="140" ht="15" spans="1:29">
      <c r="A140" s="523"/>
      <c r="B140" s="687">
        <v>5</v>
      </c>
      <c r="C140" s="688">
        <v>100</v>
      </c>
      <c r="D140" s="689"/>
      <c r="E140" s="690"/>
      <c r="F140" s="691">
        <v>102</v>
      </c>
      <c r="G140" s="689"/>
      <c r="H140" s="692"/>
      <c r="I140" s="708" t="s">
        <v>2370</v>
      </c>
      <c r="J140" s="709">
        <f>ROUNDUP((J139-1)/2,0)</f>
        <v>10</v>
      </c>
      <c r="K140" s="710">
        <v>100</v>
      </c>
      <c r="L140" s="539"/>
      <c r="M140" s="523"/>
      <c r="N140" s="523"/>
      <c r="O140" s="523"/>
      <c r="P140" s="523"/>
      <c r="Q140" s="523"/>
      <c r="R140" s="523"/>
      <c r="S140" s="523"/>
      <c r="T140" s="523"/>
      <c r="U140" s="523"/>
      <c r="V140" s="523"/>
      <c r="W140" s="523"/>
      <c r="X140" s="523"/>
      <c r="Y140" s="523"/>
      <c r="Z140" s="523"/>
      <c r="AA140" s="523"/>
      <c r="AB140" s="523"/>
      <c r="AC140" s="523"/>
    </row>
    <row r="141" ht="15" spans="1:29">
      <c r="A141" s="523"/>
      <c r="B141" s="687">
        <v>4</v>
      </c>
      <c r="C141" s="688">
        <v>102</v>
      </c>
      <c r="D141" s="689"/>
      <c r="E141" s="690"/>
      <c r="F141" s="691">
        <v>101.5</v>
      </c>
      <c r="G141" s="689"/>
      <c r="H141" s="692"/>
      <c r="I141" s="708" t="s">
        <v>2371</v>
      </c>
      <c r="J141" s="709">
        <v>1</v>
      </c>
      <c r="K141" s="711">
        <f>ROUND(100+(J141-J140)*K139*100,1)</f>
        <v>96.4</v>
      </c>
      <c r="L141" s="539"/>
      <c r="M141" s="523"/>
      <c r="N141" s="523"/>
      <c r="O141" s="523"/>
      <c r="P141" s="523"/>
      <c r="Q141" s="523"/>
      <c r="R141" s="523"/>
      <c r="S141" s="523"/>
      <c r="T141" s="523"/>
      <c r="U141" s="523"/>
      <c r="V141" s="523"/>
      <c r="W141" s="523"/>
      <c r="X141" s="523"/>
      <c r="Y141" s="523"/>
      <c r="Z141" s="523"/>
      <c r="AA141" s="523"/>
      <c r="AB141" s="523"/>
      <c r="AC141" s="523"/>
    </row>
    <row r="142" ht="15" spans="1:29">
      <c r="A142" s="523"/>
      <c r="B142" s="687">
        <v>3</v>
      </c>
      <c r="C142" s="688">
        <v>103</v>
      </c>
      <c r="D142" s="689"/>
      <c r="E142" s="690"/>
      <c r="F142" s="691">
        <v>101</v>
      </c>
      <c r="G142" s="689"/>
      <c r="H142" s="692"/>
      <c r="I142" s="708" t="s">
        <v>2372</v>
      </c>
      <c r="J142" s="709">
        <f>J139</f>
        <v>20</v>
      </c>
      <c r="K142" s="712">
        <v>95</v>
      </c>
      <c r="L142" s="539"/>
      <c r="M142" s="523"/>
      <c r="N142" s="523"/>
      <c r="O142" s="523"/>
      <c r="P142" s="523"/>
      <c r="Q142" s="523"/>
      <c r="R142" s="523"/>
      <c r="S142" s="523"/>
      <c r="T142" s="523"/>
      <c r="U142" s="523"/>
      <c r="V142" s="523"/>
      <c r="W142" s="523"/>
      <c r="X142" s="523"/>
      <c r="Y142" s="523"/>
      <c r="Z142" s="523"/>
      <c r="AA142" s="523"/>
      <c r="AB142" s="523"/>
      <c r="AC142" s="523"/>
    </row>
    <row r="143" ht="15" spans="1:29">
      <c r="A143" s="523"/>
      <c r="B143" s="687">
        <v>2</v>
      </c>
      <c r="C143" s="688">
        <v>100</v>
      </c>
      <c r="D143" s="689"/>
      <c r="E143" s="690"/>
      <c r="F143" s="691">
        <v>100.5</v>
      </c>
      <c r="G143" s="689"/>
      <c r="H143" s="692"/>
      <c r="I143" s="708" t="s">
        <v>964</v>
      </c>
      <c r="J143" s="688">
        <v>15</v>
      </c>
      <c r="K143" s="711">
        <f>ROUND(100+(J143-J140)*K139*100,1)</f>
        <v>102</v>
      </c>
      <c r="L143" s="539"/>
      <c r="M143" s="523"/>
      <c r="N143" s="523"/>
      <c r="O143" s="523"/>
      <c r="P143" s="523"/>
      <c r="Q143" s="523"/>
      <c r="R143" s="523"/>
      <c r="S143" s="523"/>
      <c r="T143" s="523"/>
      <c r="U143" s="523"/>
      <c r="V143" s="523"/>
      <c r="W143" s="523"/>
      <c r="X143" s="523"/>
      <c r="Y143" s="523"/>
      <c r="Z143" s="523"/>
      <c r="AA143" s="523"/>
      <c r="AB143" s="523"/>
      <c r="AC143" s="523"/>
    </row>
    <row r="144" ht="15" spans="1:29">
      <c r="A144" s="523"/>
      <c r="B144" s="687">
        <v>1</v>
      </c>
      <c r="C144" s="688">
        <v>98</v>
      </c>
      <c r="D144" s="693" t="s">
        <v>2373</v>
      </c>
      <c r="E144" s="690">
        <v>102</v>
      </c>
      <c r="F144" s="694">
        <v>100</v>
      </c>
      <c r="G144" s="693" t="s">
        <v>2373</v>
      </c>
      <c r="H144" s="692">
        <v>105</v>
      </c>
      <c r="I144" s="708" t="s">
        <v>964</v>
      </c>
      <c r="J144" s="688">
        <v>18</v>
      </c>
      <c r="K144" s="711">
        <f>ROUND(100+(J144-J140)*K139*100,1)</f>
        <v>103.2</v>
      </c>
      <c r="L144" s="539"/>
      <c r="M144" s="523"/>
      <c r="N144" s="523"/>
      <c r="O144" s="523"/>
      <c r="P144" s="523"/>
      <c r="Q144" s="523"/>
      <c r="R144" s="523"/>
      <c r="S144" s="523"/>
      <c r="T144" s="523"/>
      <c r="U144" s="523"/>
      <c r="V144" s="523"/>
      <c r="W144" s="523"/>
      <c r="X144" s="523"/>
      <c r="Y144" s="523"/>
      <c r="Z144" s="523"/>
      <c r="AA144" s="523"/>
      <c r="AB144" s="523"/>
      <c r="AC144" s="523"/>
    </row>
    <row r="145" ht="15.75" spans="1:29">
      <c r="A145" s="523"/>
      <c r="B145" s="695" t="s">
        <v>2374</v>
      </c>
      <c r="C145" s="696">
        <f>ROUND(MAX(C139:C144)/MIN(C139:C144)-1,3)</f>
        <v>0.073</v>
      </c>
      <c r="D145" s="697"/>
      <c r="E145" s="697"/>
      <c r="F145" s="698" t="s">
        <v>2375</v>
      </c>
      <c r="G145" s="699"/>
      <c r="H145" s="700"/>
      <c r="I145" s="713" t="s">
        <v>964</v>
      </c>
      <c r="J145" s="714">
        <v>8</v>
      </c>
      <c r="K145" s="715">
        <f>ROUND(100+(J145-J140)*K139*100,1)</f>
        <v>99.2</v>
      </c>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701" t="s">
        <v>2376</v>
      </c>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701" t="s">
        <v>2377</v>
      </c>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row r="236" spans="1:29">
      <c r="A236" s="523"/>
      <c r="B236" s="523"/>
      <c r="C236" s="523"/>
      <c r="D236" s="523"/>
      <c r="E236" s="523"/>
      <c r="F236" s="523"/>
      <c r="G236" s="523"/>
      <c r="H236" s="523"/>
      <c r="I236" s="523"/>
      <c r="J236" s="523"/>
      <c r="K236" s="538"/>
      <c r="L236" s="539"/>
      <c r="M236" s="523"/>
      <c r="N236" s="523"/>
      <c r="O236" s="523"/>
      <c r="P236" s="523"/>
      <c r="Q236" s="523"/>
      <c r="R236" s="523"/>
      <c r="S236" s="523"/>
      <c r="T236" s="523"/>
      <c r="U236" s="523"/>
      <c r="V236" s="523"/>
      <c r="W236" s="523"/>
      <c r="X236" s="523"/>
      <c r="Y236" s="523"/>
      <c r="Z236" s="523"/>
      <c r="AA236" s="523"/>
      <c r="AB236" s="523"/>
      <c r="AC236" s="523"/>
    </row>
    <row r="237" spans="1:29">
      <c r="A237" s="523"/>
      <c r="B237" s="523"/>
      <c r="C237" s="523"/>
      <c r="D237" s="523"/>
      <c r="E237" s="523"/>
      <c r="F237" s="523"/>
      <c r="G237" s="523"/>
      <c r="H237" s="523"/>
      <c r="I237" s="523"/>
      <c r="J237" s="523"/>
      <c r="K237" s="538"/>
      <c r="L237" s="539"/>
      <c r="M237" s="523"/>
      <c r="N237" s="523"/>
      <c r="O237" s="523"/>
      <c r="P237" s="523"/>
      <c r="Q237" s="523"/>
      <c r="R237" s="523"/>
      <c r="S237" s="523"/>
      <c r="T237" s="523"/>
      <c r="U237" s="523"/>
      <c r="V237" s="523"/>
      <c r="W237" s="523"/>
      <c r="X237" s="523"/>
      <c r="Y237" s="523"/>
      <c r="Z237" s="523"/>
      <c r="AA237" s="523"/>
      <c r="AB237" s="523"/>
      <c r="AC237" s="523"/>
    </row>
    <row r="238" spans="1:29">
      <c r="A238" s="523"/>
      <c r="B238" s="523"/>
      <c r="C238" s="523"/>
      <c r="D238" s="523"/>
      <c r="E238" s="523"/>
      <c r="F238" s="523"/>
      <c r="G238" s="523"/>
      <c r="H238" s="523"/>
      <c r="I238" s="523"/>
      <c r="J238" s="523"/>
      <c r="K238" s="538"/>
      <c r="L238" s="539"/>
      <c r="M238" s="523"/>
      <c r="N238" s="523"/>
      <c r="O238" s="523"/>
      <c r="P238" s="523"/>
      <c r="Q238" s="523"/>
      <c r="R238" s="523"/>
      <c r="S238" s="523"/>
      <c r="T238" s="523"/>
      <c r="U238" s="523"/>
      <c r="V238" s="523"/>
      <c r="W238" s="523"/>
      <c r="X238" s="523"/>
      <c r="Y238" s="523"/>
      <c r="Z238" s="523"/>
      <c r="AA238" s="523"/>
      <c r="AB238" s="523"/>
      <c r="AC238" s="523"/>
    </row>
    <row r="239" spans="1:29">
      <c r="A239" s="523"/>
      <c r="B239" s="523"/>
      <c r="C239" s="523"/>
      <c r="D239" s="523"/>
      <c r="E239" s="523"/>
      <c r="F239" s="523"/>
      <c r="G239" s="523"/>
      <c r="H239" s="523"/>
      <c r="I239" s="523"/>
      <c r="J239" s="523"/>
      <c r="K239" s="538"/>
      <c r="L239" s="539"/>
      <c r="M239" s="523"/>
      <c r="N239" s="523"/>
      <c r="O239" s="523"/>
      <c r="P239" s="523"/>
      <c r="Q239" s="523"/>
      <c r="R239" s="523"/>
      <c r="S239" s="523"/>
      <c r="T239" s="523"/>
      <c r="U239" s="523"/>
      <c r="V239" s="523"/>
      <c r="W239" s="523"/>
      <c r="X239" s="523"/>
      <c r="Y239" s="523"/>
      <c r="Z239" s="523"/>
      <c r="AA239" s="523"/>
      <c r="AB239" s="523"/>
      <c r="AC239" s="523"/>
    </row>
    <row r="240" spans="1:29">
      <c r="A240" s="523"/>
      <c r="B240" s="523"/>
      <c r="C240" s="523"/>
      <c r="D240" s="523"/>
      <c r="E240" s="523"/>
      <c r="F240" s="523"/>
      <c r="G240" s="523"/>
      <c r="H240" s="523"/>
      <c r="I240" s="523"/>
      <c r="J240" s="523"/>
      <c r="K240" s="538"/>
      <c r="L240" s="539"/>
      <c r="M240" s="523"/>
      <c r="N240" s="523"/>
      <c r="O240" s="523"/>
      <c r="P240" s="523"/>
      <c r="Q240" s="523"/>
      <c r="R240" s="523"/>
      <c r="S240" s="523"/>
      <c r="T240" s="523"/>
      <c r="U240" s="523"/>
      <c r="V240" s="523"/>
      <c r="W240" s="523"/>
      <c r="X240" s="523"/>
      <c r="Y240" s="523"/>
      <c r="Z240" s="523"/>
      <c r="AA240" s="523"/>
      <c r="AB240" s="523"/>
      <c r="AC240" s="523"/>
    </row>
    <row r="241" spans="1:29">
      <c r="A241" s="523"/>
      <c r="B241" s="523"/>
      <c r="C241" s="523"/>
      <c r="D241" s="523"/>
      <c r="E241" s="523"/>
      <c r="F241" s="523"/>
      <c r="G241" s="523"/>
      <c r="H241" s="523"/>
      <c r="I241" s="523"/>
      <c r="J241" s="523"/>
      <c r="K241" s="538"/>
      <c r="L241" s="539"/>
      <c r="M241" s="523"/>
      <c r="N241" s="523"/>
      <c r="O241" s="523"/>
      <c r="P241" s="523"/>
      <c r="Q241" s="523"/>
      <c r="R241" s="523"/>
      <c r="S241" s="523"/>
      <c r="T241" s="523"/>
      <c r="U241" s="523"/>
      <c r="V241" s="523"/>
      <c r="W241" s="523"/>
      <c r="X241" s="523"/>
      <c r="Y241" s="523"/>
      <c r="Z241" s="523"/>
      <c r="AA241" s="523"/>
      <c r="AB241" s="523"/>
      <c r="AC241" s="523"/>
    </row>
    <row r="242" spans="1:29">
      <c r="A242" s="523"/>
      <c r="B242" s="523"/>
      <c r="C242" s="523"/>
      <c r="D242" s="523"/>
      <c r="E242" s="523"/>
      <c r="F242" s="523"/>
      <c r="G242" s="523"/>
      <c r="H242" s="523"/>
      <c r="I242" s="523"/>
      <c r="J242" s="523"/>
      <c r="K242" s="538"/>
      <c r="L242" s="539"/>
      <c r="M242" s="523"/>
      <c r="N242" s="523"/>
      <c r="O242" s="523"/>
      <c r="P242" s="523"/>
      <c r="Q242" s="523"/>
      <c r="R242" s="523"/>
      <c r="S242" s="523"/>
      <c r="T242" s="523"/>
      <c r="U242" s="523"/>
      <c r="V242" s="523"/>
      <c r="W242" s="523"/>
      <c r="X242" s="523"/>
      <c r="Y242" s="523"/>
      <c r="Z242" s="523"/>
      <c r="AA242" s="523"/>
      <c r="AB242" s="523"/>
      <c r="AC242" s="523"/>
    </row>
    <row r="243" spans="1:29">
      <c r="A243" s="523"/>
      <c r="B243" s="523"/>
      <c r="C243" s="523"/>
      <c r="D243" s="523"/>
      <c r="E243" s="523"/>
      <c r="F243" s="523"/>
      <c r="G243" s="523"/>
      <c r="H243" s="523"/>
      <c r="I243" s="523"/>
      <c r="J243" s="523"/>
      <c r="K243" s="538"/>
      <c r="L243" s="539"/>
      <c r="M243" s="523"/>
      <c r="N243" s="523"/>
      <c r="O243" s="523"/>
      <c r="P243" s="523"/>
      <c r="Q243" s="523"/>
      <c r="R243" s="523"/>
      <c r="S243" s="523"/>
      <c r="T243" s="523"/>
      <c r="U243" s="523"/>
      <c r="V243" s="523"/>
      <c r="W243" s="523"/>
      <c r="X243" s="523"/>
      <c r="Y243" s="523"/>
      <c r="Z243" s="523"/>
      <c r="AA243" s="523"/>
      <c r="AB243" s="523"/>
      <c r="AC243" s="523"/>
    </row>
    <row r="244" spans="1:29">
      <c r="A244" s="523"/>
      <c r="B244" s="523"/>
      <c r="C244" s="523"/>
      <c r="D244" s="523"/>
      <c r="E244" s="523"/>
      <c r="F244" s="523"/>
      <c r="G244" s="523"/>
      <c r="H244" s="523"/>
      <c r="I244" s="523"/>
      <c r="J244" s="523"/>
      <c r="K244" s="538"/>
      <c r="L244" s="539"/>
      <c r="M244" s="523"/>
      <c r="N244" s="523"/>
      <c r="O244" s="523"/>
      <c r="P244" s="523"/>
      <c r="Q244" s="523"/>
      <c r="R244" s="523"/>
      <c r="S244" s="523"/>
      <c r="T244" s="523"/>
      <c r="U244" s="523"/>
      <c r="V244" s="523"/>
      <c r="W244" s="523"/>
      <c r="X244" s="523"/>
      <c r="Y244" s="523"/>
      <c r="Z244" s="523"/>
      <c r="AA244" s="523"/>
      <c r="AB244" s="523"/>
      <c r="AC244" s="523"/>
    </row>
    <row r="245" spans="1:29">
      <c r="A245" s="523"/>
      <c r="B245" s="523"/>
      <c r="C245" s="523"/>
      <c r="D245" s="523"/>
      <c r="E245" s="523"/>
      <c r="F245" s="523"/>
      <c r="G245" s="523"/>
      <c r="H245" s="523"/>
      <c r="I245" s="523"/>
      <c r="J245" s="523"/>
      <c r="K245" s="538"/>
      <c r="L245" s="539"/>
      <c r="M245" s="523"/>
      <c r="N245" s="523"/>
      <c r="O245" s="523"/>
      <c r="P245" s="523"/>
      <c r="Q245" s="523"/>
      <c r="R245" s="523"/>
      <c r="S245" s="523"/>
      <c r="T245" s="523"/>
      <c r="U245" s="523"/>
      <c r="V245" s="523"/>
      <c r="W245" s="523"/>
      <c r="X245" s="523"/>
      <c r="Y245" s="523"/>
      <c r="Z245" s="523"/>
      <c r="AA245" s="523"/>
      <c r="AB245" s="523"/>
      <c r="AC245" s="523"/>
    </row>
    <row r="246" spans="1:29">
      <c r="A246" s="523"/>
      <c r="B246" s="523"/>
      <c r="C246" s="523"/>
      <c r="D246" s="523"/>
      <c r="E246" s="523"/>
      <c r="F246" s="523"/>
      <c r="G246" s="523"/>
      <c r="H246" s="523"/>
      <c r="I246" s="523"/>
      <c r="J246" s="523"/>
      <c r="K246" s="538"/>
      <c r="L246" s="539"/>
      <c r="M246" s="523"/>
      <c r="N246" s="523"/>
      <c r="O246" s="523"/>
      <c r="P246" s="523"/>
      <c r="Q246" s="523"/>
      <c r="R246" s="523"/>
      <c r="S246" s="523"/>
      <c r="T246" s="523"/>
      <c r="U246" s="523"/>
      <c r="V246" s="523"/>
      <c r="W246" s="523"/>
      <c r="X246" s="523"/>
      <c r="Y246" s="523"/>
      <c r="Z246" s="523"/>
      <c r="AA246" s="523"/>
      <c r="AB246" s="523"/>
      <c r="AC246" s="523"/>
    </row>
    <row r="247" spans="1:29">
      <c r="A247" s="523"/>
      <c r="B247" s="523"/>
      <c r="C247" s="523"/>
      <c r="D247" s="523"/>
      <c r="E247" s="523"/>
      <c r="F247" s="523"/>
      <c r="G247" s="523"/>
      <c r="H247" s="523"/>
      <c r="I247" s="523"/>
      <c r="J247" s="523"/>
      <c r="K247" s="538"/>
      <c r="L247" s="539"/>
      <c r="M247" s="523"/>
      <c r="N247" s="523"/>
      <c r="O247" s="523"/>
      <c r="P247" s="523"/>
      <c r="Q247" s="523"/>
      <c r="R247" s="523"/>
      <c r="S247" s="523"/>
      <c r="T247" s="523"/>
      <c r="U247" s="523"/>
      <c r="V247" s="523"/>
      <c r="W247" s="523"/>
      <c r="X247" s="523"/>
      <c r="Y247" s="523"/>
      <c r="Z247" s="523"/>
      <c r="AA247" s="523"/>
      <c r="AB247" s="523"/>
      <c r="AC247" s="523"/>
    </row>
    <row r="248" spans="1:29">
      <c r="A248" s="523"/>
      <c r="B248" s="523"/>
      <c r="C248" s="523"/>
      <c r="D248" s="523"/>
      <c r="E248" s="523"/>
      <c r="F248" s="523"/>
      <c r="G248" s="523"/>
      <c r="H248" s="523"/>
      <c r="I248" s="523"/>
      <c r="J248" s="523"/>
      <c r="K248" s="538"/>
      <c r="L248" s="539"/>
      <c r="M248" s="523"/>
      <c r="N248" s="523"/>
      <c r="O248" s="523"/>
      <c r="P248" s="523"/>
      <c r="Q248" s="523"/>
      <c r="R248" s="523"/>
      <c r="S248" s="523"/>
      <c r="T248" s="523"/>
      <c r="U248" s="523"/>
      <c r="V248" s="523"/>
      <c r="W248" s="523"/>
      <c r="X248" s="523"/>
      <c r="Y248" s="523"/>
      <c r="Z248" s="523"/>
      <c r="AA248" s="523"/>
      <c r="AB248" s="523"/>
      <c r="AC248" s="523"/>
    </row>
    <row r="249" spans="1:29">
      <c r="A249" s="523"/>
      <c r="B249" s="523"/>
      <c r="C249" s="523"/>
      <c r="D249" s="523"/>
      <c r="E249" s="523"/>
      <c r="F249" s="523"/>
      <c r="G249" s="523"/>
      <c r="H249" s="523"/>
      <c r="I249" s="523"/>
      <c r="J249" s="523"/>
      <c r="K249" s="538"/>
      <c r="L249" s="539"/>
      <c r="M249" s="523"/>
      <c r="N249" s="523"/>
      <c r="O249" s="523"/>
      <c r="P249" s="523"/>
      <c r="Q249" s="523"/>
      <c r="R249" s="523"/>
      <c r="S249" s="523"/>
      <c r="T249" s="523"/>
      <c r="U249" s="523"/>
      <c r="V249" s="523"/>
      <c r="W249" s="523"/>
      <c r="X249" s="523"/>
      <c r="Y249" s="523"/>
      <c r="Z249" s="523"/>
      <c r="AA249" s="523"/>
      <c r="AB249" s="523"/>
      <c r="AC249" s="523"/>
    </row>
    <row r="250" spans="1:29">
      <c r="A250" s="523"/>
      <c r="B250" s="523"/>
      <c r="C250" s="523"/>
      <c r="D250" s="523"/>
      <c r="E250" s="523"/>
      <c r="F250" s="523"/>
      <c r="G250" s="523"/>
      <c r="H250" s="523"/>
      <c r="I250" s="523"/>
      <c r="J250" s="523"/>
      <c r="K250" s="538"/>
      <c r="L250" s="539"/>
      <c r="M250" s="523"/>
      <c r="N250" s="523"/>
      <c r="O250" s="523"/>
      <c r="P250" s="523"/>
      <c r="Q250" s="523"/>
      <c r="R250" s="523"/>
      <c r="S250" s="523"/>
      <c r="T250" s="523"/>
      <c r="U250" s="523"/>
      <c r="V250" s="523"/>
      <c r="W250" s="523"/>
      <c r="X250" s="523"/>
      <c r="Y250" s="523"/>
      <c r="Z250" s="523"/>
      <c r="AA250" s="523"/>
      <c r="AB250" s="523"/>
      <c r="AC250" s="523"/>
    </row>
    <row r="251" spans="1:29">
      <c r="A251" s="523"/>
      <c r="B251" s="523"/>
      <c r="C251" s="523"/>
      <c r="D251" s="523"/>
      <c r="E251" s="523"/>
      <c r="F251" s="523"/>
      <c r="G251" s="523"/>
      <c r="H251" s="523"/>
      <c r="I251" s="523"/>
      <c r="J251" s="523"/>
      <c r="K251" s="538"/>
      <c r="L251" s="539"/>
      <c r="M251" s="523"/>
      <c r="N251" s="523"/>
      <c r="O251" s="523"/>
      <c r="P251" s="523"/>
      <c r="Q251" s="523"/>
      <c r="R251" s="523"/>
      <c r="S251" s="523"/>
      <c r="T251" s="523"/>
      <c r="U251" s="523"/>
      <c r="V251" s="523"/>
      <c r="W251" s="523"/>
      <c r="X251" s="523"/>
      <c r="Y251" s="523"/>
      <c r="Z251" s="523"/>
      <c r="AA251" s="523"/>
      <c r="AB251" s="523"/>
      <c r="AC251" s="523"/>
    </row>
    <row r="252" spans="1:29">
      <c r="A252" s="523"/>
      <c r="B252" s="523"/>
      <c r="C252" s="523"/>
      <c r="D252" s="523"/>
      <c r="E252" s="523"/>
      <c r="F252" s="523"/>
      <c r="G252" s="523"/>
      <c r="H252" s="523"/>
      <c r="I252" s="523"/>
      <c r="J252" s="523"/>
      <c r="K252" s="538"/>
      <c r="L252" s="539"/>
      <c r="M252" s="523"/>
      <c r="N252" s="523"/>
      <c r="O252" s="523"/>
      <c r="P252" s="523"/>
      <c r="Q252" s="523"/>
      <c r="R252" s="523"/>
      <c r="S252" s="523"/>
      <c r="T252" s="523"/>
      <c r="U252" s="523"/>
      <c r="V252" s="523"/>
      <c r="W252" s="523"/>
      <c r="X252" s="523"/>
      <c r="Y252" s="523"/>
      <c r="Z252" s="523"/>
      <c r="AA252" s="523"/>
      <c r="AB252" s="523"/>
      <c r="AC252" s="523"/>
    </row>
    <row r="253" spans="1:29">
      <c r="A253" s="523"/>
      <c r="B253" s="523"/>
      <c r="C253" s="523"/>
      <c r="D253" s="523"/>
      <c r="E253" s="523"/>
      <c r="F253" s="523"/>
      <c r="G253" s="523"/>
      <c r="H253" s="523"/>
      <c r="I253" s="523"/>
      <c r="J253" s="523"/>
      <c r="K253" s="538"/>
      <c r="L253" s="539"/>
      <c r="M253" s="523"/>
      <c r="N253" s="523"/>
      <c r="O253" s="523"/>
      <c r="P253" s="523"/>
      <c r="Q253" s="523"/>
      <c r="R253" s="523"/>
      <c r="S253" s="523"/>
      <c r="T253" s="523"/>
      <c r="U253" s="523"/>
      <c r="V253" s="523"/>
      <c r="W253" s="523"/>
      <c r="X253" s="523"/>
      <c r="Y253" s="523"/>
      <c r="Z253" s="523"/>
      <c r="AA253" s="523"/>
      <c r="AB253" s="523"/>
      <c r="AC253" s="523"/>
    </row>
    <row r="254" spans="1:29">
      <c r="A254" s="523"/>
      <c r="B254" s="523"/>
      <c r="C254" s="523"/>
      <c r="D254" s="523"/>
      <c r="E254" s="523"/>
      <c r="F254" s="523"/>
      <c r="G254" s="523"/>
      <c r="H254" s="523"/>
      <c r="I254" s="523"/>
      <c r="J254" s="523"/>
      <c r="K254" s="538"/>
      <c r="L254" s="539"/>
      <c r="M254" s="523"/>
      <c r="N254" s="523"/>
      <c r="O254" s="523"/>
      <c r="P254" s="523"/>
      <c r="Q254" s="523"/>
      <c r="R254" s="523"/>
      <c r="S254" s="523"/>
      <c r="T254" s="523"/>
      <c r="U254" s="523"/>
      <c r="V254" s="523"/>
      <c r="W254" s="523"/>
      <c r="X254" s="523"/>
      <c r="Y254" s="523"/>
      <c r="Z254" s="523"/>
      <c r="AA254" s="523"/>
      <c r="AB254" s="523"/>
      <c r="AC254" s="523"/>
    </row>
    <row r="255" spans="1:29">
      <c r="A255" s="523"/>
      <c r="B255" s="523"/>
      <c r="C255" s="523"/>
      <c r="D255" s="523"/>
      <c r="E255" s="523"/>
      <c r="F255" s="523"/>
      <c r="G255" s="523"/>
      <c r="H255" s="523"/>
      <c r="I255" s="523"/>
      <c r="J255" s="523"/>
      <c r="K255" s="538"/>
      <c r="L255" s="539"/>
      <c r="M255" s="523"/>
      <c r="N255" s="523"/>
      <c r="O255" s="523"/>
      <c r="P255" s="523"/>
      <c r="Q255" s="523"/>
      <c r="R255" s="523"/>
      <c r="S255" s="523"/>
      <c r="T255" s="523"/>
      <c r="U255" s="523"/>
      <c r="V255" s="523"/>
      <c r="W255" s="523"/>
      <c r="X255" s="523"/>
      <c r="Y255" s="523"/>
      <c r="Z255" s="523"/>
      <c r="AA255" s="523"/>
      <c r="AB255" s="523"/>
      <c r="AC255" s="523"/>
    </row>
    <row r="256" spans="1:29">
      <c r="A256" s="523"/>
      <c r="B256" s="523"/>
      <c r="C256" s="523"/>
      <c r="D256" s="523"/>
      <c r="E256" s="523"/>
      <c r="F256" s="523"/>
      <c r="G256" s="523"/>
      <c r="H256" s="523"/>
      <c r="I256" s="523"/>
      <c r="J256" s="523"/>
      <c r="K256" s="538"/>
      <c r="L256" s="539"/>
      <c r="M256" s="523"/>
      <c r="N256" s="523"/>
      <c r="O256" s="523"/>
      <c r="P256" s="523"/>
      <c r="Q256" s="523"/>
      <c r="R256" s="523"/>
      <c r="S256" s="523"/>
      <c r="T256" s="523"/>
      <c r="U256" s="523"/>
      <c r="V256" s="523"/>
      <c r="W256" s="523"/>
      <c r="X256" s="523"/>
      <c r="Y256" s="523"/>
      <c r="Z256" s="523"/>
      <c r="AA256" s="523"/>
      <c r="AB256" s="523"/>
      <c r="AC256" s="523"/>
    </row>
    <row r="257" spans="1:29">
      <c r="A257" s="523"/>
      <c r="B257" s="523"/>
      <c r="C257" s="523"/>
      <c r="D257" s="523"/>
      <c r="E257" s="523"/>
      <c r="F257" s="523"/>
      <c r="G257" s="523"/>
      <c r="H257" s="523"/>
      <c r="I257" s="523"/>
      <c r="J257" s="523"/>
      <c r="K257" s="538"/>
      <c r="L257" s="539"/>
      <c r="M257" s="523"/>
      <c r="N257" s="523"/>
      <c r="O257" s="523"/>
      <c r="P257" s="523"/>
      <c r="Q257" s="523"/>
      <c r="R257" s="523"/>
      <c r="S257" s="523"/>
      <c r="T257" s="523"/>
      <c r="U257" s="523"/>
      <c r="V257" s="523"/>
      <c r="W257" s="523"/>
      <c r="X257" s="523"/>
      <c r="Y257" s="523"/>
      <c r="Z257" s="523"/>
      <c r="AA257" s="523"/>
      <c r="AB257" s="523"/>
      <c r="AC257" s="523"/>
    </row>
    <row r="258" spans="1:29">
      <c r="A258" s="523"/>
      <c r="B258" s="523"/>
      <c r="C258" s="523"/>
      <c r="D258" s="523"/>
      <c r="E258" s="523"/>
      <c r="F258" s="523"/>
      <c r="G258" s="523"/>
      <c r="H258" s="523"/>
      <c r="I258" s="523"/>
      <c r="J258" s="523"/>
      <c r="K258" s="538"/>
      <c r="L258" s="539"/>
      <c r="M258" s="523"/>
      <c r="N258" s="523"/>
      <c r="O258" s="523"/>
      <c r="P258" s="523"/>
      <c r="Q258" s="523"/>
      <c r="R258" s="523"/>
      <c r="S258" s="523"/>
      <c r="T258" s="523"/>
      <c r="U258" s="523"/>
      <c r="V258" s="523"/>
      <c r="W258" s="523"/>
      <c r="X258" s="523"/>
      <c r="Y258" s="523"/>
      <c r="Z258" s="523"/>
      <c r="AA258" s="523"/>
      <c r="AB258" s="523"/>
      <c r="AC258" s="523"/>
    </row>
    <row r="259" spans="1:29">
      <c r="A259" s="523"/>
      <c r="B259" s="523"/>
      <c r="C259" s="523"/>
      <c r="D259" s="523"/>
      <c r="E259" s="523"/>
      <c r="F259" s="523"/>
      <c r="G259" s="523"/>
      <c r="H259" s="523"/>
      <c r="I259" s="523"/>
      <c r="J259" s="523"/>
      <c r="K259" s="538"/>
      <c r="L259" s="539"/>
      <c r="M259" s="523"/>
      <c r="N259" s="523"/>
      <c r="O259" s="523"/>
      <c r="P259" s="523"/>
      <c r="Q259" s="523"/>
      <c r="R259" s="523"/>
      <c r="S259" s="523"/>
      <c r="T259" s="523"/>
      <c r="U259" s="523"/>
      <c r="V259" s="523"/>
      <c r="W259" s="523"/>
      <c r="X259" s="523"/>
      <c r="Y259" s="523"/>
      <c r="Z259" s="523"/>
      <c r="AA259" s="523"/>
      <c r="AB259" s="523"/>
      <c r="AC259" s="523"/>
    </row>
    <row r="260" spans="1:29">
      <c r="A260" s="523"/>
      <c r="B260" s="523"/>
      <c r="C260" s="523"/>
      <c r="D260" s="523"/>
      <c r="E260" s="523"/>
      <c r="F260" s="523"/>
      <c r="G260" s="523"/>
      <c r="H260" s="523"/>
      <c r="I260" s="523"/>
      <c r="J260" s="523"/>
      <c r="K260" s="538"/>
      <c r="L260" s="539"/>
      <c r="M260" s="523"/>
      <c r="N260" s="523"/>
      <c r="O260" s="523"/>
      <c r="P260" s="523"/>
      <c r="Q260" s="523"/>
      <c r="R260" s="523"/>
      <c r="S260" s="523"/>
      <c r="T260" s="523"/>
      <c r="U260" s="523"/>
      <c r="V260" s="523"/>
      <c r="W260" s="523"/>
      <c r="X260" s="523"/>
      <c r="Y260" s="523"/>
      <c r="Z260" s="523"/>
      <c r="AA260" s="523"/>
      <c r="AB260" s="523"/>
      <c r="AC260" s="523"/>
    </row>
    <row r="261" spans="1:29">
      <c r="A261" s="523"/>
      <c r="B261" s="523"/>
      <c r="C261" s="523"/>
      <c r="D261" s="523"/>
      <c r="E261" s="523"/>
      <c r="F261" s="523"/>
      <c r="G261" s="523"/>
      <c r="H261" s="523"/>
      <c r="I261" s="523"/>
      <c r="J261" s="523"/>
      <c r="K261" s="538"/>
      <c r="L261" s="539"/>
      <c r="M261" s="523"/>
      <c r="N261" s="523"/>
      <c r="O261" s="523"/>
      <c r="P261" s="523"/>
      <c r="Q261" s="523"/>
      <c r="R261" s="523"/>
      <c r="S261" s="523"/>
      <c r="T261" s="523"/>
      <c r="U261" s="523"/>
      <c r="V261" s="523"/>
      <c r="W261" s="523"/>
      <c r="X261" s="523"/>
      <c r="Y261" s="523"/>
      <c r="Z261" s="523"/>
      <c r="AA261" s="523"/>
      <c r="AB261" s="523"/>
      <c r="AC261" s="523"/>
    </row>
    <row r="262" spans="1:29">
      <c r="A262" s="523"/>
      <c r="B262" s="523"/>
      <c r="C262" s="523"/>
      <c r="D262" s="523"/>
      <c r="E262" s="523"/>
      <c r="F262" s="523"/>
      <c r="G262" s="523"/>
      <c r="H262" s="523"/>
      <c r="I262" s="523"/>
      <c r="J262" s="523"/>
      <c r="K262" s="538"/>
      <c r="L262" s="539"/>
      <c r="M262" s="523"/>
      <c r="N262" s="523"/>
      <c r="O262" s="523"/>
      <c r="P262" s="523"/>
      <c r="Q262" s="523"/>
      <c r="R262" s="523"/>
      <c r="S262" s="523"/>
      <c r="T262" s="523"/>
      <c r="U262" s="523"/>
      <c r="V262" s="523"/>
      <c r="W262" s="523"/>
      <c r="X262" s="523"/>
      <c r="Y262" s="523"/>
      <c r="Z262" s="523"/>
      <c r="AA262" s="523"/>
      <c r="AB262" s="523"/>
      <c r="AC262" s="523"/>
    </row>
    <row r="263" spans="1:29">
      <c r="A263" s="523"/>
      <c r="B263" s="523"/>
      <c r="C263" s="523"/>
      <c r="D263" s="523"/>
      <c r="E263" s="523"/>
      <c r="F263" s="523"/>
      <c r="G263" s="523"/>
      <c r="H263" s="523"/>
      <c r="I263" s="523"/>
      <c r="J263" s="523"/>
      <c r="K263" s="538"/>
      <c r="L263" s="539"/>
      <c r="M263" s="523"/>
      <c r="N263" s="523"/>
      <c r="O263" s="523"/>
      <c r="P263" s="523"/>
      <c r="Q263" s="523"/>
      <c r="R263" s="523"/>
      <c r="S263" s="523"/>
      <c r="T263" s="523"/>
      <c r="U263" s="523"/>
      <c r="V263" s="523"/>
      <c r="W263" s="523"/>
      <c r="X263" s="523"/>
      <c r="Y263" s="523"/>
      <c r="Z263" s="523"/>
      <c r="AA263" s="523"/>
      <c r="AB263" s="523"/>
      <c r="AC263" s="523"/>
    </row>
    <row r="264" spans="1:29">
      <c r="A264" s="523"/>
      <c r="B264" s="523"/>
      <c r="C264" s="523"/>
      <c r="D264" s="523"/>
      <c r="E264" s="523"/>
      <c r="F264" s="523"/>
      <c r="G264" s="523"/>
      <c r="H264" s="523"/>
      <c r="I264" s="523"/>
      <c r="J264" s="523"/>
      <c r="K264" s="538"/>
      <c r="L264" s="539"/>
      <c r="M264" s="523"/>
      <c r="N264" s="523"/>
      <c r="O264" s="523"/>
      <c r="P264" s="523"/>
      <c r="Q264" s="523"/>
      <c r="R264" s="523"/>
      <c r="S264" s="523"/>
      <c r="T264" s="523"/>
      <c r="U264" s="523"/>
      <c r="V264" s="523"/>
      <c r="W264" s="523"/>
      <c r="X264" s="523"/>
      <c r="Y264" s="523"/>
      <c r="Z264" s="523"/>
      <c r="AA264" s="523"/>
      <c r="AB264" s="523"/>
      <c r="AC264" s="523"/>
    </row>
    <row r="265" spans="1:29">
      <c r="A265" s="523"/>
      <c r="B265" s="523"/>
      <c r="C265" s="523"/>
      <c r="D265" s="523"/>
      <c r="E265" s="523"/>
      <c r="F265" s="523"/>
      <c r="G265" s="523"/>
      <c r="H265" s="523"/>
      <c r="I265" s="523"/>
      <c r="J265" s="523"/>
      <c r="K265" s="538"/>
      <c r="L265" s="539"/>
      <c r="M265" s="523"/>
      <c r="N265" s="523"/>
      <c r="O265" s="523"/>
      <c r="P265" s="523"/>
      <c r="Q265" s="523"/>
      <c r="R265" s="523"/>
      <c r="S265" s="523"/>
      <c r="T265" s="523"/>
      <c r="U265" s="523"/>
      <c r="V265" s="523"/>
      <c r="W265" s="523"/>
      <c r="X265" s="523"/>
      <c r="Y265" s="523"/>
      <c r="Z265" s="523"/>
      <c r="AA265" s="523"/>
      <c r="AB265" s="523"/>
      <c r="AC265" s="523"/>
    </row>
    <row r="266" spans="1:29">
      <c r="A266" s="523"/>
      <c r="B266" s="523"/>
      <c r="C266" s="523"/>
      <c r="D266" s="523"/>
      <c r="E266" s="523"/>
      <c r="F266" s="523"/>
      <c r="G266" s="523"/>
      <c r="H266" s="523"/>
      <c r="I266" s="523"/>
      <c r="J266" s="523"/>
      <c r="K266" s="538"/>
      <c r="L266" s="539"/>
      <c r="M266" s="523"/>
      <c r="N266" s="523"/>
      <c r="O266" s="523"/>
      <c r="P266" s="523"/>
      <c r="Q266" s="523"/>
      <c r="R266" s="523"/>
      <c r="S266" s="523"/>
      <c r="T266" s="523"/>
      <c r="U266" s="523"/>
      <c r="V266" s="523"/>
      <c r="W266" s="523"/>
      <c r="X266" s="523"/>
      <c r="Y266" s="523"/>
      <c r="Z266" s="523"/>
      <c r="AA266" s="523"/>
      <c r="AB266" s="523"/>
      <c r="AC266" s="523"/>
    </row>
    <row r="267" spans="1:29">
      <c r="A267" s="523"/>
      <c r="B267" s="523"/>
      <c r="C267" s="523"/>
      <c r="D267" s="523"/>
      <c r="E267" s="523"/>
      <c r="F267" s="523"/>
      <c r="G267" s="523"/>
      <c r="H267" s="523"/>
      <c r="I267" s="523"/>
      <c r="J267" s="523"/>
      <c r="K267" s="538"/>
      <c r="L267" s="539"/>
      <c r="M267" s="523"/>
      <c r="N267" s="523"/>
      <c r="O267" s="523"/>
      <c r="P267" s="523"/>
      <c r="Q267" s="523"/>
      <c r="R267" s="523"/>
      <c r="S267" s="523"/>
      <c r="T267" s="523"/>
      <c r="U267" s="523"/>
      <c r="V267" s="523"/>
      <c r="W267" s="523"/>
      <c r="X267" s="523"/>
      <c r="Y267" s="523"/>
      <c r="Z267" s="523"/>
      <c r="AA267" s="523"/>
      <c r="AB267" s="523"/>
      <c r="AC267" s="523"/>
    </row>
    <row r="268" spans="1:29">
      <c r="A268" s="523"/>
      <c r="B268" s="523"/>
      <c r="C268" s="523"/>
      <c r="D268" s="523"/>
      <c r="E268" s="523"/>
      <c r="F268" s="523"/>
      <c r="G268" s="523"/>
      <c r="H268" s="523"/>
      <c r="I268" s="523"/>
      <c r="J268" s="523"/>
      <c r="K268" s="538"/>
      <c r="L268" s="539"/>
      <c r="M268" s="523"/>
      <c r="N268" s="523"/>
      <c r="O268" s="523"/>
      <c r="P268" s="523"/>
      <c r="Q268" s="523"/>
      <c r="R268" s="523"/>
      <c r="S268" s="523"/>
      <c r="T268" s="523"/>
      <c r="U268" s="523"/>
      <c r="V268" s="523"/>
      <c r="W268" s="523"/>
      <c r="X268" s="523"/>
      <c r="Y268" s="523"/>
      <c r="Z268" s="523"/>
      <c r="AA268" s="523"/>
      <c r="AB268" s="523"/>
      <c r="AC268"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7" priority="4">
      <formula>$D$48="简单平均"</formula>
    </cfRule>
  </conditionalFormatting>
  <conditionalFormatting sqref="H48">
    <cfRule type="expression" dxfId="7" priority="3">
      <formula>$D$48="简单平均"</formula>
    </cfRule>
  </conditionalFormatting>
  <conditionalFormatting sqref="J48">
    <cfRule type="expression" dxfId="7" priority="2">
      <formula>$D$48="简单平均"</formula>
    </cfRule>
  </conditionalFormatting>
  <conditionalFormatting sqref="E52">
    <cfRule type="expression" dxfId="11" priority="14" stopIfTrue="1">
      <formula>$F$52="超过30%"</formula>
    </cfRule>
  </conditionalFormatting>
  <conditionalFormatting sqref="G52">
    <cfRule type="expression" dxfId="11" priority="9" stopIfTrue="1">
      <formula>$H$52="超过30%"</formula>
    </cfRule>
  </conditionalFormatting>
  <conditionalFormatting sqref="I52">
    <cfRule type="expression" dxfId="11" priority="7" stopIfTrue="1">
      <formula>$J$52="超过30%"</formula>
    </cfRule>
  </conditionalFormatting>
  <conditionalFormatting sqref="E53">
    <cfRule type="expression" dxfId="11" priority="11" stopIfTrue="1">
      <formula>$F$53="超过20%"</formula>
    </cfRule>
  </conditionalFormatting>
  <conditionalFormatting sqref="G53">
    <cfRule type="expression" dxfId="11" priority="8" stopIfTrue="1">
      <formula>$H$53="超过20%"</formula>
    </cfRule>
  </conditionalFormatting>
  <conditionalFormatting sqref="I53">
    <cfRule type="expression" dxfId="11" priority="6" stopIfTrue="1">
      <formula>$J$53="超过20%"</formula>
    </cfRule>
  </conditionalFormatting>
  <conditionalFormatting sqref="E54">
    <cfRule type="expression" dxfId="11" priority="10" stopIfTrue="1">
      <formula>$F$54="超过30%"</formula>
    </cfRule>
  </conditionalFormatting>
  <conditionalFormatting sqref="F54">
    <cfRule type="containsText" dxfId="12" priority="16" stopIfTrue="1" operator="between" text="超过">
      <formula>NOT(ISERROR(SEARCH("超过",F54)))</formula>
    </cfRule>
  </conditionalFormatting>
  <conditionalFormatting sqref="G54">
    <cfRule type="expression" dxfId="11" priority="12" stopIfTrue="1">
      <formula>$H$54="超过30%"</formula>
    </cfRule>
  </conditionalFormatting>
  <conditionalFormatting sqref="H54">
    <cfRule type="containsText" dxfId="12" priority="17"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18" stopIfTrue="1" operator="between" text="超过">
      <formula>NOT(ISERROR(SEARCH("超过",J54)))</formula>
    </cfRule>
  </conditionalFormatting>
  <conditionalFormatting sqref="F7:F46 H7:H46 J7:J46">
    <cfRule type="cellIs" dxfId="8" priority="1" operator="notEqual">
      <formula>100</formula>
    </cfRule>
  </conditionalFormatting>
  <conditionalFormatting sqref="F52 H52 J52">
    <cfRule type="containsText" dxfId="12" priority="19" stopIfTrue="1" operator="between" text="超过">
      <formula>NOT(ISERROR(SEARCH("超过",F52)))</formula>
    </cfRule>
  </conditionalFormatting>
  <conditionalFormatting sqref="F53 H53 J53">
    <cfRule type="containsText" dxfId="12" priority="15" stopIfTrue="1" operator="between" text="超过">
      <formula>NOT(ISERROR(SEARCH("超过",F53)))</formula>
    </cfRule>
  </conditionalFormatting>
  <dataValidations count="22">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42 E42 G42 I42">
      <formula1>住宅内部装修</formula1>
    </dataValidation>
    <dataValidation type="list" allowBlank="1" showInputMessage="1" showErrorMessage="1" sqref="C34 E34 G34 I34">
      <formula1>住宅建筑结构</formula1>
    </dataValidation>
    <dataValidation type="list" allowBlank="1" showInputMessage="1" showErrorMessage="1" sqref="C20 E20 G20 I20">
      <formula1>公共配套设施</formula1>
    </dataValidation>
    <dataValidation type="list" allowBlank="1" showInputMessage="1" showErrorMessage="1" sqref="D48">
      <formula1>"简单平均,加权平均"</formula1>
    </dataValidation>
    <dataValidation type="list" allowBlank="1" showInputMessage="1" showErrorMessage="1" sqref="C38 E38 G38 I38">
      <formula1>住宅物业管理</formula1>
    </dataValidation>
    <dataValidation type="list" allowBlank="1" showInputMessage="1" showErrorMessage="1" sqref="C26 E26 G26 I26">
      <formula1>住宅朝向</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794"/>
  <sheetViews>
    <sheetView view="pageBreakPreview" zoomScale="60" zoomScaleNormal="60" workbookViewId="0">
      <selection activeCell="D31" sqref="D31"/>
    </sheetView>
  </sheetViews>
  <sheetFormatPr defaultColWidth="9" defaultRowHeight="14.25"/>
  <cols>
    <col min="1" max="1" width="10.5" style="201" customWidth="1"/>
    <col min="2" max="2" width="15.75" style="201" customWidth="1"/>
    <col min="3" max="3" width="14.375" style="201" customWidth="1"/>
    <col min="4" max="4" width="12.25" style="201" customWidth="1"/>
    <col min="5" max="5" width="14.375" style="201" customWidth="1"/>
    <col min="6" max="6" width="12.25" style="201" customWidth="1"/>
    <col min="7" max="7" width="14.5" style="201" customWidth="1"/>
    <col min="8" max="8" width="12.25" style="201" customWidth="1"/>
    <col min="9" max="9" width="14.5" style="201" customWidth="1"/>
    <col min="10" max="10" width="12.25" style="201" customWidth="1"/>
    <col min="11" max="11" width="12.25" style="202" customWidth="1"/>
    <col min="12" max="12" width="12.25" style="203" customWidth="1"/>
    <col min="13" max="15" width="12.25" style="201" customWidth="1"/>
    <col min="16" max="16" width="4.75" style="201" customWidth="1"/>
    <col min="17" max="17" width="19.5" style="201" customWidth="1"/>
    <col min="18" max="22" width="6.125" style="201" customWidth="1"/>
    <col min="23" max="23" width="5.75" style="201" customWidth="1"/>
    <col min="24" max="24" width="4.25" style="201" customWidth="1"/>
    <col min="25" max="25" width="3.5" style="201" customWidth="1"/>
    <col min="26" max="26" width="19.75" style="201" customWidth="1"/>
    <col min="27" max="28" width="9.375" style="201" customWidth="1"/>
    <col min="29" max="16384" width="9" style="201"/>
  </cols>
  <sheetData>
    <row r="1" s="195" customFormat="1" ht="28.5" customHeight="1" spans="1:29">
      <c r="A1" s="204" t="s">
        <v>1556</v>
      </c>
      <c r="B1" s="576" t="s">
        <v>2378</v>
      </c>
      <c r="C1" s="206" t="s">
        <v>1558</v>
      </c>
      <c r="D1" s="612"/>
      <c r="E1" s="208"/>
      <c r="F1" s="209"/>
      <c r="G1" s="210" t="s">
        <v>1559</v>
      </c>
      <c r="H1" s="208"/>
      <c r="I1" s="208"/>
      <c r="J1" s="208"/>
      <c r="K1" s="390"/>
      <c r="L1" s="391"/>
      <c r="M1" s="392"/>
      <c r="N1" s="392"/>
      <c r="O1" s="392"/>
      <c r="P1" s="393"/>
      <c r="Q1" s="393"/>
      <c r="R1" s="393"/>
      <c r="S1" s="393"/>
      <c r="T1" s="393"/>
      <c r="U1" s="393"/>
      <c r="V1" s="393"/>
      <c r="W1" s="393"/>
      <c r="X1" s="393"/>
      <c r="Y1" s="393"/>
      <c r="Z1" s="393"/>
      <c r="AA1" s="393"/>
      <c r="AB1" s="393"/>
      <c r="AC1" s="503"/>
    </row>
    <row r="2" s="195" customFormat="1" ht="28.5" customHeight="1" spans="1:29">
      <c r="A2" s="211" t="s">
        <v>1202</v>
      </c>
      <c r="B2" s="212" t="e">
        <f>ROUND(B3*D3/10000,0)</f>
        <v>#DIV/0!</v>
      </c>
      <c r="C2" s="213"/>
      <c r="D2" s="213"/>
      <c r="E2" s="505"/>
      <c r="F2" s="215"/>
      <c r="G2" s="214"/>
      <c r="H2" s="214"/>
      <c r="I2" s="214"/>
      <c r="J2" s="214"/>
      <c r="K2" s="214"/>
      <c r="L2" s="395"/>
      <c r="M2" s="393"/>
      <c r="N2" s="393"/>
      <c r="O2" s="393"/>
      <c r="P2" s="393"/>
      <c r="Q2" s="393"/>
      <c r="R2" s="393"/>
      <c r="S2" s="393"/>
      <c r="T2" s="393"/>
      <c r="U2" s="393"/>
      <c r="V2" s="393"/>
      <c r="W2" s="393"/>
      <c r="X2" s="393"/>
      <c r="Y2" s="393"/>
      <c r="Z2" s="393"/>
      <c r="AA2" s="393"/>
      <c r="AB2" s="393"/>
      <c r="AC2" s="503"/>
    </row>
    <row r="3" s="195" customFormat="1" ht="28.5" customHeight="1" spans="1:29">
      <c r="A3" s="216" t="s">
        <v>1368</v>
      </c>
      <c r="B3" s="217" t="e">
        <f>C49</f>
        <v>#DIV/0!</v>
      </c>
      <c r="C3" s="218" t="s">
        <v>1560</v>
      </c>
      <c r="D3" s="219">
        <f>SUMIF('数据-汇总表'!$C19:$C33,D1,'数据-汇总表'!$E19:$E33)</f>
        <v>0</v>
      </c>
      <c r="E3" s="505"/>
      <c r="F3" s="215"/>
      <c r="G3" s="214"/>
      <c r="H3" s="214"/>
      <c r="I3" s="214"/>
      <c r="J3" s="214"/>
      <c r="K3" s="394"/>
      <c r="L3" s="395"/>
      <c r="M3" s="393"/>
      <c r="N3" s="393"/>
      <c r="O3" s="393"/>
      <c r="P3" s="393"/>
      <c r="Q3" s="393"/>
      <c r="R3" s="393"/>
      <c r="S3" s="393"/>
      <c r="T3" s="393"/>
      <c r="U3" s="393"/>
      <c r="V3" s="393"/>
      <c r="W3" s="393"/>
      <c r="X3" s="393"/>
      <c r="Y3" s="393"/>
      <c r="Z3" s="393"/>
      <c r="AA3" s="393"/>
      <c r="AB3" s="393"/>
      <c r="AC3" s="505"/>
    </row>
    <row r="4" ht="15" spans="1:29">
      <c r="A4" s="220" t="s">
        <v>1284</v>
      </c>
      <c r="B4" s="221"/>
      <c r="C4" s="222" t="s">
        <v>1285</v>
      </c>
      <c r="D4" s="223"/>
      <c r="E4" s="224" t="s">
        <v>1286</v>
      </c>
      <c r="F4" s="225"/>
      <c r="G4" s="222" t="s">
        <v>1287</v>
      </c>
      <c r="H4" s="223"/>
      <c r="I4" s="222" t="s">
        <v>1288</v>
      </c>
      <c r="J4" s="223"/>
      <c r="K4" s="396" t="s">
        <v>1289</v>
      </c>
      <c r="L4" s="397"/>
      <c r="M4" s="398"/>
      <c r="N4" s="398"/>
      <c r="O4" s="398"/>
      <c r="P4" s="399" t="s">
        <v>1290</v>
      </c>
      <c r="Q4" s="472"/>
      <c r="R4" s="473" t="s">
        <v>1286</v>
      </c>
      <c r="S4" s="474"/>
      <c r="T4" s="473" t="s">
        <v>1287</v>
      </c>
      <c r="U4" s="474"/>
      <c r="V4" s="475" t="s">
        <v>1288</v>
      </c>
      <c r="W4" s="475"/>
      <c r="X4" s="476"/>
      <c r="Y4" s="473" t="s">
        <v>1290</v>
      </c>
      <c r="Z4" s="474"/>
      <c r="AA4" s="506" t="s">
        <v>1286</v>
      </c>
      <c r="AB4" s="475" t="s">
        <v>1287</v>
      </c>
      <c r="AC4" s="506" t="s">
        <v>1288</v>
      </c>
    </row>
    <row r="5" ht="15" spans="1:29">
      <c r="A5" s="226"/>
      <c r="B5" s="227"/>
      <c r="C5" s="228" t="s">
        <v>1291</v>
      </c>
      <c r="D5" s="229"/>
      <c r="E5" s="230" t="s">
        <v>1292</v>
      </c>
      <c r="F5" s="231"/>
      <c r="G5" s="228" t="s">
        <v>1293</v>
      </c>
      <c r="H5" s="229"/>
      <c r="I5" s="228" t="s">
        <v>1294</v>
      </c>
      <c r="J5" s="229"/>
      <c r="K5" s="396"/>
      <c r="L5" s="397"/>
      <c r="M5" s="398"/>
      <c r="N5" s="398"/>
      <c r="O5" s="398"/>
      <c r="P5" s="400"/>
      <c r="Q5" s="477"/>
      <c r="R5" s="478"/>
      <c r="S5" s="479"/>
      <c r="T5" s="478"/>
      <c r="U5" s="479"/>
      <c r="V5" s="475"/>
      <c r="W5" s="475"/>
      <c r="X5" s="476"/>
      <c r="Y5" s="478"/>
      <c r="Z5" s="479"/>
      <c r="AA5" s="476"/>
      <c r="AB5" s="475"/>
      <c r="AC5" s="476"/>
    </row>
    <row r="6" ht="15.75" spans="1:29">
      <c r="A6" s="232"/>
      <c r="B6" s="233"/>
      <c r="C6" s="234" t="s">
        <v>1295</v>
      </c>
      <c r="D6" s="235"/>
      <c r="E6" s="236" t="s">
        <v>1295</v>
      </c>
      <c r="F6" s="237"/>
      <c r="G6" s="234" t="s">
        <v>1295</v>
      </c>
      <c r="H6" s="235"/>
      <c r="I6" s="234" t="s">
        <v>1295</v>
      </c>
      <c r="J6" s="235"/>
      <c r="K6" s="396" t="s">
        <v>1296</v>
      </c>
      <c r="L6" s="397"/>
      <c r="M6" s="398"/>
      <c r="N6" s="398"/>
      <c r="O6" s="398"/>
      <c r="P6" s="401"/>
      <c r="Q6" s="480"/>
      <c r="R6" s="478"/>
      <c r="S6" s="479"/>
      <c r="T6" s="481"/>
      <c r="U6" s="482"/>
      <c r="V6" s="475"/>
      <c r="W6" s="475"/>
      <c r="X6" s="476"/>
      <c r="Y6" s="481"/>
      <c r="Z6" s="482"/>
      <c r="AA6" s="507"/>
      <c r="AB6" s="475"/>
      <c r="AC6" s="507"/>
    </row>
    <row r="7" s="196" customFormat="1" ht="15.75" spans="1:29">
      <c r="A7" s="238"/>
      <c r="B7" s="239" t="s">
        <v>1297</v>
      </c>
      <c r="C7" s="240">
        <f>'数据-取费表'!B2</f>
        <v>44519</v>
      </c>
      <c r="D7" s="241">
        <v>100</v>
      </c>
      <c r="E7" s="242"/>
      <c r="F7" s="243">
        <f>SUMIF(58:58,YEAR(E7)&amp;"-"&amp;MONTH(E7),59:59)</f>
        <v>0</v>
      </c>
      <c r="G7" s="242"/>
      <c r="H7" s="241">
        <f>SUMIF(58:58,YEAR(G7)&amp;"-"&amp;MONTH(G7),59:59)</f>
        <v>0</v>
      </c>
      <c r="I7" s="242"/>
      <c r="J7" s="241">
        <f>SUMIF(58:58,YEAR(I7)&amp;"-"&amp;MONTH(I7),59:59)</f>
        <v>0</v>
      </c>
      <c r="K7" s="402"/>
      <c r="L7" s="403"/>
      <c r="M7" s="404"/>
      <c r="N7" s="404"/>
      <c r="O7" s="404"/>
      <c r="P7" s="405" t="s">
        <v>1298</v>
      </c>
      <c r="Q7" s="483"/>
      <c r="R7" s="484" t="s">
        <v>1299</v>
      </c>
      <c r="S7" s="485">
        <f t="shared" ref="S7:S15" si="0">F7</f>
        <v>0</v>
      </c>
      <c r="T7" s="484" t="s">
        <v>1299</v>
      </c>
      <c r="U7" s="485">
        <f t="shared" ref="U7:U15" si="1">H7</f>
        <v>0</v>
      </c>
      <c r="V7" s="484" t="s">
        <v>1299</v>
      </c>
      <c r="W7" s="485">
        <f t="shared" ref="W7:W15" si="2">J7</f>
        <v>0</v>
      </c>
      <c r="X7" s="486"/>
      <c r="Y7" s="405" t="s">
        <v>1298</v>
      </c>
      <c r="Z7" s="487"/>
      <c r="AA7" s="508" t="e">
        <f>D7/F7</f>
        <v>#DIV/0!</v>
      </c>
      <c r="AB7" s="508" t="e">
        <f>D7/H7</f>
        <v>#DIV/0!</v>
      </c>
      <c r="AC7" s="508" t="e">
        <f>D7/J7</f>
        <v>#DIV/0!</v>
      </c>
    </row>
    <row r="8" s="196" customFormat="1" ht="15.75" spans="1:29">
      <c r="A8" s="245"/>
      <c r="B8" s="246" t="s">
        <v>1300</v>
      </c>
      <c r="C8" s="247" t="s">
        <v>1301</v>
      </c>
      <c r="D8" s="241">
        <v>100</v>
      </c>
      <c r="E8" s="247"/>
      <c r="F8" s="243">
        <f>SUMIF(61:61,E8,62:62)-SUMIF(61:61,C8,62:62)+100</f>
        <v>0</v>
      </c>
      <c r="G8" s="247"/>
      <c r="H8" s="241">
        <f>SUMIF(61:61,G8,62:62)-SUMIF(61:61,C8,62:62)+100</f>
        <v>0</v>
      </c>
      <c r="I8" s="247"/>
      <c r="J8" s="241">
        <f>SUMIF(61:61,I8,62:62)-SUMIF(61:61,C8,62:62)+100</f>
        <v>0</v>
      </c>
      <c r="K8" s="402"/>
      <c r="L8" s="403"/>
      <c r="M8" s="404"/>
      <c r="N8" s="404"/>
      <c r="O8" s="404"/>
      <c r="P8" s="405" t="s">
        <v>1302</v>
      </c>
      <c r="Q8" s="487"/>
      <c r="R8" s="484" t="s">
        <v>1299</v>
      </c>
      <c r="S8" s="485">
        <f t="shared" si="0"/>
        <v>0</v>
      </c>
      <c r="T8" s="484" t="s">
        <v>1299</v>
      </c>
      <c r="U8" s="485">
        <f t="shared" si="1"/>
        <v>0</v>
      </c>
      <c r="V8" s="484" t="s">
        <v>1299</v>
      </c>
      <c r="W8" s="485">
        <f t="shared" si="2"/>
        <v>0</v>
      </c>
      <c r="X8" s="486"/>
      <c r="Y8" s="405" t="s">
        <v>1302</v>
      </c>
      <c r="Z8" s="487"/>
      <c r="AA8" s="508" t="e">
        <f t="shared" ref="AA8:AA46" si="3">D8/F8</f>
        <v>#DIV/0!</v>
      </c>
      <c r="AB8" s="508" t="e">
        <f t="shared" ref="AB8:AB46" si="4">D8/H8</f>
        <v>#DIV/0!</v>
      </c>
      <c r="AC8" s="508" t="e">
        <f t="shared" ref="AC8:AC46" si="5">D8/J8</f>
        <v>#DIV/0!</v>
      </c>
    </row>
    <row r="9" s="196" customFormat="1" ht="15" spans="1:29">
      <c r="A9" s="248"/>
      <c r="B9" s="249" t="s">
        <v>1303</v>
      </c>
      <c r="C9" s="250"/>
      <c r="D9" s="251">
        <v>100</v>
      </c>
      <c r="E9" s="252"/>
      <c r="F9" s="251">
        <f>SUMIF(63:63,E9,64:64)-SUMIF(63:63,C9,64:64)+100</f>
        <v>100</v>
      </c>
      <c r="G9" s="544"/>
      <c r="H9" s="251">
        <f>SUMIF(63:63,G9,64:64)-SUMIF(63:63,C9,64:64)+100</f>
        <v>100</v>
      </c>
      <c r="I9" s="544"/>
      <c r="J9" s="251">
        <f>SUMIF(63:63,I9,64:64)-SUMIF(63:63,C9,64:64)+100</f>
        <v>100</v>
      </c>
      <c r="K9" s="402"/>
      <c r="L9" s="403"/>
      <c r="M9" s="404"/>
      <c r="N9" s="404"/>
      <c r="O9" s="406"/>
      <c r="P9" s="407" t="s">
        <v>1304</v>
      </c>
      <c r="Q9" s="488" t="str">
        <f t="shared" ref="Q9:Q15" si="6">B9</f>
        <v>用途</v>
      </c>
      <c r="R9" s="484" t="s">
        <v>1299</v>
      </c>
      <c r="S9" s="485">
        <f t="shared" si="0"/>
        <v>100</v>
      </c>
      <c r="T9" s="484" t="s">
        <v>1299</v>
      </c>
      <c r="U9" s="485">
        <f t="shared" si="1"/>
        <v>100</v>
      </c>
      <c r="V9" s="484" t="s">
        <v>1299</v>
      </c>
      <c r="W9" s="485">
        <f t="shared" si="2"/>
        <v>100</v>
      </c>
      <c r="X9" s="486"/>
      <c r="Y9" s="488" t="s">
        <v>1305</v>
      </c>
      <c r="Z9" s="509" t="str">
        <f t="shared" ref="Z9:Z15" si="7">Q9</f>
        <v>用途</v>
      </c>
      <c r="AA9" s="508">
        <f t="shared" si="3"/>
        <v>1</v>
      </c>
      <c r="AB9" s="508">
        <f t="shared" si="4"/>
        <v>1</v>
      </c>
      <c r="AC9" s="508">
        <f t="shared" si="5"/>
        <v>1</v>
      </c>
    </row>
    <row r="10" s="197" customFormat="1" ht="27" spans="1:29">
      <c r="A10" s="253"/>
      <c r="B10" s="246" t="s">
        <v>1306</v>
      </c>
      <c r="C10" s="254"/>
      <c r="D10" s="255">
        <v>100</v>
      </c>
      <c r="E10" s="254"/>
      <c r="F10" s="255">
        <f>SUMIF(65:65,E10,66:66)-SUMIF(65:65,C10,66:66)+100</f>
        <v>100</v>
      </c>
      <c r="G10" s="256"/>
      <c r="H10" s="255">
        <f>SUMIF(65:65,G10,66:66)-SUMIF(65:65,C10,66:66)+100</f>
        <v>100</v>
      </c>
      <c r="I10" s="254"/>
      <c r="J10" s="255">
        <f>SUMIF(65:65,I10,66:66)-SUMIF(65:65,C10,66:66)+100</f>
        <v>100</v>
      </c>
      <c r="K10" s="408"/>
      <c r="L10" s="409"/>
      <c r="M10" s="410"/>
      <c r="N10" s="410"/>
      <c r="O10" s="411"/>
      <c r="P10" s="407"/>
      <c r="Q10" s="488" t="str">
        <f t="shared" si="6"/>
        <v>土地使用年限（年）</v>
      </c>
      <c r="R10" s="484" t="s">
        <v>1299</v>
      </c>
      <c r="S10" s="485">
        <f t="shared" si="0"/>
        <v>100</v>
      </c>
      <c r="T10" s="484" t="s">
        <v>1299</v>
      </c>
      <c r="U10" s="485">
        <f t="shared" si="1"/>
        <v>100</v>
      </c>
      <c r="V10" s="484" t="s">
        <v>1299</v>
      </c>
      <c r="W10" s="485">
        <f t="shared" si="2"/>
        <v>100</v>
      </c>
      <c r="X10" s="486"/>
      <c r="Y10" s="488"/>
      <c r="Z10" s="509" t="str">
        <f t="shared" si="7"/>
        <v>土地使用年限（年）</v>
      </c>
      <c r="AA10" s="508">
        <f t="shared" si="3"/>
        <v>1</v>
      </c>
      <c r="AB10" s="508">
        <f t="shared" si="4"/>
        <v>1</v>
      </c>
      <c r="AC10" s="508">
        <f t="shared" si="5"/>
        <v>1</v>
      </c>
    </row>
    <row r="11" ht="15" spans="1:29">
      <c r="A11" s="577"/>
      <c r="B11" s="246" t="s">
        <v>1307</v>
      </c>
      <c r="C11" s="578"/>
      <c r="D11" s="255">
        <v>100</v>
      </c>
      <c r="E11" s="578"/>
      <c r="F11" s="255" t="e">
        <f>LOOKUP(E11,68:68,69:69)-LOOKUP(C11,68:68,69:69)+100</f>
        <v>#N/A</v>
      </c>
      <c r="G11" s="579"/>
      <c r="H11" s="255" t="e">
        <f>LOOKUP(G11,68:68,69:69)-LOOKUP(C11,68:68,69:69)+100</f>
        <v>#N/A</v>
      </c>
      <c r="I11" s="578"/>
      <c r="J11" s="255" t="e">
        <f>LOOKUP(I11,68:68,69:69)-LOOKUP(C11,68:68,69:69)+100</f>
        <v>#N/A</v>
      </c>
      <c r="K11" s="408"/>
      <c r="L11" s="413"/>
      <c r="M11" s="398"/>
      <c r="N11" s="398"/>
      <c r="O11" s="414"/>
      <c r="P11" s="407"/>
      <c r="Q11" s="488" t="str">
        <f t="shared" si="6"/>
        <v>容积率</v>
      </c>
      <c r="R11" s="484" t="s">
        <v>1299</v>
      </c>
      <c r="S11" s="485" t="e">
        <f t="shared" si="0"/>
        <v>#N/A</v>
      </c>
      <c r="T11" s="484" t="s">
        <v>1299</v>
      </c>
      <c r="U11" s="485" t="e">
        <f t="shared" si="1"/>
        <v>#N/A</v>
      </c>
      <c r="V11" s="484" t="s">
        <v>1299</v>
      </c>
      <c r="W11" s="485" t="e">
        <f t="shared" si="2"/>
        <v>#N/A</v>
      </c>
      <c r="X11" s="486"/>
      <c r="Y11" s="488"/>
      <c r="Z11" s="509" t="str">
        <f t="shared" si="7"/>
        <v>容积率</v>
      </c>
      <c r="AA11" s="508" t="e">
        <f t="shared" si="3"/>
        <v>#N/A</v>
      </c>
      <c r="AB11" s="508" t="e">
        <f t="shared" si="4"/>
        <v>#N/A</v>
      </c>
      <c r="AC11" s="508" t="e">
        <f t="shared" si="5"/>
        <v>#N/A</v>
      </c>
    </row>
    <row r="12" s="196" customFormat="1" ht="15" spans="1:29">
      <c r="A12" s="257"/>
      <c r="B12" s="258">
        <v>111</v>
      </c>
      <c r="C12" s="259"/>
      <c r="D12" s="261">
        <v>100</v>
      </c>
      <c r="E12" s="264"/>
      <c r="F12" s="255">
        <f>SUMIF(70:70,E12,71:71)-SUMIF(70:70,C12,71:71)+100</f>
        <v>100</v>
      </c>
      <c r="G12" s="613"/>
      <c r="H12" s="255">
        <f>SUMIF(70:70,G12,71:71)-SUMIF(70:70,C12,71:71)+100</f>
        <v>100</v>
      </c>
      <c r="I12" s="264"/>
      <c r="J12" s="255">
        <f>SUMIF(70:70,I12,71:71)-SUMIF(70:70,C12,71:71)+100</f>
        <v>100</v>
      </c>
      <c r="K12" s="412"/>
      <c r="L12" s="403"/>
      <c r="M12" s="404"/>
      <c r="N12" s="404"/>
      <c r="O12" s="406"/>
      <c r="P12" s="407"/>
      <c r="Q12" s="488">
        <f t="shared" si="6"/>
        <v>111</v>
      </c>
      <c r="R12" s="484" t="s">
        <v>1299</v>
      </c>
      <c r="S12" s="485">
        <f t="shared" si="0"/>
        <v>100</v>
      </c>
      <c r="T12" s="484" t="s">
        <v>1299</v>
      </c>
      <c r="U12" s="485">
        <f t="shared" si="1"/>
        <v>100</v>
      </c>
      <c r="V12" s="484" t="s">
        <v>1299</v>
      </c>
      <c r="W12" s="485">
        <f t="shared" si="2"/>
        <v>100</v>
      </c>
      <c r="X12" s="486"/>
      <c r="Y12" s="488"/>
      <c r="Z12" s="509">
        <f t="shared" si="7"/>
        <v>111</v>
      </c>
      <c r="AA12" s="508">
        <f t="shared" si="3"/>
        <v>1</v>
      </c>
      <c r="AB12" s="508">
        <f t="shared" si="4"/>
        <v>1</v>
      </c>
      <c r="AC12" s="508">
        <f t="shared" si="5"/>
        <v>1</v>
      </c>
    </row>
    <row r="13" ht="15" spans="1:29">
      <c r="A13" s="257"/>
      <c r="B13" s="258">
        <v>111</v>
      </c>
      <c r="C13" s="264"/>
      <c r="D13" s="265">
        <v>100</v>
      </c>
      <c r="E13" s="264"/>
      <c r="F13" s="255">
        <f>SUMIF(72:72,E13,73:73)-SUMIF(72:72,C13,73:73)+100</f>
        <v>100</v>
      </c>
      <c r="G13" s="613"/>
      <c r="H13" s="265">
        <f>SUMIF(72:72,G13,73:73)-SUMIF(72:72,C13,73:73)+100</f>
        <v>100</v>
      </c>
      <c r="I13" s="264"/>
      <c r="J13" s="265">
        <f>SUMIF(72:72,I13,73:73)-SUMIF(72:72,C13,73:73)+100</f>
        <v>100</v>
      </c>
      <c r="K13" s="412"/>
      <c r="L13" s="415"/>
      <c r="M13" s="398"/>
      <c r="N13" s="398"/>
      <c r="O13" s="414"/>
      <c r="P13" s="407"/>
      <c r="Q13" s="488">
        <f t="shared" si="6"/>
        <v>111</v>
      </c>
      <c r="R13" s="484" t="s">
        <v>1299</v>
      </c>
      <c r="S13" s="485">
        <f t="shared" si="0"/>
        <v>100</v>
      </c>
      <c r="T13" s="484" t="s">
        <v>1299</v>
      </c>
      <c r="U13" s="485">
        <f t="shared" si="1"/>
        <v>100</v>
      </c>
      <c r="V13" s="484" t="s">
        <v>1299</v>
      </c>
      <c r="W13" s="485">
        <f t="shared" si="2"/>
        <v>100</v>
      </c>
      <c r="X13" s="486"/>
      <c r="Y13" s="488"/>
      <c r="Z13" s="509">
        <f t="shared" si="7"/>
        <v>111</v>
      </c>
      <c r="AA13" s="508">
        <f t="shared" si="3"/>
        <v>1</v>
      </c>
      <c r="AB13" s="508">
        <f t="shared" si="4"/>
        <v>1</v>
      </c>
      <c r="AC13" s="508">
        <f t="shared" si="5"/>
        <v>1</v>
      </c>
    </row>
    <row r="14" ht="15.75" spans="1:29">
      <c r="A14" s="262"/>
      <c r="B14" s="263">
        <v>111</v>
      </c>
      <c r="C14" s="317"/>
      <c r="D14" s="318">
        <v>100</v>
      </c>
      <c r="E14" s="317"/>
      <c r="F14" s="318">
        <f>SUMIF(74:74,E14,75:75)-SUMIF(74:74,C14,75:75)+100</f>
        <v>100</v>
      </c>
      <c r="G14" s="613"/>
      <c r="H14" s="318">
        <f>SUMIF(74:74,G14,75:75)-SUMIF(74:74,C14,75:75)+100</f>
        <v>100</v>
      </c>
      <c r="I14" s="264"/>
      <c r="J14" s="318">
        <f>SUMIF(74:74,I14,75:75)-SUMIF(74:74,C14,75:75)+100</f>
        <v>100</v>
      </c>
      <c r="K14" s="412"/>
      <c r="L14" s="415"/>
      <c r="M14" s="398"/>
      <c r="N14" s="398"/>
      <c r="O14" s="414"/>
      <c r="P14" s="407"/>
      <c r="Q14" s="488">
        <f t="shared" si="6"/>
        <v>111</v>
      </c>
      <c r="R14" s="484" t="s">
        <v>1299</v>
      </c>
      <c r="S14" s="485">
        <f t="shared" si="0"/>
        <v>100</v>
      </c>
      <c r="T14" s="484" t="s">
        <v>1299</v>
      </c>
      <c r="U14" s="485">
        <f t="shared" si="1"/>
        <v>100</v>
      </c>
      <c r="V14" s="484" t="s">
        <v>1299</v>
      </c>
      <c r="W14" s="485">
        <f t="shared" si="2"/>
        <v>100</v>
      </c>
      <c r="X14" s="486"/>
      <c r="Y14" s="488"/>
      <c r="Z14" s="509">
        <f t="shared" si="7"/>
        <v>111</v>
      </c>
      <c r="AA14" s="508">
        <f t="shared" si="3"/>
        <v>1</v>
      </c>
      <c r="AB14" s="508">
        <f t="shared" si="4"/>
        <v>1</v>
      </c>
      <c r="AC14" s="508">
        <f t="shared" si="5"/>
        <v>1</v>
      </c>
    </row>
    <row r="15" ht="68.25" spans="1:29">
      <c r="A15" s="266" t="s">
        <v>1309</v>
      </c>
      <c r="B15" s="267" t="s">
        <v>226</v>
      </c>
      <c r="C15" s="614" t="str">
        <f>估价对象房地状况!C4</f>
        <v>估价对象位于XX商圈，周边商业氛围成熟，人流量大，商业繁华度好</v>
      </c>
      <c r="D15" s="269">
        <v>100</v>
      </c>
      <c r="E15" s="270"/>
      <c r="F15" s="271">
        <f>SUMIF(76:76,E16,77:77)-SUMIF(76:76,C16,77:77)+100</f>
        <v>100</v>
      </c>
      <c r="G15" s="272"/>
      <c r="H15" s="269">
        <f>SUMIF(76:76,G16,77:77)-SUMIF(76:76,C16,77:77)+100</f>
        <v>100</v>
      </c>
      <c r="I15" s="270"/>
      <c r="J15" s="269">
        <f>SUMIF(76:76,I16,77:77)-SUMIF(76:76,C16,77:77)+100</f>
        <v>100</v>
      </c>
      <c r="K15" s="416"/>
      <c r="L15" s="415"/>
      <c r="M15" s="398"/>
      <c r="N15" s="398"/>
      <c r="O15" s="414"/>
      <c r="P15" s="417" t="s">
        <v>1310</v>
      </c>
      <c r="Q15" s="407" t="str">
        <f t="shared" si="6"/>
        <v>商业繁华度</v>
      </c>
      <c r="R15" s="489" t="s">
        <v>1299</v>
      </c>
      <c r="S15" s="490">
        <f t="shared" si="0"/>
        <v>100</v>
      </c>
      <c r="T15" s="489" t="s">
        <v>1299</v>
      </c>
      <c r="U15" s="490">
        <f t="shared" si="1"/>
        <v>100</v>
      </c>
      <c r="V15" s="489" t="s">
        <v>1299</v>
      </c>
      <c r="W15" s="490">
        <f t="shared" si="2"/>
        <v>100</v>
      </c>
      <c r="X15" s="476"/>
      <c r="Y15" s="417" t="s">
        <v>1310</v>
      </c>
      <c r="Z15" s="475" t="str">
        <f t="shared" si="7"/>
        <v>商业繁华度</v>
      </c>
      <c r="AA15" s="495">
        <f t="shared" si="3"/>
        <v>1</v>
      </c>
      <c r="AB15" s="495">
        <f t="shared" si="4"/>
        <v>1</v>
      </c>
      <c r="AC15" s="495">
        <f t="shared" si="5"/>
        <v>1</v>
      </c>
    </row>
    <row r="16" ht="15" spans="1:29">
      <c r="A16" s="273"/>
      <c r="B16" s="274"/>
      <c r="C16" s="275"/>
      <c r="D16" s="276"/>
      <c r="E16" s="275"/>
      <c r="F16" s="277"/>
      <c r="G16" s="275"/>
      <c r="H16" s="278"/>
      <c r="I16" s="275"/>
      <c r="J16" s="276"/>
      <c r="K16" s="418"/>
      <c r="L16" s="415"/>
      <c r="M16" s="398"/>
      <c r="N16" s="398"/>
      <c r="O16" s="414"/>
      <c r="P16" s="419"/>
      <c r="Q16" s="407"/>
      <c r="R16" s="489"/>
      <c r="S16" s="490"/>
      <c r="T16" s="489"/>
      <c r="U16" s="490"/>
      <c r="V16" s="489"/>
      <c r="W16" s="490"/>
      <c r="X16" s="476"/>
      <c r="Y16" s="419"/>
      <c r="Z16" s="475"/>
      <c r="AA16" s="495">
        <v>1</v>
      </c>
      <c r="AB16" s="495">
        <v>1</v>
      </c>
      <c r="AC16" s="495">
        <v>1</v>
      </c>
    </row>
    <row r="17" ht="81" spans="1:29">
      <c r="A17" s="273"/>
      <c r="B17" s="292" t="s">
        <v>229</v>
      </c>
      <c r="C17" s="280" t="str">
        <f>估价对象房地状况!C6</f>
        <v>估价对象周边道路状况、公共交通通达情况、停车便捷程度，综合评价交通便捷度较好</v>
      </c>
      <c r="D17" s="278">
        <v>100</v>
      </c>
      <c r="E17" s="288"/>
      <c r="F17" s="289">
        <f>SUMIF(78:78,E18,79:79)-SUMIF(78:78,C18,79:79)+100</f>
        <v>100</v>
      </c>
      <c r="G17" s="290"/>
      <c r="H17" s="281">
        <f>SUMIF(78:78,G18,79:79)-SUMIF(78:78,C18,79:79)+100</f>
        <v>100</v>
      </c>
      <c r="I17" s="288"/>
      <c r="J17" s="281">
        <f>SUMIF(78:78,I18,79:79)-SUMIF(78:78,C18,79:79)+100</f>
        <v>100</v>
      </c>
      <c r="K17" s="416"/>
      <c r="L17" s="415"/>
      <c r="M17" s="398"/>
      <c r="N17" s="398"/>
      <c r="O17" s="414"/>
      <c r="P17" s="419"/>
      <c r="Q17" s="407" t="str">
        <f>B17</f>
        <v>交通便捷度</v>
      </c>
      <c r="R17" s="489" t="s">
        <v>1299</v>
      </c>
      <c r="S17" s="490">
        <f>F17</f>
        <v>100</v>
      </c>
      <c r="T17" s="489" t="s">
        <v>1299</v>
      </c>
      <c r="U17" s="490">
        <f>H17</f>
        <v>100</v>
      </c>
      <c r="V17" s="489" t="s">
        <v>1299</v>
      </c>
      <c r="W17" s="490">
        <f>J17</f>
        <v>100</v>
      </c>
      <c r="X17" s="476"/>
      <c r="Y17" s="419"/>
      <c r="Z17" s="475" t="str">
        <f>Q17</f>
        <v>交通便捷度</v>
      </c>
      <c r="AA17" s="495">
        <f t="shared" si="3"/>
        <v>1</v>
      </c>
      <c r="AB17" s="495">
        <f t="shared" si="4"/>
        <v>1</v>
      </c>
      <c r="AC17" s="495">
        <f t="shared" si="5"/>
        <v>1</v>
      </c>
    </row>
    <row r="18" ht="15" spans="1:29">
      <c r="A18" s="273"/>
      <c r="B18" s="293"/>
      <c r="C18" s="286"/>
      <c r="D18" s="278"/>
      <c r="E18" s="581"/>
      <c r="F18" s="289"/>
      <c r="G18" s="582"/>
      <c r="H18" s="276"/>
      <c r="I18" s="581"/>
      <c r="J18" s="276"/>
      <c r="K18" s="418"/>
      <c r="L18" s="415"/>
      <c r="M18" s="398"/>
      <c r="N18" s="398"/>
      <c r="O18" s="414"/>
      <c r="P18" s="419"/>
      <c r="Q18" s="407"/>
      <c r="R18" s="489"/>
      <c r="S18" s="490"/>
      <c r="T18" s="489"/>
      <c r="U18" s="490"/>
      <c r="V18" s="489"/>
      <c r="W18" s="490"/>
      <c r="X18" s="476"/>
      <c r="Y18" s="419"/>
      <c r="Z18" s="475"/>
      <c r="AA18" s="495">
        <v>1</v>
      </c>
      <c r="AB18" s="495">
        <v>1</v>
      </c>
      <c r="AC18" s="495">
        <v>1</v>
      </c>
    </row>
    <row r="19" ht="40.5" spans="1:29">
      <c r="A19" s="273"/>
      <c r="B19" s="615" t="s">
        <v>231</v>
      </c>
      <c r="C19" s="280" t="str">
        <f>估价对象房地状况!C7</f>
        <v>估价对象所在区域公共配套设施齐备情况</v>
      </c>
      <c r="D19" s="281">
        <v>100</v>
      </c>
      <c r="E19" s="282"/>
      <c r="F19" s="283">
        <f>SUMIF(80:80,E20,81:81)-SUMIF(80:80,C20,81:81)+100</f>
        <v>100</v>
      </c>
      <c r="G19" s="284"/>
      <c r="H19" s="278">
        <f>SUMIF(80:80,G20,81:81)-SUMIF(80:80,C20,81:81)+100</f>
        <v>100</v>
      </c>
      <c r="I19" s="282"/>
      <c r="J19" s="278">
        <f>SUMIF(80:80,I20,81:81)-SUMIF(80:80,C20,81:81)+100</f>
        <v>100</v>
      </c>
      <c r="K19" s="416"/>
      <c r="L19" s="415"/>
      <c r="M19" s="398"/>
      <c r="N19" s="398"/>
      <c r="O19" s="414"/>
      <c r="P19" s="419"/>
      <c r="Q19" s="407" t="str">
        <f>B19</f>
        <v>公共配套设施</v>
      </c>
      <c r="R19" s="489" t="s">
        <v>1299</v>
      </c>
      <c r="S19" s="490">
        <f>F19</f>
        <v>100</v>
      </c>
      <c r="T19" s="489" t="s">
        <v>1299</v>
      </c>
      <c r="U19" s="490">
        <f>H19</f>
        <v>100</v>
      </c>
      <c r="V19" s="489" t="s">
        <v>1299</v>
      </c>
      <c r="W19" s="490">
        <f>J19</f>
        <v>100</v>
      </c>
      <c r="X19" s="476"/>
      <c r="Y19" s="419"/>
      <c r="Z19" s="475" t="str">
        <f>Q19</f>
        <v>公共配套设施</v>
      </c>
      <c r="AA19" s="495">
        <f t="shared" si="3"/>
        <v>1</v>
      </c>
      <c r="AB19" s="495">
        <f t="shared" si="4"/>
        <v>1</v>
      </c>
      <c r="AC19" s="495">
        <f t="shared" si="5"/>
        <v>1</v>
      </c>
    </row>
    <row r="20" ht="15" spans="1:29">
      <c r="A20" s="273"/>
      <c r="B20" s="293"/>
      <c r="C20" s="275"/>
      <c r="D20" s="276"/>
      <c r="E20" s="583"/>
      <c r="F20" s="277"/>
      <c r="G20" s="584"/>
      <c r="H20" s="276"/>
      <c r="I20" s="583"/>
      <c r="J20" s="276"/>
      <c r="K20" s="418"/>
      <c r="L20" s="415"/>
      <c r="M20" s="398"/>
      <c r="N20" s="398"/>
      <c r="O20" s="414"/>
      <c r="P20" s="419"/>
      <c r="Q20" s="407"/>
      <c r="R20" s="489"/>
      <c r="S20" s="490"/>
      <c r="T20" s="489"/>
      <c r="U20" s="490"/>
      <c r="V20" s="489"/>
      <c r="W20" s="490"/>
      <c r="X20" s="476"/>
      <c r="Y20" s="419"/>
      <c r="Z20" s="475"/>
      <c r="AA20" s="495">
        <v>1</v>
      </c>
      <c r="AB20" s="495">
        <v>1</v>
      </c>
      <c r="AC20" s="495">
        <v>1</v>
      </c>
    </row>
    <row r="21" ht="27" spans="1:29">
      <c r="A21" s="273"/>
      <c r="B21" s="616" t="s">
        <v>232</v>
      </c>
      <c r="C21" s="280" t="str">
        <f>估价对象房地状况!C8</f>
        <v>估价对象所在区域基础设施水平</v>
      </c>
      <c r="D21" s="281">
        <v>100</v>
      </c>
      <c r="E21" s="284"/>
      <c r="F21" s="283">
        <f>SUMIF(82:82,E22,83:83)-SUMIF(82:82,C22,83:83)+100</f>
        <v>100</v>
      </c>
      <c r="G21" s="284"/>
      <c r="H21" s="281">
        <f>SUMIF(82:82,G22,83:83)-SUMIF(82:82,C22,83:83)+100</f>
        <v>100</v>
      </c>
      <c r="I21" s="282"/>
      <c r="J21" s="281">
        <f>SUMIF(82:82,I22,83:83)-SUMIF(82:82,C22,83:83)+100</f>
        <v>100</v>
      </c>
      <c r="K21" s="416"/>
      <c r="L21" s="415"/>
      <c r="M21" s="398"/>
      <c r="N21" s="398"/>
      <c r="O21" s="414"/>
      <c r="P21" s="419"/>
      <c r="Q21" s="407" t="str">
        <f>B21</f>
        <v>基础设施水平</v>
      </c>
      <c r="R21" s="489" t="s">
        <v>1299</v>
      </c>
      <c r="S21" s="490">
        <f>F21</f>
        <v>100</v>
      </c>
      <c r="T21" s="489" t="s">
        <v>1299</v>
      </c>
      <c r="U21" s="490">
        <f>H21</f>
        <v>100</v>
      </c>
      <c r="V21" s="489" t="s">
        <v>1299</v>
      </c>
      <c r="W21" s="490">
        <f>J21</f>
        <v>100</v>
      </c>
      <c r="X21" s="476"/>
      <c r="Y21" s="419"/>
      <c r="Z21" s="475" t="str">
        <f>Q21</f>
        <v>基础设施水平</v>
      </c>
      <c r="AA21" s="495">
        <f t="shared" ref="AA21" si="8">D21/F21</f>
        <v>1</v>
      </c>
      <c r="AB21" s="495">
        <f t="shared" ref="AB21" si="9">D21/H21</f>
        <v>1</v>
      </c>
      <c r="AC21" s="495">
        <f t="shared" ref="AC21" si="10">D21/J21</f>
        <v>1</v>
      </c>
    </row>
    <row r="22" ht="15" spans="1:29">
      <c r="A22" s="273"/>
      <c r="B22" s="585"/>
      <c r="C22" s="286"/>
      <c r="D22" s="276"/>
      <c r="E22" s="275"/>
      <c r="F22" s="277"/>
      <c r="G22" s="275"/>
      <c r="H22" s="276"/>
      <c r="I22" s="275"/>
      <c r="J22" s="276"/>
      <c r="K22" s="420"/>
      <c r="L22" s="415"/>
      <c r="M22" s="398"/>
      <c r="N22" s="398"/>
      <c r="O22" s="414"/>
      <c r="P22" s="419"/>
      <c r="Q22" s="407"/>
      <c r="R22" s="489"/>
      <c r="S22" s="490"/>
      <c r="T22" s="489"/>
      <c r="U22" s="490"/>
      <c r="V22" s="489"/>
      <c r="W22" s="490"/>
      <c r="X22" s="476"/>
      <c r="Y22" s="419"/>
      <c r="Z22" s="475"/>
      <c r="AA22" s="495">
        <v>1</v>
      </c>
      <c r="AB22" s="495">
        <v>1</v>
      </c>
      <c r="AC22" s="495">
        <v>1</v>
      </c>
    </row>
    <row r="23" ht="54" spans="1:29">
      <c r="A23" s="273"/>
      <c r="B23" s="292" t="s">
        <v>2353</v>
      </c>
      <c r="C23" s="617" t="str">
        <f>估价对象房地状况!C9</f>
        <v>区域自然环境：；人文环境；综合评价环境状况一般</v>
      </c>
      <c r="D23" s="278">
        <v>100</v>
      </c>
      <c r="E23" s="288"/>
      <c r="F23" s="289">
        <f>SUMIF(84:84,E24,85:85)-SUMIF(84:84,C24,85:85)+100</f>
        <v>100</v>
      </c>
      <c r="G23" s="290"/>
      <c r="H23" s="278">
        <f>SUMIF(84:84,G24,85:85)-SUMIF(84:84,C24,85:85)+100</f>
        <v>100</v>
      </c>
      <c r="I23" s="288"/>
      <c r="J23" s="278">
        <f>SUMIF(84:84,I24,85:85)-SUMIF(84:84,C24,85:85)+100</f>
        <v>100</v>
      </c>
      <c r="K23" s="416"/>
      <c r="L23" s="415"/>
      <c r="M23" s="398"/>
      <c r="N23" s="398"/>
      <c r="O23" s="414"/>
      <c r="P23" s="419"/>
      <c r="Q23" s="407" t="str">
        <f>B23</f>
        <v>自然及人文环境</v>
      </c>
      <c r="R23" s="489" t="s">
        <v>1299</v>
      </c>
      <c r="S23" s="490">
        <f>F23</f>
        <v>100</v>
      </c>
      <c r="T23" s="489" t="s">
        <v>1299</v>
      </c>
      <c r="U23" s="490">
        <f>H23</f>
        <v>100</v>
      </c>
      <c r="V23" s="489" t="s">
        <v>1299</v>
      </c>
      <c r="W23" s="490">
        <f>J23</f>
        <v>100</v>
      </c>
      <c r="X23" s="476"/>
      <c r="Y23" s="419"/>
      <c r="Z23" s="475" t="str">
        <f>Q23</f>
        <v>自然及人文环境</v>
      </c>
      <c r="AA23" s="495">
        <f t="shared" si="3"/>
        <v>1</v>
      </c>
      <c r="AB23" s="495">
        <f t="shared" si="4"/>
        <v>1</v>
      </c>
      <c r="AC23" s="495">
        <f t="shared" si="5"/>
        <v>1</v>
      </c>
    </row>
    <row r="24" ht="15" spans="1:29">
      <c r="A24" s="273"/>
      <c r="B24" s="293"/>
      <c r="C24" s="275"/>
      <c r="D24" s="276"/>
      <c r="E24" s="583"/>
      <c r="F24" s="277"/>
      <c r="G24" s="584"/>
      <c r="H24" s="276"/>
      <c r="I24" s="583"/>
      <c r="J24" s="276"/>
      <c r="K24" s="418"/>
      <c r="L24" s="415"/>
      <c r="M24" s="398"/>
      <c r="N24" s="398"/>
      <c r="O24" s="414"/>
      <c r="P24" s="419"/>
      <c r="Q24" s="407"/>
      <c r="R24" s="489"/>
      <c r="S24" s="490"/>
      <c r="T24" s="489"/>
      <c r="U24" s="490"/>
      <c r="V24" s="489"/>
      <c r="W24" s="490"/>
      <c r="X24" s="476"/>
      <c r="Y24" s="419"/>
      <c r="Z24" s="475"/>
      <c r="AA24" s="495">
        <v>1</v>
      </c>
      <c r="AB24" s="495">
        <v>1</v>
      </c>
      <c r="AC24" s="495">
        <v>1</v>
      </c>
    </row>
    <row r="25" ht="15" spans="1:29">
      <c r="A25" s="273"/>
      <c r="B25" s="307" t="s">
        <v>234</v>
      </c>
      <c r="C25" s="294"/>
      <c r="D25" s="265">
        <v>100</v>
      </c>
      <c r="E25" s="294"/>
      <c r="F25" s="295">
        <f>SUMIF(86:86,E25,87:87)-SUMIF(86:86,C25,87:87)+100</f>
        <v>100</v>
      </c>
      <c r="G25" s="294"/>
      <c r="H25" s="265">
        <f>SUMIF(86:86,G25,87:87)-SUMIF(86:86,C25,87:87)+100</f>
        <v>100</v>
      </c>
      <c r="I25" s="294"/>
      <c r="J25" s="265">
        <f>SUMIF(86:86,I25,87:87)-SUMIF(86:86,C25,87:87)+100</f>
        <v>100</v>
      </c>
      <c r="K25" s="408"/>
      <c r="L25" s="415"/>
      <c r="M25" s="398"/>
      <c r="N25" s="398"/>
      <c r="O25" s="414"/>
      <c r="P25" s="419"/>
      <c r="Q25" s="407" t="str">
        <f t="shared" ref="Q25:Q46" si="11">B25</f>
        <v>临街状况</v>
      </c>
      <c r="R25" s="489" t="s">
        <v>1299</v>
      </c>
      <c r="S25" s="490">
        <f>F25</f>
        <v>100</v>
      </c>
      <c r="T25" s="489" t="s">
        <v>1299</v>
      </c>
      <c r="U25" s="490">
        <f>H25</f>
        <v>100</v>
      </c>
      <c r="V25" s="489" t="s">
        <v>1299</v>
      </c>
      <c r="W25" s="490">
        <f>J25</f>
        <v>100</v>
      </c>
      <c r="X25" s="476"/>
      <c r="Y25" s="419"/>
      <c r="Z25" s="475" t="str">
        <f>Q25</f>
        <v>临街状况</v>
      </c>
      <c r="AA25" s="495">
        <f t="shared" si="3"/>
        <v>1</v>
      </c>
      <c r="AB25" s="495">
        <f t="shared" si="4"/>
        <v>1</v>
      </c>
      <c r="AC25" s="495">
        <f t="shared" si="5"/>
        <v>1</v>
      </c>
    </row>
    <row r="26" ht="15" spans="1:29">
      <c r="A26" s="273"/>
      <c r="B26" s="586" t="s">
        <v>2379</v>
      </c>
      <c r="C26" s="264"/>
      <c r="D26" s="265">
        <v>100</v>
      </c>
      <c r="E26" s="264"/>
      <c r="F26" s="295">
        <f>SUMIF(88:88,E26,89:89)-SUMIF(88:88,C26,89:89)+100</f>
        <v>100</v>
      </c>
      <c r="G26" s="264"/>
      <c r="H26" s="265">
        <f>SUMIF(88:88,G26,89:89)-SUMIF(88:88,C26,89:89)+100</f>
        <v>100</v>
      </c>
      <c r="I26" s="264"/>
      <c r="J26" s="265">
        <f>SUMIF(88:88,I26,89:89)-SUMIF(88:88,C26,89:89)+100</f>
        <v>100</v>
      </c>
      <c r="K26" s="412"/>
      <c r="L26" s="415"/>
      <c r="M26" s="398"/>
      <c r="N26" s="398"/>
      <c r="O26" s="414"/>
      <c r="P26" s="419"/>
      <c r="Q26" s="407" t="str">
        <f t="shared" si="11"/>
        <v>平面位置/可视性</v>
      </c>
      <c r="R26" s="489" t="s">
        <v>1299</v>
      </c>
      <c r="S26" s="490">
        <f>F26</f>
        <v>100</v>
      </c>
      <c r="T26" s="489" t="s">
        <v>1299</v>
      </c>
      <c r="U26" s="490">
        <f>H26</f>
        <v>100</v>
      </c>
      <c r="V26" s="489" t="s">
        <v>1299</v>
      </c>
      <c r="W26" s="490">
        <f>J26</f>
        <v>100</v>
      </c>
      <c r="X26" s="476"/>
      <c r="Y26" s="419"/>
      <c r="Z26" s="475" t="str">
        <f>Q26</f>
        <v>平面位置/可视性</v>
      </c>
      <c r="AA26" s="495">
        <f t="shared" si="3"/>
        <v>1</v>
      </c>
      <c r="AB26" s="495">
        <f t="shared" si="4"/>
        <v>1</v>
      </c>
      <c r="AC26" s="495">
        <f t="shared" si="5"/>
        <v>1</v>
      </c>
    </row>
    <row r="27" s="196" customFormat="1" ht="15" spans="1:29">
      <c r="A27" s="297"/>
      <c r="B27" s="292" t="s">
        <v>2380</v>
      </c>
      <c r="C27" s="618"/>
      <c r="D27" s="587">
        <v>100</v>
      </c>
      <c r="E27" s="618"/>
      <c r="F27" s="588">
        <f>SUMIF(90:90,E27,91:91)-SUMIF(90:90,C27,91:91)+100</f>
        <v>100</v>
      </c>
      <c r="G27" s="618"/>
      <c r="H27" s="587">
        <f>SUMIF(90:90,G27,91:91)-SUMIF(90:90,C27,91:91)+100</f>
        <v>100</v>
      </c>
      <c r="I27" s="618"/>
      <c r="J27" s="587">
        <f>SUMIF(90:90,I27,91:91)-SUMIF(90:90,C27,91:91)+100</f>
        <v>100</v>
      </c>
      <c r="K27" s="408"/>
      <c r="L27" s="403"/>
      <c r="M27" s="404"/>
      <c r="N27" s="404"/>
      <c r="O27" s="406"/>
      <c r="P27" s="419"/>
      <c r="Q27" s="488" t="str">
        <f t="shared" si="11"/>
        <v>人流量</v>
      </c>
      <c r="R27" s="484" t="s">
        <v>1299</v>
      </c>
      <c r="S27" s="485">
        <f>F27</f>
        <v>100</v>
      </c>
      <c r="T27" s="484" t="s">
        <v>1299</v>
      </c>
      <c r="U27" s="485">
        <f>H27</f>
        <v>100</v>
      </c>
      <c r="V27" s="484" t="s">
        <v>1299</v>
      </c>
      <c r="W27" s="485">
        <f>J27</f>
        <v>100</v>
      </c>
      <c r="X27" s="486"/>
      <c r="Y27" s="419"/>
      <c r="Z27" s="509" t="str">
        <f>Q27</f>
        <v>人流量</v>
      </c>
      <c r="AA27" s="495">
        <f t="shared" si="3"/>
        <v>1</v>
      </c>
      <c r="AB27" s="495">
        <f t="shared" si="4"/>
        <v>1</v>
      </c>
      <c r="AC27" s="495">
        <f t="shared" si="5"/>
        <v>1</v>
      </c>
    </row>
    <row r="28" ht="15" spans="1:29">
      <c r="A28" s="273"/>
      <c r="B28" s="307" t="s">
        <v>1566</v>
      </c>
      <c r="C28" s="294"/>
      <c r="D28" s="265">
        <v>100</v>
      </c>
      <c r="E28" s="294"/>
      <c r="F28" s="295">
        <f>SUMIF(92:92,E28,93:93)-SUMIF(92:92,C28,93:93)+100</f>
        <v>100</v>
      </c>
      <c r="G28" s="294"/>
      <c r="H28" s="265">
        <f>SUMIF(92:92,G28,93:93)-SUMIF(92:92,C28,93:93)+100</f>
        <v>100</v>
      </c>
      <c r="I28" s="294"/>
      <c r="J28" s="265">
        <f>SUMIF(92:92,I28,93:93)-SUMIF(92:92,C28,93:93)+100</f>
        <v>100</v>
      </c>
      <c r="K28" s="412"/>
      <c r="L28" s="415"/>
      <c r="M28" s="398"/>
      <c r="N28" s="398"/>
      <c r="O28" s="414"/>
      <c r="P28" s="419"/>
      <c r="Q28" s="407" t="str">
        <f t="shared" si="11"/>
        <v>楼层</v>
      </c>
      <c r="R28" s="489" t="s">
        <v>1299</v>
      </c>
      <c r="S28" s="490">
        <f t="shared" ref="S28:S46" si="12">F28</f>
        <v>100</v>
      </c>
      <c r="T28" s="489" t="s">
        <v>1299</v>
      </c>
      <c r="U28" s="490">
        <f t="shared" ref="U28:U46" si="13">H28</f>
        <v>100</v>
      </c>
      <c r="V28" s="489" t="s">
        <v>1299</v>
      </c>
      <c r="W28" s="490">
        <f t="shared" ref="W28:W46" si="14">J28</f>
        <v>100</v>
      </c>
      <c r="X28" s="476"/>
      <c r="Y28" s="419"/>
      <c r="Z28" s="475" t="str">
        <f t="shared" ref="Z28:Z46" si="15">Q28</f>
        <v>楼层</v>
      </c>
      <c r="AA28" s="495">
        <f t="shared" si="3"/>
        <v>1</v>
      </c>
      <c r="AB28" s="495">
        <f t="shared" si="4"/>
        <v>1</v>
      </c>
      <c r="AC28" s="495">
        <f t="shared" si="5"/>
        <v>1</v>
      </c>
    </row>
    <row r="29" ht="15" spans="1:29">
      <c r="A29" s="273"/>
      <c r="B29" s="586">
        <v>111</v>
      </c>
      <c r="C29" s="264"/>
      <c r="D29" s="265">
        <v>100</v>
      </c>
      <c r="E29" s="264"/>
      <c r="F29" s="295">
        <f>SUMIF(94:94,E29,95:95)-SUMIF(94:94,C29,95:95)+100</f>
        <v>100</v>
      </c>
      <c r="G29" s="264"/>
      <c r="H29" s="265">
        <f>SUMIF(94:94,G29,95:95)-SUMIF(94:94,C29,95:95)+100</f>
        <v>100</v>
      </c>
      <c r="I29" s="264"/>
      <c r="J29" s="265">
        <f>SUMIF(94:94,I29,95:95)-SUMIF(94:94,C29,95:95)+100</f>
        <v>100</v>
      </c>
      <c r="K29" s="412"/>
      <c r="L29" s="415"/>
      <c r="M29" s="398"/>
      <c r="N29" s="398"/>
      <c r="O29" s="414"/>
      <c r="P29" s="419"/>
      <c r="Q29" s="407">
        <f t="shared" si="11"/>
        <v>111</v>
      </c>
      <c r="R29" s="489" t="s">
        <v>1299</v>
      </c>
      <c r="S29" s="490">
        <f t="shared" si="12"/>
        <v>100</v>
      </c>
      <c r="T29" s="489" t="s">
        <v>1299</v>
      </c>
      <c r="U29" s="490">
        <f t="shared" si="13"/>
        <v>100</v>
      </c>
      <c r="V29" s="489" t="s">
        <v>1299</v>
      </c>
      <c r="W29" s="490">
        <f t="shared" si="14"/>
        <v>100</v>
      </c>
      <c r="X29" s="476"/>
      <c r="Y29" s="419"/>
      <c r="Z29" s="475">
        <f t="shared" si="15"/>
        <v>111</v>
      </c>
      <c r="AA29" s="495">
        <f t="shared" si="3"/>
        <v>1</v>
      </c>
      <c r="AB29" s="495">
        <f t="shared" si="4"/>
        <v>1</v>
      </c>
      <c r="AC29" s="495">
        <f t="shared" si="5"/>
        <v>1</v>
      </c>
    </row>
    <row r="30" ht="15" spans="1:29">
      <c r="A30" s="273"/>
      <c r="B30" s="586">
        <v>111</v>
      </c>
      <c r="C30" s="264"/>
      <c r="D30" s="265">
        <v>100</v>
      </c>
      <c r="E30" s="264"/>
      <c r="F30" s="295">
        <f>SUMIF(96:96,E30,97:97)-SUMIF(96:96,C30,97:97)+100</f>
        <v>100</v>
      </c>
      <c r="G30" s="264"/>
      <c r="H30" s="265">
        <f>SUMIF(96:96,G30,97:97)-SUMIF(96:96,C30,97:97)+100</f>
        <v>100</v>
      </c>
      <c r="I30" s="264"/>
      <c r="J30" s="265">
        <f>SUMIF(96:96,I30,97:97)-SUMIF(96:96,C30,97:97)+100</f>
        <v>100</v>
      </c>
      <c r="K30" s="412"/>
      <c r="L30" s="415"/>
      <c r="M30" s="398"/>
      <c r="N30" s="398"/>
      <c r="O30" s="414"/>
      <c r="P30" s="419"/>
      <c r="Q30" s="407">
        <f t="shared" si="11"/>
        <v>111</v>
      </c>
      <c r="R30" s="489" t="s">
        <v>1299</v>
      </c>
      <c r="S30" s="490">
        <f t="shared" si="12"/>
        <v>100</v>
      </c>
      <c r="T30" s="489" t="s">
        <v>1299</v>
      </c>
      <c r="U30" s="490">
        <f t="shared" si="13"/>
        <v>100</v>
      </c>
      <c r="V30" s="489" t="s">
        <v>1299</v>
      </c>
      <c r="W30" s="490">
        <f t="shared" si="14"/>
        <v>100</v>
      </c>
      <c r="X30" s="476"/>
      <c r="Y30" s="419"/>
      <c r="Z30" s="475">
        <f t="shared" si="15"/>
        <v>111</v>
      </c>
      <c r="AA30" s="495">
        <f t="shared" si="3"/>
        <v>1</v>
      </c>
      <c r="AB30" s="495">
        <f t="shared" si="4"/>
        <v>1</v>
      </c>
      <c r="AC30" s="495">
        <f t="shared" si="5"/>
        <v>1</v>
      </c>
    </row>
    <row r="31" ht="15.75" spans="1:29">
      <c r="A31" s="589"/>
      <c r="B31" s="586">
        <v>111</v>
      </c>
      <c r="C31" s="317"/>
      <c r="D31" s="318">
        <v>100</v>
      </c>
      <c r="E31" s="264"/>
      <c r="F31" s="320">
        <f>SUMIF(98:98,E31,99:99)-SUMIF(98:98,C31,99:99)+100</f>
        <v>100</v>
      </c>
      <c r="G31" s="264"/>
      <c r="H31" s="318">
        <f>SUMIF(98:98,G31,99:99)-SUMIF(98:98,C31,99:99)+100</f>
        <v>100</v>
      </c>
      <c r="I31" s="264"/>
      <c r="J31" s="318">
        <f>SUMIF(98:98,I31,99:99)-SUMIF(98:98,C31,99:99)+100</f>
        <v>100</v>
      </c>
      <c r="K31" s="412"/>
      <c r="L31" s="415"/>
      <c r="M31" s="398"/>
      <c r="N31" s="398"/>
      <c r="O31" s="414"/>
      <c r="P31" s="419"/>
      <c r="Q31" s="407">
        <f t="shared" si="11"/>
        <v>111</v>
      </c>
      <c r="R31" s="489" t="s">
        <v>1299</v>
      </c>
      <c r="S31" s="490">
        <f t="shared" si="12"/>
        <v>100</v>
      </c>
      <c r="T31" s="489" t="s">
        <v>1299</v>
      </c>
      <c r="U31" s="490">
        <f t="shared" si="13"/>
        <v>100</v>
      </c>
      <c r="V31" s="489" t="s">
        <v>1299</v>
      </c>
      <c r="W31" s="490">
        <f t="shared" si="14"/>
        <v>100</v>
      </c>
      <c r="X31" s="476"/>
      <c r="Y31" s="419"/>
      <c r="Z31" s="475">
        <f t="shared" si="15"/>
        <v>111</v>
      </c>
      <c r="AA31" s="495">
        <f t="shared" si="3"/>
        <v>1</v>
      </c>
      <c r="AB31" s="495">
        <f t="shared" si="4"/>
        <v>1</v>
      </c>
      <c r="AC31" s="495">
        <f t="shared" si="5"/>
        <v>1</v>
      </c>
    </row>
    <row r="32" ht="15" spans="1:29">
      <c r="A32" s="301" t="s">
        <v>1315</v>
      </c>
      <c r="B32" s="302" t="s">
        <v>2381</v>
      </c>
      <c r="C32" s="619"/>
      <c r="D32" s="304">
        <v>100</v>
      </c>
      <c r="E32" s="619"/>
      <c r="F32" s="295">
        <f>SUMIF(100:100,E32,101:101)-SUMIF(100:100,C32,101:101)+100</f>
        <v>100</v>
      </c>
      <c r="G32" s="619"/>
      <c r="H32" s="265">
        <f>SUMIF(100:100,G32,101:101)-SUMIF(100:100,C32,101:101)+100</f>
        <v>100</v>
      </c>
      <c r="I32" s="619"/>
      <c r="J32" s="304">
        <f>SUMIF(100:100,I32,101:101)-SUMIF(100:100,C32,101:101)+100</f>
        <v>100</v>
      </c>
      <c r="K32" s="408"/>
      <c r="L32" s="415"/>
      <c r="M32" s="398"/>
      <c r="N32" s="398"/>
      <c r="O32" s="414"/>
      <c r="P32" s="421" t="s">
        <v>1314</v>
      </c>
      <c r="Q32" s="407" t="str">
        <f t="shared" si="11"/>
        <v>商业类型</v>
      </c>
      <c r="R32" s="489" t="s">
        <v>1299</v>
      </c>
      <c r="S32" s="490">
        <f t="shared" si="12"/>
        <v>100</v>
      </c>
      <c r="T32" s="489" t="s">
        <v>1299</v>
      </c>
      <c r="U32" s="490">
        <f t="shared" si="13"/>
        <v>100</v>
      </c>
      <c r="V32" s="489" t="s">
        <v>1299</v>
      </c>
      <c r="W32" s="490">
        <f t="shared" si="14"/>
        <v>100</v>
      </c>
      <c r="X32" s="476"/>
      <c r="Y32" s="424" t="s">
        <v>1314</v>
      </c>
      <c r="Z32" s="475" t="str">
        <f t="shared" si="15"/>
        <v>商业类型</v>
      </c>
      <c r="AA32" s="495">
        <f t="shared" si="3"/>
        <v>1</v>
      </c>
      <c r="AB32" s="495">
        <f t="shared" si="4"/>
        <v>1</v>
      </c>
      <c r="AC32" s="495">
        <f t="shared" si="5"/>
        <v>1</v>
      </c>
    </row>
    <row r="33" s="198" customFormat="1" ht="15" spans="1:29">
      <c r="A33" s="306"/>
      <c r="B33" s="307" t="s">
        <v>1571</v>
      </c>
      <c r="C33" s="260"/>
      <c r="D33" s="255">
        <v>100</v>
      </c>
      <c r="E33" s="579"/>
      <c r="F33" s="590" t="e">
        <f>LOOKUP(E33,103:103,104:104)-LOOKUP(C33,103:103,104:104)+100</f>
        <v>#N/A</v>
      </c>
      <c r="G33" s="578"/>
      <c r="H33" s="255" t="e">
        <f>LOOKUP(G33,103:103,104:104)-LOOKUP(C33,103:103,104:104)+100</f>
        <v>#N/A</v>
      </c>
      <c r="I33" s="578"/>
      <c r="J33" s="255" t="e">
        <f>LOOKUP(I33,103:103,104:104)-LOOKUP(C33,103:103,104:104)+100</f>
        <v>#N/A</v>
      </c>
      <c r="K33" s="412"/>
      <c r="L33" s="413"/>
      <c r="M33" s="422"/>
      <c r="N33" s="422"/>
      <c r="O33" s="423"/>
      <c r="P33" s="424"/>
      <c r="Q33" s="491" t="str">
        <f t="shared" si="11"/>
        <v>项目建筑规模</v>
      </c>
      <c r="R33" s="492" t="s">
        <v>1299</v>
      </c>
      <c r="S33" s="493" t="e">
        <f t="shared" si="12"/>
        <v>#N/A</v>
      </c>
      <c r="T33" s="492" t="s">
        <v>1299</v>
      </c>
      <c r="U33" s="493" t="e">
        <f t="shared" si="13"/>
        <v>#N/A</v>
      </c>
      <c r="V33" s="492" t="s">
        <v>1299</v>
      </c>
      <c r="W33" s="493" t="e">
        <f t="shared" si="14"/>
        <v>#N/A</v>
      </c>
      <c r="X33" s="494"/>
      <c r="Y33" s="424"/>
      <c r="Z33" s="510" t="str">
        <f t="shared" si="15"/>
        <v>项目建筑规模</v>
      </c>
      <c r="AA33" s="495" t="e">
        <f t="shared" si="3"/>
        <v>#N/A</v>
      </c>
      <c r="AB33" s="495" t="e">
        <f t="shared" si="4"/>
        <v>#N/A</v>
      </c>
      <c r="AC33" s="495" t="e">
        <f t="shared" si="5"/>
        <v>#N/A</v>
      </c>
    </row>
    <row r="34" ht="15" spans="1:29">
      <c r="A34" s="311"/>
      <c r="B34" s="307" t="s">
        <v>1572</v>
      </c>
      <c r="C34" s="620"/>
      <c r="D34" s="265">
        <v>100</v>
      </c>
      <c r="E34" s="621"/>
      <c r="F34" s="295">
        <f>SUMIF(105:105,E34,106:106)-SUMIF(105:105,C34,106:106)+100</f>
        <v>100</v>
      </c>
      <c r="G34" s="620"/>
      <c r="H34" s="265">
        <f>SUMIF(105:105,G34,106:106)-SUMIF(105:105,C34,106:106)+100</f>
        <v>100</v>
      </c>
      <c r="I34" s="620"/>
      <c r="J34" s="265">
        <f>SUMIF(105:105,I34,106:106)-SUMIF(105:105,C34,106:106)+100</f>
        <v>100</v>
      </c>
      <c r="K34" s="408"/>
      <c r="L34" s="415"/>
      <c r="M34" s="398"/>
      <c r="N34" s="398"/>
      <c r="O34" s="414"/>
      <c r="P34" s="424"/>
      <c r="Q34" s="407" t="str">
        <f t="shared" si="11"/>
        <v>建筑结构</v>
      </c>
      <c r="R34" s="489" t="s">
        <v>1299</v>
      </c>
      <c r="S34" s="490">
        <f t="shared" si="12"/>
        <v>100</v>
      </c>
      <c r="T34" s="489" t="s">
        <v>1299</v>
      </c>
      <c r="U34" s="490">
        <f t="shared" si="13"/>
        <v>100</v>
      </c>
      <c r="V34" s="489" t="s">
        <v>1299</v>
      </c>
      <c r="W34" s="490">
        <f t="shared" si="14"/>
        <v>100</v>
      </c>
      <c r="X34" s="476"/>
      <c r="Y34" s="424"/>
      <c r="Z34" s="475" t="str">
        <f t="shared" si="15"/>
        <v>建筑结构</v>
      </c>
      <c r="AA34" s="495">
        <f t="shared" si="3"/>
        <v>1</v>
      </c>
      <c r="AB34" s="495">
        <f t="shared" si="4"/>
        <v>1</v>
      </c>
      <c r="AC34" s="495">
        <f t="shared" si="5"/>
        <v>1</v>
      </c>
    </row>
    <row r="35" ht="15" spans="1:29">
      <c r="A35" s="311"/>
      <c r="B35" s="307" t="s">
        <v>1573</v>
      </c>
      <c r="C35" s="622"/>
      <c r="D35" s="265">
        <v>100</v>
      </c>
      <c r="E35" s="622"/>
      <c r="F35" s="295">
        <f>SUMIF(107:107,E35,108:108)-SUMIF(107:107,C35,108:108)+100</f>
        <v>100</v>
      </c>
      <c r="G35" s="622"/>
      <c r="H35" s="265">
        <f>SUMIF(107:107,G35,108:108)-SUMIF(107:107,C35,108:108)+100</f>
        <v>100</v>
      </c>
      <c r="I35" s="622"/>
      <c r="J35" s="265">
        <f>SUMIF(107:107,I35,108:108)-SUMIF(107:107,C35,108:108)+100</f>
        <v>100</v>
      </c>
      <c r="K35" s="408"/>
      <c r="L35" s="415"/>
      <c r="M35" s="398"/>
      <c r="N35" s="398"/>
      <c r="O35" s="414"/>
      <c r="P35" s="424"/>
      <c r="Q35" s="407" t="str">
        <f t="shared" si="11"/>
        <v>公共部分装修</v>
      </c>
      <c r="R35" s="489" t="s">
        <v>1299</v>
      </c>
      <c r="S35" s="490">
        <f t="shared" si="12"/>
        <v>100</v>
      </c>
      <c r="T35" s="489" t="s">
        <v>1299</v>
      </c>
      <c r="U35" s="490">
        <f t="shared" si="13"/>
        <v>100</v>
      </c>
      <c r="V35" s="489" t="s">
        <v>1299</v>
      </c>
      <c r="W35" s="490">
        <f t="shared" si="14"/>
        <v>100</v>
      </c>
      <c r="X35" s="476"/>
      <c r="Y35" s="424"/>
      <c r="Z35" s="475" t="str">
        <f t="shared" si="15"/>
        <v>公共部分装修</v>
      </c>
      <c r="AA35" s="495">
        <f t="shared" si="3"/>
        <v>1</v>
      </c>
      <c r="AB35" s="495">
        <f t="shared" si="4"/>
        <v>1</v>
      </c>
      <c r="AC35" s="495">
        <f t="shared" si="5"/>
        <v>1</v>
      </c>
    </row>
    <row r="36" ht="15" spans="1:29">
      <c r="A36" s="311"/>
      <c r="B36" s="307" t="s">
        <v>1575</v>
      </c>
      <c r="C36" s="308"/>
      <c r="D36" s="265">
        <v>100</v>
      </c>
      <c r="E36" s="308"/>
      <c r="F36" s="295" t="e">
        <f>LOOKUP(E36,110:110,111:111)-LOOKUP(C36,110:110,111:111)+100</f>
        <v>#N/A</v>
      </c>
      <c r="G36" s="308"/>
      <c r="H36" s="295" t="e">
        <f>LOOKUP(G36,110:110,111:111)-LOOKUP(C36,110:110,111:111)+100</f>
        <v>#N/A</v>
      </c>
      <c r="I36" s="308"/>
      <c r="J36" s="265" t="e">
        <f>LOOKUP(I36,110:110,111:111)-LOOKUP(C36,110:110,111:111)+100</f>
        <v>#N/A</v>
      </c>
      <c r="K36" s="408"/>
      <c r="L36" s="415"/>
      <c r="M36" s="398"/>
      <c r="N36" s="398"/>
      <c r="O36" s="414"/>
      <c r="P36" s="424"/>
      <c r="Q36" s="407" t="str">
        <f t="shared" si="11"/>
        <v>成新度</v>
      </c>
      <c r="R36" s="489" t="s">
        <v>1299</v>
      </c>
      <c r="S36" s="490" t="e">
        <f t="shared" si="12"/>
        <v>#N/A</v>
      </c>
      <c r="T36" s="489" t="s">
        <v>1299</v>
      </c>
      <c r="U36" s="490" t="e">
        <f t="shared" si="13"/>
        <v>#N/A</v>
      </c>
      <c r="V36" s="489" t="s">
        <v>1299</v>
      </c>
      <c r="W36" s="490" t="e">
        <f t="shared" si="14"/>
        <v>#N/A</v>
      </c>
      <c r="X36" s="476"/>
      <c r="Y36" s="424"/>
      <c r="Z36" s="475" t="str">
        <f t="shared" si="15"/>
        <v>成新度</v>
      </c>
      <c r="AA36" s="495" t="e">
        <f t="shared" si="3"/>
        <v>#N/A</v>
      </c>
      <c r="AB36" s="495" t="e">
        <f t="shared" si="4"/>
        <v>#N/A</v>
      </c>
      <c r="AC36" s="495" t="e">
        <f t="shared" si="5"/>
        <v>#N/A</v>
      </c>
    </row>
    <row r="37" s="196" customFormat="1" ht="15" spans="1:29">
      <c r="A37" s="314"/>
      <c r="B37" s="591" t="s">
        <v>1578</v>
      </c>
      <c r="C37" s="622"/>
      <c r="D37" s="255">
        <v>100</v>
      </c>
      <c r="E37" s="622"/>
      <c r="F37" s="295">
        <f>SUMIF(112:112,E37,113:113)-SUMIF(112:112,C37,113:113)+100</f>
        <v>100</v>
      </c>
      <c r="G37" s="622"/>
      <c r="H37" s="265">
        <f>SUMIF(112:112,G37,113:113)-SUMIF(112:112,C37,113:113)+100</f>
        <v>100</v>
      </c>
      <c r="I37" s="622"/>
      <c r="J37" s="265">
        <f>SUMIF(112:112,I37,113:113)-SUMIF(112:112,C37,113:113)+100</f>
        <v>100</v>
      </c>
      <c r="K37" s="408"/>
      <c r="L37" s="403"/>
      <c r="M37" s="404"/>
      <c r="N37" s="404"/>
      <c r="O37" s="406"/>
      <c r="P37" s="424"/>
      <c r="Q37" s="488" t="str">
        <f t="shared" si="11"/>
        <v>市政基础设施</v>
      </c>
      <c r="R37" s="484" t="s">
        <v>1299</v>
      </c>
      <c r="S37" s="485">
        <f t="shared" si="12"/>
        <v>100</v>
      </c>
      <c r="T37" s="484" t="s">
        <v>1299</v>
      </c>
      <c r="U37" s="485">
        <f t="shared" si="13"/>
        <v>100</v>
      </c>
      <c r="V37" s="484" t="s">
        <v>1299</v>
      </c>
      <c r="W37" s="485">
        <f t="shared" si="14"/>
        <v>100</v>
      </c>
      <c r="X37" s="486"/>
      <c r="Y37" s="424"/>
      <c r="Z37" s="509" t="str">
        <f t="shared" si="15"/>
        <v>市政基础设施</v>
      </c>
      <c r="AA37" s="508">
        <f t="shared" si="3"/>
        <v>1</v>
      </c>
      <c r="AB37" s="508">
        <f t="shared" si="4"/>
        <v>1</v>
      </c>
      <c r="AC37" s="508">
        <f t="shared" si="5"/>
        <v>1</v>
      </c>
    </row>
    <row r="38" ht="15" spans="1:29">
      <c r="A38" s="311"/>
      <c r="B38" s="307" t="s">
        <v>2382</v>
      </c>
      <c r="C38" s="622"/>
      <c r="D38" s="265">
        <v>100</v>
      </c>
      <c r="E38" s="622"/>
      <c r="F38" s="295">
        <f>SUMIF(114:114,E38,115:115)-SUMIF(114:114,C38,115:115)+100</f>
        <v>100</v>
      </c>
      <c r="G38" s="622"/>
      <c r="H38" s="265">
        <f>SUMIF(114:114,G38,115:115)-SUMIF(114:114,C38,115:115)+100</f>
        <v>100</v>
      </c>
      <c r="I38" s="622"/>
      <c r="J38" s="265">
        <f>SUMIF(114:114,I38,115:115)-SUMIF(114:114,C38,115:115)+100</f>
        <v>100</v>
      </c>
      <c r="K38" s="408"/>
      <c r="L38" s="415"/>
      <c r="M38" s="398"/>
      <c r="N38" s="398"/>
      <c r="O38" s="414"/>
      <c r="P38" s="424" t="s">
        <v>1314</v>
      </c>
      <c r="Q38" s="407" t="str">
        <f t="shared" si="11"/>
        <v>业态</v>
      </c>
      <c r="R38" s="489" t="s">
        <v>1299</v>
      </c>
      <c r="S38" s="490">
        <f t="shared" si="12"/>
        <v>100</v>
      </c>
      <c r="T38" s="489" t="s">
        <v>1299</v>
      </c>
      <c r="U38" s="490">
        <f t="shared" si="13"/>
        <v>100</v>
      </c>
      <c r="V38" s="489" t="s">
        <v>1299</v>
      </c>
      <c r="W38" s="490">
        <f t="shared" si="14"/>
        <v>100</v>
      </c>
      <c r="X38" s="476"/>
      <c r="Y38" s="424" t="s">
        <v>1314</v>
      </c>
      <c r="Z38" s="475" t="str">
        <f t="shared" si="15"/>
        <v>业态</v>
      </c>
      <c r="AA38" s="495">
        <f t="shared" si="3"/>
        <v>1</v>
      </c>
      <c r="AB38" s="495">
        <f t="shared" si="4"/>
        <v>1</v>
      </c>
      <c r="AC38" s="495">
        <f t="shared" si="5"/>
        <v>1</v>
      </c>
    </row>
    <row r="39" ht="15" spans="1:29">
      <c r="A39" s="311"/>
      <c r="B39" s="307" t="s">
        <v>1579</v>
      </c>
      <c r="C39" s="622"/>
      <c r="D39" s="265">
        <v>100</v>
      </c>
      <c r="E39" s="622"/>
      <c r="F39" s="295">
        <f>SUMIF(116:116,E39,117:117)-SUMIF(116:116,C39,117:117)+100</f>
        <v>100</v>
      </c>
      <c r="G39" s="622"/>
      <c r="H39" s="265">
        <f>SUMIF(116:116,G39,117:117)-SUMIF(116:116,C39,117:117)+100</f>
        <v>100</v>
      </c>
      <c r="I39" s="622"/>
      <c r="J39" s="265">
        <f>SUMIF(116:116,I39,117:117)-SUMIF(116:116,C39,117:117)+100</f>
        <v>100</v>
      </c>
      <c r="K39" s="408"/>
      <c r="L39" s="415"/>
      <c r="M39" s="398"/>
      <c r="N39" s="398"/>
      <c r="O39" s="414"/>
      <c r="P39" s="424"/>
      <c r="Q39" s="407" t="str">
        <f t="shared" si="11"/>
        <v>层高</v>
      </c>
      <c r="R39" s="489" t="s">
        <v>1299</v>
      </c>
      <c r="S39" s="490">
        <f t="shared" si="12"/>
        <v>100</v>
      </c>
      <c r="T39" s="489" t="s">
        <v>1299</v>
      </c>
      <c r="U39" s="490">
        <f t="shared" si="13"/>
        <v>100</v>
      </c>
      <c r="V39" s="489" t="s">
        <v>1299</v>
      </c>
      <c r="W39" s="490">
        <f t="shared" si="14"/>
        <v>100</v>
      </c>
      <c r="X39" s="476"/>
      <c r="Y39" s="424"/>
      <c r="Z39" s="475" t="str">
        <f t="shared" si="15"/>
        <v>层高</v>
      </c>
      <c r="AA39" s="495">
        <f t="shared" si="3"/>
        <v>1</v>
      </c>
      <c r="AB39" s="495">
        <f t="shared" si="4"/>
        <v>1</v>
      </c>
      <c r="AC39" s="495">
        <f t="shared" si="5"/>
        <v>1</v>
      </c>
    </row>
    <row r="40" ht="15" spans="1:29">
      <c r="A40" s="311"/>
      <c r="B40" s="307" t="s">
        <v>1595</v>
      </c>
      <c r="C40" s="623"/>
      <c r="D40" s="265">
        <v>100</v>
      </c>
      <c r="E40" s="624"/>
      <c r="F40" s="295">
        <f>SUMIF(118:118,E40,119:119)-SUMIF(118:118,C40,119:119)+100</f>
        <v>100</v>
      </c>
      <c r="G40" s="624"/>
      <c r="H40" s="265">
        <f>SUMIF(118:118,G40,119:119)-SUMIF(118:118,C40,119:119)+100</f>
        <v>100</v>
      </c>
      <c r="I40" s="624"/>
      <c r="J40" s="265">
        <f>SUMIF(118:118,I40,119:119)-SUMIF(118:118,C40,119:119)+100</f>
        <v>100</v>
      </c>
      <c r="K40" s="412"/>
      <c r="L40" s="415"/>
      <c r="M40" s="398"/>
      <c r="N40" s="398"/>
      <c r="O40" s="414"/>
      <c r="P40" s="424"/>
      <c r="Q40" s="407" t="str">
        <f t="shared" si="11"/>
        <v>单套建筑面积</v>
      </c>
      <c r="R40" s="489" t="s">
        <v>1299</v>
      </c>
      <c r="S40" s="490">
        <f t="shared" si="12"/>
        <v>100</v>
      </c>
      <c r="T40" s="489" t="s">
        <v>1299</v>
      </c>
      <c r="U40" s="490">
        <f t="shared" si="13"/>
        <v>100</v>
      </c>
      <c r="V40" s="489" t="s">
        <v>1299</v>
      </c>
      <c r="W40" s="490">
        <f t="shared" si="14"/>
        <v>100</v>
      </c>
      <c r="X40" s="476"/>
      <c r="Y40" s="424"/>
      <c r="Z40" s="475" t="str">
        <f t="shared" si="15"/>
        <v>单套建筑面积</v>
      </c>
      <c r="AA40" s="495">
        <f t="shared" si="3"/>
        <v>1</v>
      </c>
      <c r="AB40" s="495">
        <f t="shared" si="4"/>
        <v>1</v>
      </c>
      <c r="AC40" s="495">
        <f t="shared" si="5"/>
        <v>1</v>
      </c>
    </row>
    <row r="41" s="198" customFormat="1" ht="15" spans="1:29">
      <c r="A41" s="306"/>
      <c r="B41" s="429" t="s">
        <v>2383</v>
      </c>
      <c r="C41" s="294"/>
      <c r="D41" s="265">
        <v>100</v>
      </c>
      <c r="E41" s="294"/>
      <c r="F41" s="295">
        <f>SUMIF(120:120,E41,121:121)-SUMIF(120:120,C41,121:121)+100</f>
        <v>100</v>
      </c>
      <c r="G41" s="294"/>
      <c r="H41" s="265">
        <f>SUMIF(120:120,G41,121:121)-SUMIF(120:120,C41,121:121)+100</f>
        <v>100</v>
      </c>
      <c r="I41" s="294"/>
      <c r="J41" s="265">
        <f>SUMIF(120:120,I41,121:121)-SUMIF(120:120,C41,121:121)+100</f>
        <v>100</v>
      </c>
      <c r="K41" s="408"/>
      <c r="L41" s="413"/>
      <c r="M41" s="422"/>
      <c r="N41" s="422"/>
      <c r="O41" s="423"/>
      <c r="P41" s="424"/>
      <c r="Q41" s="491" t="str">
        <f t="shared" si="11"/>
        <v>进深比</v>
      </c>
      <c r="R41" s="492" t="s">
        <v>1299</v>
      </c>
      <c r="S41" s="493">
        <f t="shared" si="12"/>
        <v>100</v>
      </c>
      <c r="T41" s="492" t="s">
        <v>1299</v>
      </c>
      <c r="U41" s="493">
        <f t="shared" si="13"/>
        <v>100</v>
      </c>
      <c r="V41" s="492" t="s">
        <v>1299</v>
      </c>
      <c r="W41" s="493">
        <f t="shared" si="14"/>
        <v>100</v>
      </c>
      <c r="X41" s="494"/>
      <c r="Y41" s="424"/>
      <c r="Z41" s="510" t="str">
        <f t="shared" si="15"/>
        <v>进深比</v>
      </c>
      <c r="AA41" s="495">
        <f t="shared" si="3"/>
        <v>1</v>
      </c>
      <c r="AB41" s="495">
        <f t="shared" si="4"/>
        <v>1</v>
      </c>
      <c r="AC41" s="495">
        <f t="shared" si="5"/>
        <v>1</v>
      </c>
    </row>
    <row r="42" ht="15" spans="1:29">
      <c r="A42" s="311"/>
      <c r="B42" s="307" t="s">
        <v>1581</v>
      </c>
      <c r="C42" s="622"/>
      <c r="D42" s="265">
        <v>100</v>
      </c>
      <c r="E42" s="622"/>
      <c r="F42" s="295">
        <f>SUMIF(122:122,E42,123:123)-SUMIF(122:122,C42,123:123)+100</f>
        <v>100</v>
      </c>
      <c r="G42" s="622"/>
      <c r="H42" s="265">
        <f>SUMIF(122:122,G42,123:123)-SUMIF(122:122,C42,123:123)+100</f>
        <v>100</v>
      </c>
      <c r="I42" s="622"/>
      <c r="J42" s="265">
        <f>SUMIF(122:122,I42,123:123)-SUMIF(122:122,C42,123:123)+100</f>
        <v>100</v>
      </c>
      <c r="K42" s="408"/>
      <c r="L42" s="415"/>
      <c r="M42" s="398"/>
      <c r="N42" s="398"/>
      <c r="O42" s="414"/>
      <c r="P42" s="424"/>
      <c r="Q42" s="407" t="str">
        <f t="shared" si="11"/>
        <v>内部装修</v>
      </c>
      <c r="R42" s="489" t="s">
        <v>1299</v>
      </c>
      <c r="S42" s="490">
        <f t="shared" si="12"/>
        <v>100</v>
      </c>
      <c r="T42" s="489" t="s">
        <v>1299</v>
      </c>
      <c r="U42" s="490">
        <f t="shared" si="13"/>
        <v>100</v>
      </c>
      <c r="V42" s="489" t="s">
        <v>1299</v>
      </c>
      <c r="W42" s="490">
        <f t="shared" si="14"/>
        <v>100</v>
      </c>
      <c r="X42" s="476"/>
      <c r="Y42" s="424"/>
      <c r="Z42" s="475" t="str">
        <f t="shared" si="15"/>
        <v>内部装修</v>
      </c>
      <c r="AA42" s="495">
        <f t="shared" si="3"/>
        <v>1</v>
      </c>
      <c r="AB42" s="495">
        <f t="shared" si="4"/>
        <v>1</v>
      </c>
      <c r="AC42" s="495">
        <f t="shared" si="5"/>
        <v>1</v>
      </c>
    </row>
    <row r="43" ht="15" spans="1:29">
      <c r="A43" s="311"/>
      <c r="B43" s="307" t="s">
        <v>235</v>
      </c>
      <c r="C43" s="622"/>
      <c r="D43" s="265">
        <v>100</v>
      </c>
      <c r="E43" s="622"/>
      <c r="F43" s="295">
        <f>SUMIF(124:124,E43,125:125)-SUMIF(124:124,C43,125:125)+100</f>
        <v>100</v>
      </c>
      <c r="G43" s="622"/>
      <c r="H43" s="265">
        <f>SUMIF(124:124,G43,125:125)-SUMIF(124:124,C43,125:125)+100</f>
        <v>100</v>
      </c>
      <c r="I43" s="622"/>
      <c r="J43" s="265">
        <f>SUMIF(124:124,I43,125:125)-SUMIF(124:124,C43,125:125)+100</f>
        <v>100</v>
      </c>
      <c r="K43" s="408"/>
      <c r="L43" s="415"/>
      <c r="M43" s="398"/>
      <c r="N43" s="398"/>
      <c r="O43" s="414"/>
      <c r="P43" s="424"/>
      <c r="Q43" s="407" t="str">
        <f t="shared" si="11"/>
        <v>内部装修维护情况</v>
      </c>
      <c r="R43" s="489" t="s">
        <v>1299</v>
      </c>
      <c r="S43" s="490">
        <f t="shared" si="12"/>
        <v>100</v>
      </c>
      <c r="T43" s="489" t="s">
        <v>1299</v>
      </c>
      <c r="U43" s="490">
        <f t="shared" si="13"/>
        <v>100</v>
      </c>
      <c r="V43" s="489" t="s">
        <v>1299</v>
      </c>
      <c r="W43" s="490">
        <f t="shared" si="14"/>
        <v>100</v>
      </c>
      <c r="X43" s="476"/>
      <c r="Y43" s="424"/>
      <c r="Z43" s="475" t="str">
        <f t="shared" si="15"/>
        <v>内部装修维护情况</v>
      </c>
      <c r="AA43" s="495">
        <f t="shared" si="3"/>
        <v>1</v>
      </c>
      <c r="AB43" s="495">
        <f t="shared" si="4"/>
        <v>1</v>
      </c>
      <c r="AC43" s="495">
        <f t="shared" si="5"/>
        <v>1</v>
      </c>
    </row>
    <row r="44" s="196" customFormat="1" ht="15" spans="1:29">
      <c r="A44" s="314"/>
      <c r="B44" s="586">
        <v>111</v>
      </c>
      <c r="C44" s="260"/>
      <c r="D44" s="255">
        <v>100</v>
      </c>
      <c r="E44" s="264"/>
      <c r="F44" s="590">
        <f>SUMIF(126:126,E44,127:127)-SUMIF(126:126,C44,127:127)+100</f>
        <v>100</v>
      </c>
      <c r="G44" s="264"/>
      <c r="H44" s="255">
        <f>SUMIF(126:126,G44,127:127)-SUMIF(126:126,C44,127:127)+100</f>
        <v>100</v>
      </c>
      <c r="I44" s="264"/>
      <c r="J44" s="255">
        <f>SUMIF(126:126,I44,127:127)-SUMIF(126:126,C44,127:127)+100</f>
        <v>100</v>
      </c>
      <c r="K44" s="412"/>
      <c r="L44" s="403"/>
      <c r="M44" s="404"/>
      <c r="N44" s="404"/>
      <c r="O44" s="406"/>
      <c r="P44" s="424"/>
      <c r="Q44" s="488">
        <f t="shared" si="11"/>
        <v>111</v>
      </c>
      <c r="R44" s="484" t="s">
        <v>1299</v>
      </c>
      <c r="S44" s="485">
        <f t="shared" si="12"/>
        <v>100</v>
      </c>
      <c r="T44" s="484" t="s">
        <v>1299</v>
      </c>
      <c r="U44" s="485">
        <f t="shared" si="13"/>
        <v>100</v>
      </c>
      <c r="V44" s="484" t="s">
        <v>1299</v>
      </c>
      <c r="W44" s="485">
        <f t="shared" si="14"/>
        <v>100</v>
      </c>
      <c r="X44" s="486"/>
      <c r="Y44" s="424"/>
      <c r="Z44" s="509">
        <f t="shared" si="15"/>
        <v>111</v>
      </c>
      <c r="AA44" s="508">
        <f t="shared" si="3"/>
        <v>1</v>
      </c>
      <c r="AB44" s="508">
        <f t="shared" si="4"/>
        <v>1</v>
      </c>
      <c r="AC44" s="508">
        <f t="shared" si="5"/>
        <v>1</v>
      </c>
    </row>
    <row r="45" ht="15" spans="1:29">
      <c r="A45" s="311"/>
      <c r="B45" s="586">
        <v>111</v>
      </c>
      <c r="C45" s="264"/>
      <c r="D45" s="265">
        <v>100</v>
      </c>
      <c r="E45" s="264"/>
      <c r="F45" s="295">
        <f>SUMIF(128:128,E45,129:129)-SUMIF(128:128,C45,129:129)+100</f>
        <v>100</v>
      </c>
      <c r="G45" s="264"/>
      <c r="H45" s="265">
        <f>SUMIF(128:128,G45,129:129)-SUMIF(128:128,C45,129:129)+100</f>
        <v>100</v>
      </c>
      <c r="I45" s="264"/>
      <c r="J45" s="265">
        <f>SUMIF(128:128,I45,129:129)-SUMIF(128:128,C45,129:129)+100</f>
        <v>100</v>
      </c>
      <c r="K45" s="412"/>
      <c r="L45" s="415"/>
      <c r="M45" s="398"/>
      <c r="N45" s="398"/>
      <c r="O45" s="414"/>
      <c r="P45" s="424"/>
      <c r="Q45" s="407">
        <f t="shared" si="11"/>
        <v>111</v>
      </c>
      <c r="R45" s="489" t="s">
        <v>1299</v>
      </c>
      <c r="S45" s="490">
        <f t="shared" si="12"/>
        <v>100</v>
      </c>
      <c r="T45" s="489" t="s">
        <v>1299</v>
      </c>
      <c r="U45" s="490">
        <f t="shared" si="13"/>
        <v>100</v>
      </c>
      <c r="V45" s="489" t="s">
        <v>1299</v>
      </c>
      <c r="W45" s="490">
        <f t="shared" si="14"/>
        <v>100</v>
      </c>
      <c r="X45" s="476"/>
      <c r="Y45" s="424"/>
      <c r="Z45" s="475">
        <f t="shared" si="15"/>
        <v>111</v>
      </c>
      <c r="AA45" s="495">
        <f t="shared" si="3"/>
        <v>1</v>
      </c>
      <c r="AB45" s="495">
        <f t="shared" si="4"/>
        <v>1</v>
      </c>
      <c r="AC45" s="495">
        <f t="shared" si="5"/>
        <v>1</v>
      </c>
    </row>
    <row r="46" ht="15.75" spans="1:29">
      <c r="A46" s="315"/>
      <c r="B46" s="316">
        <v>111</v>
      </c>
      <c r="C46" s="317"/>
      <c r="D46" s="318">
        <v>100</v>
      </c>
      <c r="E46" s="264"/>
      <c r="F46" s="320">
        <f>SUMIF(130:130,E46,131:131)-SUMIF(130:130,C46,131:131)+100</f>
        <v>100</v>
      </c>
      <c r="G46" s="264"/>
      <c r="H46" s="318">
        <f>SUMIF(130:130,G46,131:131)-SUMIF(130:130,C46,131:131)+100</f>
        <v>100</v>
      </c>
      <c r="I46" s="264"/>
      <c r="J46" s="318">
        <f>SUMIF(130:130,I46,131:131)-SUMIF(130:130,C46,131:131)+100</f>
        <v>100</v>
      </c>
      <c r="K46" s="412"/>
      <c r="L46" s="415"/>
      <c r="M46" s="398"/>
      <c r="N46" s="398"/>
      <c r="O46" s="414"/>
      <c r="P46" s="594"/>
      <c r="Q46" s="407">
        <f t="shared" si="11"/>
        <v>111</v>
      </c>
      <c r="R46" s="489" t="s">
        <v>1299</v>
      </c>
      <c r="S46" s="490">
        <f t="shared" si="12"/>
        <v>100</v>
      </c>
      <c r="T46" s="489" t="s">
        <v>1299</v>
      </c>
      <c r="U46" s="490">
        <f t="shared" si="13"/>
        <v>100</v>
      </c>
      <c r="V46" s="489" t="s">
        <v>1299</v>
      </c>
      <c r="W46" s="490">
        <f t="shared" si="14"/>
        <v>100</v>
      </c>
      <c r="X46" s="476"/>
      <c r="Y46" s="594"/>
      <c r="Z46" s="475">
        <f t="shared" si="15"/>
        <v>111</v>
      </c>
      <c r="AA46" s="495">
        <f t="shared" si="3"/>
        <v>1</v>
      </c>
      <c r="AB46" s="495">
        <f t="shared" si="4"/>
        <v>1</v>
      </c>
      <c r="AC46" s="495">
        <f t="shared" si="5"/>
        <v>1</v>
      </c>
    </row>
    <row r="47" ht="15" spans="1:29">
      <c r="A47" s="321" t="s">
        <v>1584</v>
      </c>
      <c r="B47" s="322"/>
      <c r="C47" s="323" t="s">
        <v>138</v>
      </c>
      <c r="D47" s="324"/>
      <c r="E47" s="325"/>
      <c r="F47" s="326"/>
      <c r="G47" s="327"/>
      <c r="H47" s="328"/>
      <c r="I47" s="325"/>
      <c r="J47" s="328"/>
      <c r="K47" s="425"/>
      <c r="L47" s="426"/>
      <c r="M47" s="349"/>
      <c r="N47" s="398"/>
      <c r="O47" s="349"/>
      <c r="P47" s="407" t="str">
        <f>A47</f>
        <v>成交单价（元/平方米）</v>
      </c>
      <c r="Q47" s="407"/>
      <c r="R47" s="495">
        <f>E47</f>
        <v>0</v>
      </c>
      <c r="S47" s="495"/>
      <c r="T47" s="495">
        <f>G47</f>
        <v>0</v>
      </c>
      <c r="U47" s="495"/>
      <c r="V47" s="495">
        <f>I47</f>
        <v>0</v>
      </c>
      <c r="W47" s="495"/>
      <c r="X47" s="351"/>
      <c r="Y47" s="511"/>
      <c r="Z47" s="351"/>
      <c r="AA47" s="351"/>
      <c r="AB47" s="351"/>
      <c r="AC47" s="351"/>
    </row>
    <row r="48" ht="15.75" spans="1:29">
      <c r="A48" s="329" t="s">
        <v>1323</v>
      </c>
      <c r="B48" s="330"/>
      <c r="C48" s="331" t="e">
        <f>R49</f>
        <v>#DIV/0!</v>
      </c>
      <c r="D48" s="332" t="s">
        <v>1324</v>
      </c>
      <c r="E48" s="333" t="e">
        <f>R48</f>
        <v>#DIV/0!</v>
      </c>
      <c r="F48" s="334"/>
      <c r="G48" s="331" t="e">
        <f>T48</f>
        <v>#DIV/0!</v>
      </c>
      <c r="H48" s="334"/>
      <c r="I48" s="333" t="e">
        <f>V48</f>
        <v>#DIV/0!</v>
      </c>
      <c r="J48" s="334"/>
      <c r="K48" s="427">
        <f>F48+H48+J48</f>
        <v>0</v>
      </c>
      <c r="L48" s="426"/>
      <c r="M48" s="349"/>
      <c r="N48" s="398"/>
      <c r="O48" s="349"/>
      <c r="P48" s="407" t="str">
        <f>A48</f>
        <v>比较价格（元/平方米）</v>
      </c>
      <c r="Q48" s="407"/>
      <c r="R48" s="495" t="e">
        <f>IF(F1="售价",ROUND(PRODUCT(R47,AA7:AA46),0),ROUND(PRODUCT(R47,AA7:AA46),1))</f>
        <v>#DIV/0!</v>
      </c>
      <c r="S48" s="495"/>
      <c r="T48" s="495" t="e">
        <f>IF(F1="售价",ROUND(PRODUCT(T47,AB7:AB46),0),ROUND(PRODUCT(T47,AB7:AB46),1))</f>
        <v>#DIV/0!</v>
      </c>
      <c r="U48" s="495"/>
      <c r="V48" s="495" t="e">
        <f>IF(F1="售价",ROUND(PRODUCT(V47,AC7:AC46),0),ROUND(PRODUCT(V47,AC7:AC46),1))</f>
        <v>#DIV/0!</v>
      </c>
      <c r="W48" s="495"/>
      <c r="X48" s="351"/>
      <c r="Y48" s="351"/>
      <c r="Z48" s="351"/>
      <c r="AA48" s="351"/>
      <c r="AB48" s="351"/>
      <c r="AC48" s="351"/>
    </row>
    <row r="49" ht="15.75" spans="1:29">
      <c r="A49" s="335" t="s">
        <v>1325</v>
      </c>
      <c r="B49" s="336"/>
      <c r="C49" s="337" t="e">
        <f>R49</f>
        <v>#DIV/0!</v>
      </c>
      <c r="D49" s="337"/>
      <c r="E49" s="337"/>
      <c r="F49" s="337"/>
      <c r="G49" s="337"/>
      <c r="H49" s="337"/>
      <c r="I49" s="337"/>
      <c r="J49" s="337"/>
      <c r="K49" s="428"/>
      <c r="L49" s="426"/>
      <c r="M49" s="349"/>
      <c r="N49" s="398"/>
      <c r="O49" s="349"/>
      <c r="P49" s="429" t="str">
        <f>A49</f>
        <v>估价对象XX用房的比较价格（楼面单价，元/平方米）</v>
      </c>
      <c r="Q49" s="496"/>
      <c r="R49" s="497" t="e">
        <f>IF(F1="售价",ROUND(IF(D48="简单平均",AVERAGE(R48:V48),R48*F48+T48*H48+V48*J48),0),ROUND(IF(D48="简单平均",AVERAGE(R48:V48),R48*F48+T48*H48+V48*J48),1))</f>
        <v>#DIV/0!</v>
      </c>
      <c r="S49" s="497"/>
      <c r="T49" s="497"/>
      <c r="U49" s="497"/>
      <c r="V49" s="497"/>
      <c r="W49" s="497"/>
      <c r="X49" s="351"/>
      <c r="Y49" s="351"/>
      <c r="Z49" s="351"/>
      <c r="AA49" s="351"/>
      <c r="AB49" s="351"/>
      <c r="AC49" s="351"/>
    </row>
    <row r="50" spans="1:29">
      <c r="A50" s="338"/>
      <c r="B50" s="338"/>
      <c r="C50" s="338"/>
      <c r="D50" s="338"/>
      <c r="E50" s="338"/>
      <c r="F50" s="338"/>
      <c r="G50" s="339"/>
      <c r="H50" s="338"/>
      <c r="I50" s="338"/>
      <c r="J50" s="338"/>
      <c r="K50" s="430"/>
      <c r="L50" s="431"/>
      <c r="M50" s="349"/>
      <c r="N50" s="349"/>
      <c r="O50" s="349"/>
      <c r="P50" s="349"/>
      <c r="Q50" s="349"/>
      <c r="R50" s="349"/>
      <c r="S50" s="349"/>
      <c r="T50" s="349"/>
      <c r="U50" s="349"/>
      <c r="V50" s="349"/>
      <c r="W50" s="349"/>
      <c r="X50" s="349"/>
      <c r="Y50" s="349"/>
      <c r="Z50" s="349"/>
      <c r="AA50" s="349"/>
      <c r="AB50" s="349"/>
      <c r="AC50" s="349"/>
    </row>
    <row r="51" spans="1:29">
      <c r="A51" s="338"/>
      <c r="B51" s="338"/>
      <c r="C51" s="338"/>
      <c r="D51" s="338"/>
      <c r="E51" s="338"/>
      <c r="F51" s="338"/>
      <c r="G51" s="338"/>
      <c r="H51" s="338"/>
      <c r="I51" s="338"/>
      <c r="J51" s="338"/>
      <c r="K51" s="430"/>
      <c r="L51" s="431"/>
      <c r="M51" s="349"/>
      <c r="N51" s="349"/>
      <c r="O51" s="349"/>
      <c r="P51" s="349"/>
      <c r="Q51" s="349"/>
      <c r="R51" s="349"/>
      <c r="S51" s="349"/>
      <c r="T51" s="349"/>
      <c r="U51" s="349"/>
      <c r="V51" s="349"/>
      <c r="W51" s="349"/>
      <c r="X51" s="349"/>
      <c r="Y51" s="349"/>
      <c r="Z51" s="349"/>
      <c r="AA51" s="349"/>
      <c r="AB51" s="349"/>
      <c r="AC51" s="349"/>
    </row>
    <row r="52" ht="13.5" customHeight="1" spans="1:29">
      <c r="A52" s="338"/>
      <c r="B52" s="338"/>
      <c r="C52" s="340" t="s">
        <v>1326</v>
      </c>
      <c r="D52" s="341"/>
      <c r="E52" s="342" t="e">
        <f>IF(E47&lt;E48,E48/E47-1,E47/E48-1)</f>
        <v>#DIV/0!</v>
      </c>
      <c r="F52" s="343" t="e">
        <f>IF(OR(E52&gt;=0.3,E52&lt;=-0.3),"超过30%","")</f>
        <v>#DIV/0!</v>
      </c>
      <c r="G52" s="342" t="e">
        <f>IF(G47&lt;G48,G48/G47-1,G47/G48-1)</f>
        <v>#DIV/0!</v>
      </c>
      <c r="H52" s="343" t="e">
        <f>IF(OR(G52&gt;=0.3,G52&lt;=-0.3),"超过30%","")</f>
        <v>#DIV/0!</v>
      </c>
      <c r="I52" s="342" t="e">
        <f>IF(I47&lt;I48,I48/I47-1,I47/I48-1)</f>
        <v>#DIV/0!</v>
      </c>
      <c r="J52" s="343" t="e">
        <f>IF(OR(I52&gt;=0.3,I52&lt;=-0.3),"超过30%","")</f>
        <v>#DIV/0!</v>
      </c>
      <c r="K52" s="430"/>
      <c r="L52" s="431"/>
      <c r="M52" s="349"/>
      <c r="N52" s="349"/>
      <c r="O52" s="349"/>
      <c r="P52" s="349"/>
      <c r="Q52" s="349"/>
      <c r="R52" s="349"/>
      <c r="S52" s="349"/>
      <c r="T52" s="349"/>
      <c r="U52" s="349"/>
      <c r="V52" s="349"/>
      <c r="W52" s="349"/>
      <c r="X52" s="349"/>
      <c r="Y52" s="349"/>
      <c r="Z52" s="349"/>
      <c r="AA52" s="349"/>
      <c r="AB52" s="349"/>
      <c r="AC52" s="349"/>
    </row>
    <row r="53" ht="13.5" customHeight="1" spans="1:29">
      <c r="A53" s="338"/>
      <c r="B53" s="338"/>
      <c r="C53" s="340" t="s">
        <v>1327</v>
      </c>
      <c r="D53" s="344"/>
      <c r="E53" s="342" t="e">
        <f>IF(E48&lt;G48,G48/E48-1,E48/G48-1)</f>
        <v>#DIV/0!</v>
      </c>
      <c r="F53" s="343" t="e">
        <f>IF(OR(E53&gt;=0.2,E53&lt;=-0.2),"超过20%","")</f>
        <v>#DIV/0!</v>
      </c>
      <c r="G53" s="342" t="e">
        <f>IF(G48&lt;I48,I48/G48-1,G48/I48-1)</f>
        <v>#DIV/0!</v>
      </c>
      <c r="H53" s="343" t="e">
        <f>IF(OR(G53&gt;=0.2,G53&lt;=-0.2),"超过20%","")</f>
        <v>#DIV/0!</v>
      </c>
      <c r="I53" s="342" t="e">
        <f>IF(I48&lt;E48,E48/I48-1,I48/E48-1)</f>
        <v>#DIV/0!</v>
      </c>
      <c r="J53" s="343" t="e">
        <f>IF(OR(I53&gt;=0.2,I53&lt;=-0.2),"超过20%","")</f>
        <v>#DIV/0!</v>
      </c>
      <c r="K53" s="430"/>
      <c r="L53" s="431"/>
      <c r="M53" s="349"/>
      <c r="N53" s="349"/>
      <c r="O53" s="349"/>
      <c r="P53" s="349"/>
      <c r="Q53" s="349"/>
      <c r="R53" s="349"/>
      <c r="S53" s="349"/>
      <c r="T53" s="349"/>
      <c r="U53" s="349"/>
      <c r="V53" s="349"/>
      <c r="W53" s="349"/>
      <c r="X53" s="349"/>
      <c r="Y53" s="349"/>
      <c r="Z53" s="349"/>
      <c r="AA53" s="349"/>
      <c r="AB53" s="349"/>
      <c r="AC53" s="349"/>
    </row>
    <row r="54" s="199" customFormat="1" ht="13.5" customHeight="1" spans="1:29">
      <c r="A54" s="345"/>
      <c r="B54" s="345"/>
      <c r="C54" s="340" t="s">
        <v>1328</v>
      </c>
      <c r="D54" s="344"/>
      <c r="E54" s="342" t="e">
        <f>IF(E47&lt;G47,G47/E47-1,E47/G47-1)</f>
        <v>#DIV/0!</v>
      </c>
      <c r="F54" s="343" t="e">
        <f>IF(OR(E54&gt;=0.3,E54&lt;=-0.3),"超过30%","")</f>
        <v>#DIV/0!</v>
      </c>
      <c r="G54" s="342" t="e">
        <f>IF(G47&lt;I47,I47/G47-1,G47/I47-1)</f>
        <v>#DIV/0!</v>
      </c>
      <c r="H54" s="343" t="e">
        <f>IF(OR(G54&gt;=0.3,G54&lt;=-0.3),"超过30%","")</f>
        <v>#DIV/0!</v>
      </c>
      <c r="I54" s="342" t="e">
        <f>IF(I47&lt;E47,E47/I47-1,I47/E47-1)</f>
        <v>#DIV/0!</v>
      </c>
      <c r="J54" s="343" t="e">
        <f>IF(OR(I54&gt;=0.3,I54&lt;=-0.3),"超过30%","")</f>
        <v>#DIV/0!</v>
      </c>
      <c r="K54" s="432"/>
      <c r="L54" s="433"/>
      <c r="M54" s="346"/>
      <c r="N54" s="346"/>
      <c r="O54" s="346"/>
      <c r="P54" s="346"/>
      <c r="Q54" s="346"/>
      <c r="R54" s="346"/>
      <c r="S54" s="346"/>
      <c r="T54" s="346"/>
      <c r="U54" s="346"/>
      <c r="V54" s="346"/>
      <c r="W54" s="346"/>
      <c r="X54" s="346"/>
      <c r="Y54" s="346"/>
      <c r="Z54" s="346"/>
      <c r="AA54" s="346"/>
      <c r="AB54" s="346"/>
      <c r="AC54" s="346"/>
    </row>
    <row r="55" s="199" customFormat="1" spans="1:29">
      <c r="A55" s="346"/>
      <c r="B55" s="347"/>
      <c r="C55" s="348"/>
      <c r="D55" s="346"/>
      <c r="E55" s="346"/>
      <c r="F55" s="346"/>
      <c r="G55" s="346"/>
      <c r="H55" s="346"/>
      <c r="I55" s="346"/>
      <c r="J55" s="346"/>
      <c r="K55" s="434"/>
      <c r="L55" s="433"/>
      <c r="M55" s="346"/>
      <c r="N55" s="346"/>
      <c r="O55" s="346"/>
      <c r="P55" s="346"/>
      <c r="Q55" s="346"/>
      <c r="R55" s="346"/>
      <c r="S55" s="346"/>
      <c r="T55" s="346"/>
      <c r="U55" s="346"/>
      <c r="V55" s="346"/>
      <c r="W55" s="346"/>
      <c r="X55" s="346"/>
      <c r="Y55" s="346"/>
      <c r="Z55" s="346"/>
      <c r="AA55" s="346"/>
      <c r="AB55" s="346"/>
      <c r="AC55" s="346"/>
    </row>
    <row r="56" spans="1:29">
      <c r="A56" s="349"/>
      <c r="B56" s="347"/>
      <c r="C56" s="348"/>
      <c r="D56" s="349"/>
      <c r="E56" s="349"/>
      <c r="F56" s="349"/>
      <c r="G56" s="349"/>
      <c r="H56" s="349"/>
      <c r="I56" s="349"/>
      <c r="J56" s="349"/>
      <c r="K56" s="435"/>
      <c r="L56" s="431"/>
      <c r="M56" s="349"/>
      <c r="N56" s="349"/>
      <c r="O56" s="349"/>
      <c r="P56" s="349"/>
      <c r="Q56" s="349"/>
      <c r="R56" s="349"/>
      <c r="S56" s="349"/>
      <c r="T56" s="349"/>
      <c r="U56" s="349"/>
      <c r="V56" s="349"/>
      <c r="W56" s="349"/>
      <c r="X56" s="349"/>
      <c r="Y56" s="349"/>
      <c r="Z56" s="349"/>
      <c r="AA56" s="349"/>
      <c r="AB56" s="349"/>
      <c r="AC56" s="349"/>
    </row>
    <row r="57" ht="21" spans="1:29">
      <c r="A57" s="350" t="s">
        <v>1350</v>
      </c>
      <c r="B57" s="351"/>
      <c r="C57" s="352"/>
      <c r="D57" s="352"/>
      <c r="E57" s="352"/>
      <c r="F57" s="353"/>
      <c r="G57" s="353"/>
      <c r="H57" s="352"/>
      <c r="I57" s="352"/>
      <c r="J57" s="352"/>
      <c r="K57" s="436"/>
      <c r="L57" s="437"/>
      <c r="M57" s="352"/>
      <c r="N57" s="438"/>
      <c r="O57" s="438"/>
      <c r="P57" s="438"/>
      <c r="Q57" s="442"/>
      <c r="R57" s="349"/>
      <c r="S57" s="349"/>
      <c r="T57" s="349"/>
      <c r="U57" s="349"/>
      <c r="V57" s="349"/>
      <c r="W57" s="349"/>
      <c r="X57" s="349"/>
      <c r="Y57" s="349"/>
      <c r="Z57" s="349"/>
      <c r="AA57" s="349"/>
      <c r="AB57" s="349"/>
      <c r="AC57" s="349"/>
    </row>
    <row r="58" s="200" customFormat="1" ht="15" spans="1:29">
      <c r="A58" s="354" t="s">
        <v>1297</v>
      </c>
      <c r="B58" s="355"/>
      <c r="C58" s="356" t="str">
        <f>YEAR(C7)&amp;"-"&amp;MONTH(C7)</f>
        <v>2021-11</v>
      </c>
      <c r="D58" s="357">
        <f>EDATE(C58,-1)</f>
        <v>44470</v>
      </c>
      <c r="E58" s="357">
        <f t="shared" ref="E58:O58" si="16">EDATE(D58,-1)</f>
        <v>44440</v>
      </c>
      <c r="F58" s="357">
        <f t="shared" si="16"/>
        <v>44409</v>
      </c>
      <c r="G58" s="357">
        <f t="shared" si="16"/>
        <v>44378</v>
      </c>
      <c r="H58" s="357">
        <f t="shared" si="16"/>
        <v>44348</v>
      </c>
      <c r="I58" s="357">
        <f t="shared" si="16"/>
        <v>44317</v>
      </c>
      <c r="J58" s="357">
        <f t="shared" si="16"/>
        <v>44287</v>
      </c>
      <c r="K58" s="357">
        <f t="shared" si="16"/>
        <v>44256</v>
      </c>
      <c r="L58" s="357">
        <f t="shared" si="16"/>
        <v>44228</v>
      </c>
      <c r="M58" s="357">
        <f t="shared" si="16"/>
        <v>44197</v>
      </c>
      <c r="N58" s="357">
        <f t="shared" si="16"/>
        <v>44166</v>
      </c>
      <c r="O58" s="357">
        <f t="shared" si="16"/>
        <v>44136</v>
      </c>
      <c r="P58" s="439"/>
      <c r="Q58" s="498"/>
      <c r="R58" s="498"/>
      <c r="S58" s="498"/>
      <c r="T58" s="498"/>
      <c r="U58" s="498"/>
      <c r="V58" s="498"/>
      <c r="W58" s="498"/>
      <c r="X58" s="498"/>
      <c r="Y58" s="498"/>
      <c r="Z58" s="498"/>
      <c r="AA58" s="498"/>
      <c r="AB58" s="498"/>
      <c r="AC58" s="498"/>
    </row>
    <row r="59" s="196" customFormat="1" ht="15" spans="1:29">
      <c r="A59" s="358"/>
      <c r="B59" s="359"/>
      <c r="C59" s="360">
        <v>100</v>
      </c>
      <c r="D59" s="361"/>
      <c r="E59" s="361"/>
      <c r="F59" s="361"/>
      <c r="G59" s="361"/>
      <c r="H59" s="361"/>
      <c r="I59" s="361"/>
      <c r="J59" s="361"/>
      <c r="K59" s="361"/>
      <c r="L59" s="361"/>
      <c r="M59" s="440"/>
      <c r="N59" s="361"/>
      <c r="O59" s="441"/>
      <c r="P59" s="442"/>
      <c r="Q59" s="499"/>
      <c r="R59" s="499"/>
      <c r="S59" s="499"/>
      <c r="T59" s="499"/>
      <c r="U59" s="499"/>
      <c r="V59" s="499"/>
      <c r="W59" s="499"/>
      <c r="X59" s="499"/>
      <c r="Y59" s="499"/>
      <c r="Z59" s="499"/>
      <c r="AA59" s="499"/>
      <c r="AB59" s="499"/>
      <c r="AC59" s="499"/>
    </row>
    <row r="60" s="196" customFormat="1" ht="15.75" spans="1:29">
      <c r="A60" s="362" t="s">
        <v>1366</v>
      </c>
      <c r="B60" s="363"/>
      <c r="C60" s="364"/>
      <c r="D60" s="365"/>
      <c r="E60" s="365"/>
      <c r="F60" s="365"/>
      <c r="G60" s="365"/>
      <c r="H60" s="365"/>
      <c r="I60" s="365"/>
      <c r="J60" s="365"/>
      <c r="K60" s="365"/>
      <c r="L60" s="365"/>
      <c r="M60" s="443"/>
      <c r="N60" s="365"/>
      <c r="O60" s="444"/>
      <c r="P60" s="442"/>
      <c r="Q60" s="442"/>
      <c r="R60" s="499"/>
      <c r="S60" s="499"/>
      <c r="T60" s="499"/>
      <c r="U60" s="499"/>
      <c r="V60" s="499"/>
      <c r="W60" s="499"/>
      <c r="X60" s="499"/>
      <c r="Y60" s="499"/>
      <c r="Z60" s="499"/>
      <c r="AA60" s="499"/>
      <c r="AB60" s="499"/>
      <c r="AC60" s="499"/>
    </row>
    <row r="61" s="196" customFormat="1" ht="15" spans="1:29">
      <c r="A61" s="366" t="s">
        <v>1300</v>
      </c>
      <c r="B61" s="359"/>
      <c r="C61" s="367" t="s">
        <v>1301</v>
      </c>
      <c r="D61" s="368"/>
      <c r="E61" s="368"/>
      <c r="F61" s="368"/>
      <c r="G61" s="368"/>
      <c r="H61" s="368"/>
      <c r="I61" s="368"/>
      <c r="J61" s="368"/>
      <c r="K61" s="368"/>
      <c r="L61" s="445"/>
      <c r="M61" s="446"/>
      <c r="N61" s="447"/>
      <c r="O61" s="447"/>
      <c r="P61" s="448"/>
      <c r="Q61" s="442"/>
      <c r="R61" s="499"/>
      <c r="S61" s="499"/>
      <c r="T61" s="499"/>
      <c r="U61" s="499"/>
      <c r="V61" s="499"/>
      <c r="W61" s="499"/>
      <c r="X61" s="499"/>
      <c r="Y61" s="499"/>
      <c r="Z61" s="499"/>
      <c r="AA61" s="499"/>
      <c r="AB61" s="499"/>
      <c r="AC61" s="499"/>
    </row>
    <row r="62" s="196" customFormat="1" ht="15.75" spans="1:29">
      <c r="A62" s="366"/>
      <c r="B62" s="359"/>
      <c r="C62" s="625">
        <v>100</v>
      </c>
      <c r="D62" s="361"/>
      <c r="E62" s="361"/>
      <c r="F62" s="361"/>
      <c r="G62" s="361"/>
      <c r="H62" s="361"/>
      <c r="I62" s="361"/>
      <c r="J62" s="361"/>
      <c r="K62" s="361"/>
      <c r="L62" s="361"/>
      <c r="M62" s="441"/>
      <c r="N62" s="447"/>
      <c r="O62" s="447"/>
      <c r="P62" s="442"/>
      <c r="Q62" s="442"/>
      <c r="R62" s="499"/>
      <c r="S62" s="499"/>
      <c r="T62" s="499"/>
      <c r="U62" s="499"/>
      <c r="V62" s="499"/>
      <c r="W62" s="499"/>
      <c r="X62" s="499"/>
      <c r="Y62" s="499"/>
      <c r="Z62" s="499"/>
      <c r="AA62" s="499"/>
      <c r="AB62" s="499"/>
      <c r="AC62" s="626"/>
    </row>
    <row r="63" spans="1:29">
      <c r="A63" s="369" t="s">
        <v>1353</v>
      </c>
      <c r="B63" s="370" t="s">
        <v>1354</v>
      </c>
      <c r="C63" s="371">
        <f>C9</f>
        <v>0</v>
      </c>
      <c r="D63" s="372"/>
      <c r="E63" s="372"/>
      <c r="F63" s="372"/>
      <c r="G63" s="372"/>
      <c r="H63" s="372"/>
      <c r="I63" s="372"/>
      <c r="J63" s="372"/>
      <c r="K63" s="449"/>
      <c r="L63" s="450"/>
      <c r="M63" s="451"/>
      <c r="N63" s="452"/>
      <c r="O63" s="452"/>
      <c r="P63" s="453"/>
      <c r="Q63" s="442"/>
      <c r="R63" s="349"/>
      <c r="S63" s="349"/>
      <c r="T63" s="349"/>
      <c r="U63" s="349"/>
      <c r="V63" s="349"/>
      <c r="W63" s="349"/>
      <c r="X63" s="349"/>
      <c r="Y63" s="349"/>
      <c r="Z63" s="349"/>
      <c r="AA63" s="349"/>
      <c r="AB63" s="349"/>
      <c r="AC63" s="349"/>
    </row>
    <row r="64" ht="15.75" spans="1:29">
      <c r="A64" s="373"/>
      <c r="B64" s="374"/>
      <c r="C64" s="375"/>
      <c r="D64" s="375"/>
      <c r="E64" s="375"/>
      <c r="F64" s="375"/>
      <c r="G64" s="375"/>
      <c r="H64" s="375"/>
      <c r="I64" s="375"/>
      <c r="J64" s="375"/>
      <c r="K64" s="375"/>
      <c r="L64" s="375"/>
      <c r="M64" s="454"/>
      <c r="N64" s="455"/>
      <c r="O64" s="455"/>
      <c r="P64" s="453"/>
      <c r="Q64" s="442"/>
      <c r="R64" s="349"/>
      <c r="S64" s="349"/>
      <c r="T64" s="349"/>
      <c r="U64" s="349"/>
      <c r="V64" s="349"/>
      <c r="W64" s="349"/>
      <c r="X64" s="349"/>
      <c r="Y64" s="349"/>
      <c r="Z64" s="349"/>
      <c r="AA64" s="349"/>
      <c r="AB64" s="349"/>
      <c r="AC64" s="349"/>
    </row>
    <row r="65" ht="27.75" spans="1:29">
      <c r="A65" s="373"/>
      <c r="B65" s="376" t="s">
        <v>1355</v>
      </c>
      <c r="C65" s="377" t="s">
        <v>1585</v>
      </c>
      <c r="D65" s="377" t="s">
        <v>1586</v>
      </c>
      <c r="E65" s="377" t="s">
        <v>1587</v>
      </c>
      <c r="F65" s="377" t="s">
        <v>1588</v>
      </c>
      <c r="G65" s="377" t="s">
        <v>1589</v>
      </c>
      <c r="H65" s="377" t="s">
        <v>1590</v>
      </c>
      <c r="I65" s="377" t="s">
        <v>1591</v>
      </c>
      <c r="J65" s="377"/>
      <c r="K65" s="456"/>
      <c r="L65" s="457"/>
      <c r="M65" s="458"/>
      <c r="N65" s="452"/>
      <c r="O65" s="452"/>
      <c r="P65" s="453"/>
      <c r="Q65" s="442"/>
      <c r="R65" s="349"/>
      <c r="S65" s="349"/>
      <c r="T65" s="349"/>
      <c r="U65" s="349"/>
      <c r="V65" s="349"/>
      <c r="W65" s="349"/>
      <c r="X65" s="349"/>
      <c r="Y65" s="349"/>
      <c r="Z65" s="349"/>
      <c r="AA65" s="349"/>
      <c r="AB65" s="349"/>
      <c r="AC65" s="349"/>
    </row>
    <row r="66" ht="15.75" spans="1:29">
      <c r="A66" s="373"/>
      <c r="B66" s="378"/>
      <c r="C66" s="379" t="s">
        <v>1349</v>
      </c>
      <c r="D66" s="379" t="s">
        <v>1349</v>
      </c>
      <c r="E66" s="379" t="s">
        <v>1349</v>
      </c>
      <c r="F66" s="379">
        <v>100</v>
      </c>
      <c r="G66" s="379">
        <f>F66-$K10</f>
        <v>100</v>
      </c>
      <c r="H66" s="379">
        <f>G66-$K10</f>
        <v>100</v>
      </c>
      <c r="I66" s="379">
        <f>H66-$K10</f>
        <v>100</v>
      </c>
      <c r="J66" s="379"/>
      <c r="K66" s="379"/>
      <c r="L66" s="379"/>
      <c r="M66" s="459"/>
      <c r="N66" s="455"/>
      <c r="O66" s="455"/>
      <c r="P66" s="453"/>
      <c r="Q66" s="442"/>
      <c r="R66" s="349"/>
      <c r="S66" s="349"/>
      <c r="T66" s="349"/>
      <c r="U66" s="349"/>
      <c r="V66" s="349"/>
      <c r="W66" s="349"/>
      <c r="X66" s="349"/>
      <c r="Y66" s="349"/>
      <c r="Z66" s="349"/>
      <c r="AA66" s="349"/>
      <c r="AB66" s="349"/>
      <c r="AC66" s="349"/>
    </row>
    <row r="67" ht="15.75" spans="1:29">
      <c r="A67" s="373"/>
      <c r="B67" s="514" t="s">
        <v>1356</v>
      </c>
      <c r="C67" s="592" t="str">
        <f>C68&amp;"（含）"&amp;"-"&amp;D68</f>
        <v>（含）-</v>
      </c>
      <c r="D67" s="592" t="str">
        <f t="shared" ref="D67:L67" si="17">D68&amp;"（含）"&amp;"-"&amp;E68</f>
        <v>（含）-</v>
      </c>
      <c r="E67" s="592" t="str">
        <f t="shared" si="17"/>
        <v>（含）-</v>
      </c>
      <c r="F67" s="592" t="str">
        <f t="shared" si="17"/>
        <v>（含）-</v>
      </c>
      <c r="G67" s="592" t="str">
        <f t="shared" si="17"/>
        <v>（含）-</v>
      </c>
      <c r="H67" s="592" t="str">
        <f t="shared" si="17"/>
        <v>（含）-</v>
      </c>
      <c r="I67" s="592" t="str">
        <f t="shared" si="17"/>
        <v>（含）-</v>
      </c>
      <c r="J67" s="592" t="str">
        <f t="shared" si="17"/>
        <v>（含）-</v>
      </c>
      <c r="K67" s="592" t="str">
        <f t="shared" si="17"/>
        <v>（含）-</v>
      </c>
      <c r="L67" s="592" t="str">
        <f t="shared" si="17"/>
        <v>（含）-</v>
      </c>
      <c r="M67" s="276" t="str">
        <f>M68&amp;"（含）"&amp;"-"&amp;P68</f>
        <v>（含）-</v>
      </c>
      <c r="N67" s="455"/>
      <c r="O67" s="455"/>
      <c r="P67" s="453"/>
      <c r="Q67" s="442"/>
      <c r="R67" s="349"/>
      <c r="S67" s="349"/>
      <c r="T67" s="349"/>
      <c r="U67" s="349"/>
      <c r="V67" s="349"/>
      <c r="W67" s="349"/>
      <c r="X67" s="349"/>
      <c r="Y67" s="349"/>
      <c r="Z67" s="349"/>
      <c r="AA67" s="349"/>
      <c r="AB67" s="349"/>
      <c r="AC67" s="349"/>
    </row>
    <row r="68" ht="15" spans="1:29">
      <c r="A68" s="373"/>
      <c r="B68" s="593"/>
      <c r="C68" s="381"/>
      <c r="D68" s="381"/>
      <c r="E68" s="381"/>
      <c r="F68" s="381"/>
      <c r="G68" s="381"/>
      <c r="H68" s="381"/>
      <c r="I68" s="381"/>
      <c r="J68" s="381"/>
      <c r="K68" s="460"/>
      <c r="L68" s="461"/>
      <c r="M68" s="462"/>
      <c r="N68" s="452"/>
      <c r="O68" s="452"/>
      <c r="P68" s="453"/>
      <c r="Q68" s="442"/>
      <c r="R68" s="349"/>
      <c r="S68" s="349"/>
      <c r="T68" s="349"/>
      <c r="U68" s="349"/>
      <c r="V68" s="349"/>
      <c r="W68" s="349"/>
      <c r="X68" s="349"/>
      <c r="Y68" s="349"/>
      <c r="Z68" s="349"/>
      <c r="AA68" s="349"/>
      <c r="AB68" s="349"/>
      <c r="AC68" s="349"/>
    </row>
    <row r="69" ht="15.75" spans="1:29">
      <c r="A69" s="373"/>
      <c r="B69" s="374"/>
      <c r="C69" s="379">
        <v>100</v>
      </c>
      <c r="D69" s="379">
        <f t="shared" ref="D69:M69" si="18">C69-$K11</f>
        <v>100</v>
      </c>
      <c r="E69" s="379">
        <f t="shared" si="18"/>
        <v>100</v>
      </c>
      <c r="F69" s="379">
        <f t="shared" si="18"/>
        <v>100</v>
      </c>
      <c r="G69" s="379">
        <f t="shared" si="18"/>
        <v>100</v>
      </c>
      <c r="H69" s="379">
        <f t="shared" si="18"/>
        <v>100</v>
      </c>
      <c r="I69" s="379">
        <f t="shared" si="18"/>
        <v>100</v>
      </c>
      <c r="J69" s="379">
        <f t="shared" si="18"/>
        <v>100</v>
      </c>
      <c r="K69" s="379">
        <f t="shared" si="18"/>
        <v>100</v>
      </c>
      <c r="L69" s="379">
        <f t="shared" si="18"/>
        <v>100</v>
      </c>
      <c r="M69" s="459">
        <f t="shared" si="18"/>
        <v>100</v>
      </c>
      <c r="N69" s="455"/>
      <c r="O69" s="455"/>
      <c r="P69" s="453"/>
      <c r="Q69" s="442"/>
      <c r="R69" s="349"/>
      <c r="S69" s="349"/>
      <c r="T69" s="349"/>
      <c r="U69" s="349"/>
      <c r="V69" s="349"/>
      <c r="W69" s="349"/>
      <c r="X69" s="349"/>
      <c r="Y69" s="349"/>
      <c r="Z69" s="349"/>
      <c r="AA69" s="349"/>
      <c r="AB69" s="349"/>
      <c r="AC69" s="349"/>
    </row>
    <row r="70" s="198" customFormat="1" ht="15.75" spans="1:29">
      <c r="A70" s="383"/>
      <c r="B70" s="376">
        <f>B12</f>
        <v>111</v>
      </c>
      <c r="C70" s="384"/>
      <c r="D70" s="384"/>
      <c r="E70" s="384"/>
      <c r="F70" s="384"/>
      <c r="G70" s="384"/>
      <c r="H70" s="385"/>
      <c r="I70" s="385"/>
      <c r="J70" s="385"/>
      <c r="K70" s="385"/>
      <c r="L70" s="463"/>
      <c r="M70" s="464"/>
      <c r="N70" s="465"/>
      <c r="O70" s="465"/>
      <c r="P70" s="466"/>
      <c r="Q70" s="500"/>
      <c r="R70" s="501"/>
      <c r="S70" s="501"/>
      <c r="T70" s="501"/>
      <c r="U70" s="501"/>
      <c r="V70" s="501"/>
      <c r="W70" s="501"/>
      <c r="X70" s="501"/>
      <c r="Y70" s="501"/>
      <c r="Z70" s="501"/>
      <c r="AA70" s="501"/>
      <c r="AB70" s="501"/>
      <c r="AC70" s="501"/>
    </row>
    <row r="71" s="198" customFormat="1" ht="15.75" spans="1:29">
      <c r="A71" s="383"/>
      <c r="B71" s="378"/>
      <c r="C71" s="382"/>
      <c r="D71" s="375"/>
      <c r="E71" s="375"/>
      <c r="F71" s="375"/>
      <c r="G71" s="375"/>
      <c r="H71" s="375"/>
      <c r="I71" s="375"/>
      <c r="J71" s="375"/>
      <c r="K71" s="375"/>
      <c r="L71" s="375"/>
      <c r="M71" s="454"/>
      <c r="N71" s="455"/>
      <c r="O71" s="455"/>
      <c r="P71" s="466"/>
      <c r="Q71" s="500"/>
      <c r="R71" s="501"/>
      <c r="S71" s="501"/>
      <c r="T71" s="501"/>
      <c r="U71" s="501"/>
      <c r="V71" s="501"/>
      <c r="W71" s="501"/>
      <c r="X71" s="501"/>
      <c r="Y71" s="501"/>
      <c r="Z71" s="501"/>
      <c r="AA71" s="501"/>
      <c r="AB71" s="501"/>
      <c r="AC71" s="501"/>
    </row>
    <row r="72" s="198" customFormat="1" ht="15.75" spans="1:29">
      <c r="A72" s="383"/>
      <c r="B72" s="376">
        <f>B13</f>
        <v>111</v>
      </c>
      <c r="C72" s="384"/>
      <c r="D72" s="384"/>
      <c r="E72" s="384"/>
      <c r="F72" s="384"/>
      <c r="G72" s="384"/>
      <c r="H72" s="385"/>
      <c r="I72" s="385"/>
      <c r="J72" s="385"/>
      <c r="K72" s="385"/>
      <c r="L72" s="463"/>
      <c r="M72" s="464"/>
      <c r="N72" s="465"/>
      <c r="O72" s="465"/>
      <c r="P72" s="422"/>
      <c r="Q72" s="502"/>
      <c r="R72" s="501"/>
      <c r="S72" s="501"/>
      <c r="T72" s="501"/>
      <c r="U72" s="501"/>
      <c r="V72" s="501"/>
      <c r="W72" s="501"/>
      <c r="X72" s="501"/>
      <c r="Y72" s="501"/>
      <c r="Z72" s="501"/>
      <c r="AA72" s="501"/>
      <c r="AB72" s="501"/>
      <c r="AC72" s="501"/>
    </row>
    <row r="73" s="198" customFormat="1" ht="15.75" spans="1:29">
      <c r="A73" s="383"/>
      <c r="B73" s="378"/>
      <c r="C73" s="382"/>
      <c r="D73" s="375"/>
      <c r="E73" s="375"/>
      <c r="F73" s="375"/>
      <c r="G73" s="382"/>
      <c r="H73" s="386"/>
      <c r="I73" s="386"/>
      <c r="J73" s="386"/>
      <c r="K73" s="386"/>
      <c r="L73" s="386"/>
      <c r="M73" s="467"/>
      <c r="N73" s="465"/>
      <c r="O73" s="465"/>
      <c r="P73" s="466"/>
      <c r="Q73" s="500"/>
      <c r="R73" s="501"/>
      <c r="S73" s="501"/>
      <c r="T73" s="501"/>
      <c r="U73" s="501"/>
      <c r="V73" s="501"/>
      <c r="W73" s="501"/>
      <c r="X73" s="501"/>
      <c r="Y73" s="501"/>
      <c r="Z73" s="501"/>
      <c r="AA73" s="501"/>
      <c r="AB73" s="501"/>
      <c r="AC73" s="501"/>
    </row>
    <row r="74" s="198" customFormat="1" ht="15.75" spans="1:29">
      <c r="A74" s="383"/>
      <c r="B74" s="514">
        <f>B14</f>
        <v>111</v>
      </c>
      <c r="C74" s="384"/>
      <c r="D74" s="384"/>
      <c r="E74" s="384"/>
      <c r="F74" s="384"/>
      <c r="G74" s="368"/>
      <c r="H74" s="595"/>
      <c r="I74" s="595"/>
      <c r="J74" s="595"/>
      <c r="K74" s="595"/>
      <c r="L74" s="604"/>
      <c r="M74" s="605"/>
      <c r="N74" s="465"/>
      <c r="O74" s="465"/>
      <c r="P74" s="606"/>
      <c r="Q74" s="500"/>
      <c r="R74" s="501"/>
      <c r="S74" s="501"/>
      <c r="T74" s="501"/>
      <c r="U74" s="501"/>
      <c r="V74" s="501"/>
      <c r="W74" s="501"/>
      <c r="X74" s="501"/>
      <c r="Y74" s="501"/>
      <c r="Z74" s="501"/>
      <c r="AA74" s="501"/>
      <c r="AB74" s="501"/>
      <c r="AC74" s="501"/>
    </row>
    <row r="75" s="198" customFormat="1" ht="15.75" spans="1:29">
      <c r="A75" s="596"/>
      <c r="B75" s="597"/>
      <c r="C75" s="598"/>
      <c r="D75" s="598"/>
      <c r="E75" s="598"/>
      <c r="F75" s="598"/>
      <c r="G75" s="598"/>
      <c r="H75" s="599"/>
      <c r="I75" s="599"/>
      <c r="J75" s="599"/>
      <c r="K75" s="599"/>
      <c r="L75" s="599"/>
      <c r="M75" s="607"/>
      <c r="N75" s="465"/>
      <c r="O75" s="465"/>
      <c r="P75" s="466"/>
      <c r="Q75" s="500"/>
      <c r="R75" s="501"/>
      <c r="S75" s="501"/>
      <c r="T75" s="501"/>
      <c r="U75" s="501"/>
      <c r="V75" s="501"/>
      <c r="W75" s="501"/>
      <c r="X75" s="501"/>
      <c r="Y75" s="501"/>
      <c r="Z75" s="501"/>
      <c r="AA75" s="501"/>
      <c r="AB75" s="501"/>
      <c r="AC75" s="501"/>
    </row>
    <row r="76" spans="1:29">
      <c r="A76" s="369" t="s">
        <v>1357</v>
      </c>
      <c r="B76" s="370" t="s">
        <v>225</v>
      </c>
      <c r="C76" s="387" t="s">
        <v>246</v>
      </c>
      <c r="D76" s="387" t="s">
        <v>258</v>
      </c>
      <c r="E76" s="387" t="s">
        <v>269</v>
      </c>
      <c r="F76" s="387" t="s">
        <v>279</v>
      </c>
      <c r="G76" s="387" t="s">
        <v>287</v>
      </c>
      <c r="H76" s="371"/>
      <c r="I76" s="371"/>
      <c r="J76" s="371"/>
      <c r="K76" s="468"/>
      <c r="L76" s="469"/>
      <c r="M76" s="470"/>
      <c r="N76" s="452"/>
      <c r="O76" s="452"/>
      <c r="P76" s="471"/>
      <c r="Q76" s="442"/>
      <c r="R76" s="349"/>
      <c r="S76" s="349"/>
      <c r="T76" s="349"/>
      <c r="U76" s="349"/>
      <c r="V76" s="349"/>
      <c r="W76" s="349"/>
      <c r="X76" s="349"/>
      <c r="Y76" s="349"/>
      <c r="Z76" s="349"/>
      <c r="AA76" s="349"/>
      <c r="AB76" s="349"/>
      <c r="AC76" s="349"/>
    </row>
    <row r="77" ht="15.75" spans="1:29">
      <c r="A77" s="373"/>
      <c r="B77" s="378"/>
      <c r="C77" s="379">
        <v>100</v>
      </c>
      <c r="D77" s="379">
        <f>C77-$K15</f>
        <v>100</v>
      </c>
      <c r="E77" s="379">
        <f>D77-$K15</f>
        <v>100</v>
      </c>
      <c r="F77" s="379">
        <f>E77-$K15</f>
        <v>100</v>
      </c>
      <c r="G77" s="379">
        <f>F77-$K15</f>
        <v>100</v>
      </c>
      <c r="H77" s="379"/>
      <c r="I77" s="379"/>
      <c r="J77" s="379"/>
      <c r="K77" s="379"/>
      <c r="L77" s="379"/>
      <c r="M77" s="459"/>
      <c r="N77" s="455"/>
      <c r="O77" s="455"/>
      <c r="P77" s="453"/>
      <c r="Q77" s="442"/>
      <c r="R77" s="349"/>
      <c r="S77" s="349"/>
      <c r="T77" s="349"/>
      <c r="U77" s="349"/>
      <c r="V77" s="349"/>
      <c r="W77" s="349"/>
      <c r="X77" s="349"/>
      <c r="Y77" s="349"/>
      <c r="Z77" s="349"/>
      <c r="AA77" s="349"/>
      <c r="AB77" s="349"/>
      <c r="AC77" s="349"/>
    </row>
    <row r="78" ht="15.75" spans="1:29">
      <c r="A78" s="373"/>
      <c r="B78" s="376" t="s">
        <v>229</v>
      </c>
      <c r="C78" s="389" t="s">
        <v>246</v>
      </c>
      <c r="D78" s="389" t="s">
        <v>258</v>
      </c>
      <c r="E78" s="389" t="s">
        <v>269</v>
      </c>
      <c r="F78" s="389" t="s">
        <v>279</v>
      </c>
      <c r="G78" s="389" t="s">
        <v>287</v>
      </c>
      <c r="H78" s="377"/>
      <c r="I78" s="377"/>
      <c r="J78" s="377"/>
      <c r="K78" s="456"/>
      <c r="L78" s="457"/>
      <c r="M78" s="458"/>
      <c r="N78" s="452"/>
      <c r="O78" s="452"/>
      <c r="P78" s="453"/>
      <c r="Q78" s="442"/>
      <c r="R78" s="349"/>
      <c r="S78" s="349"/>
      <c r="T78" s="349"/>
      <c r="U78" s="349"/>
      <c r="V78" s="349"/>
      <c r="W78" s="349"/>
      <c r="X78" s="349"/>
      <c r="Y78" s="349"/>
      <c r="Z78" s="349"/>
      <c r="AA78" s="349"/>
      <c r="AB78" s="349"/>
      <c r="AC78" s="349"/>
    </row>
    <row r="79" ht="15.75" spans="1:29">
      <c r="A79" s="373"/>
      <c r="B79" s="378"/>
      <c r="C79" s="379">
        <v>100</v>
      </c>
      <c r="D79" s="379">
        <f>C79-$K17</f>
        <v>100</v>
      </c>
      <c r="E79" s="379">
        <f>D79-$K17</f>
        <v>100</v>
      </c>
      <c r="F79" s="379">
        <f>E79-$K17</f>
        <v>100</v>
      </c>
      <c r="G79" s="379">
        <f>F79-$K17</f>
        <v>100</v>
      </c>
      <c r="H79" s="379"/>
      <c r="I79" s="379"/>
      <c r="J79" s="379"/>
      <c r="K79" s="379"/>
      <c r="L79" s="379"/>
      <c r="M79" s="459"/>
      <c r="N79" s="455"/>
      <c r="O79" s="455"/>
      <c r="P79" s="453"/>
      <c r="Q79" s="442"/>
      <c r="R79" s="349"/>
      <c r="S79" s="349"/>
      <c r="T79" s="349"/>
      <c r="U79" s="349"/>
      <c r="V79" s="349"/>
      <c r="W79" s="349"/>
      <c r="X79" s="349"/>
      <c r="Y79" s="349"/>
      <c r="Z79" s="349"/>
      <c r="AA79" s="349"/>
      <c r="AB79" s="349"/>
      <c r="AC79" s="349"/>
    </row>
    <row r="80" ht="15.75" spans="1:29">
      <c r="A80" s="373"/>
      <c r="B80" s="388" t="s">
        <v>231</v>
      </c>
      <c r="C80" s="389" t="s">
        <v>246</v>
      </c>
      <c r="D80" s="389" t="s">
        <v>258</v>
      </c>
      <c r="E80" s="389" t="s">
        <v>269</v>
      </c>
      <c r="F80" s="389" t="s">
        <v>279</v>
      </c>
      <c r="G80" s="389" t="s">
        <v>287</v>
      </c>
      <c r="H80" s="377"/>
      <c r="I80" s="377"/>
      <c r="J80" s="377"/>
      <c r="K80" s="456"/>
      <c r="L80" s="457"/>
      <c r="M80" s="458"/>
      <c r="N80" s="452"/>
      <c r="O80" s="452"/>
      <c r="P80" s="453"/>
      <c r="Q80" s="442"/>
      <c r="R80" s="349"/>
      <c r="S80" s="349"/>
      <c r="T80" s="349"/>
      <c r="U80" s="349"/>
      <c r="V80" s="349"/>
      <c r="W80" s="349"/>
      <c r="X80" s="349"/>
      <c r="Y80" s="349"/>
      <c r="Z80" s="349"/>
      <c r="AA80" s="349"/>
      <c r="AB80" s="349"/>
      <c r="AC80" s="349"/>
    </row>
    <row r="81" ht="15.75" spans="1:29">
      <c r="A81" s="373"/>
      <c r="B81" s="378"/>
      <c r="C81" s="379">
        <v>100</v>
      </c>
      <c r="D81" s="379">
        <f>C81-$K19</f>
        <v>100</v>
      </c>
      <c r="E81" s="379">
        <f>D81-$K19</f>
        <v>100</v>
      </c>
      <c r="F81" s="379">
        <f>E81-$K19</f>
        <v>100</v>
      </c>
      <c r="G81" s="379">
        <f>F81-$K19</f>
        <v>100</v>
      </c>
      <c r="H81" s="379"/>
      <c r="I81" s="379"/>
      <c r="J81" s="379"/>
      <c r="K81" s="379"/>
      <c r="L81" s="379"/>
      <c r="M81" s="459"/>
      <c r="N81" s="455"/>
      <c r="O81" s="455"/>
      <c r="P81" s="453"/>
      <c r="Q81" s="442"/>
      <c r="R81" s="349"/>
      <c r="S81" s="349"/>
      <c r="T81" s="349"/>
      <c r="U81" s="349"/>
      <c r="V81" s="349"/>
      <c r="W81" s="349"/>
      <c r="X81" s="349"/>
      <c r="Y81" s="349"/>
      <c r="Z81" s="349"/>
      <c r="AA81" s="349"/>
      <c r="AB81" s="349"/>
      <c r="AC81" s="349"/>
    </row>
    <row r="82" ht="15.75" spans="1:29">
      <c r="A82" s="373"/>
      <c r="B82" s="512" t="s">
        <v>232</v>
      </c>
      <c r="C82" s="513" t="s">
        <v>247</v>
      </c>
      <c r="D82" s="513" t="s">
        <v>259</v>
      </c>
      <c r="E82" s="513" t="s">
        <v>270</v>
      </c>
      <c r="F82" s="513" t="s">
        <v>280</v>
      </c>
      <c r="G82" s="513" t="s">
        <v>288</v>
      </c>
      <c r="H82" s="377"/>
      <c r="I82" s="377"/>
      <c r="J82" s="377"/>
      <c r="K82" s="377"/>
      <c r="L82" s="377"/>
      <c r="M82" s="524"/>
      <c r="N82" s="455"/>
      <c r="O82" s="455"/>
      <c r="P82" s="453"/>
      <c r="Q82" s="442"/>
      <c r="R82" s="349"/>
      <c r="S82" s="349"/>
      <c r="T82" s="349"/>
      <c r="U82" s="349"/>
      <c r="V82" s="349"/>
      <c r="W82" s="349"/>
      <c r="X82" s="349"/>
      <c r="Y82" s="349"/>
      <c r="Z82" s="349"/>
      <c r="AA82" s="349"/>
      <c r="AB82" s="349"/>
      <c r="AC82" s="349"/>
    </row>
    <row r="83" ht="15.75" spans="1:29">
      <c r="A83" s="373"/>
      <c r="B83" s="514"/>
      <c r="C83" s="379">
        <v>100</v>
      </c>
      <c r="D83" s="379">
        <f>C83-$K21</f>
        <v>100</v>
      </c>
      <c r="E83" s="379">
        <f>D83-$K21</f>
        <v>100</v>
      </c>
      <c r="F83" s="379">
        <f>E83-$K21</f>
        <v>100</v>
      </c>
      <c r="G83" s="379">
        <f>F83-$K21</f>
        <v>100</v>
      </c>
      <c r="H83" s="380"/>
      <c r="I83" s="380"/>
      <c r="J83" s="380"/>
      <c r="K83" s="380"/>
      <c r="L83" s="380"/>
      <c r="M83" s="278"/>
      <c r="N83" s="455"/>
      <c r="O83" s="455"/>
      <c r="P83" s="453"/>
      <c r="Q83" s="442"/>
      <c r="R83" s="349"/>
      <c r="S83" s="349"/>
      <c r="T83" s="349"/>
      <c r="U83" s="349"/>
      <c r="V83" s="349"/>
      <c r="W83" s="349"/>
      <c r="X83" s="349"/>
      <c r="Y83" s="349"/>
      <c r="Z83" s="349"/>
      <c r="AA83" s="349"/>
      <c r="AB83" s="349"/>
      <c r="AC83" s="349"/>
    </row>
    <row r="84" ht="15.75" spans="1:29">
      <c r="A84" s="373"/>
      <c r="B84" s="376" t="s">
        <v>2353</v>
      </c>
      <c r="C84" s="389" t="s">
        <v>246</v>
      </c>
      <c r="D84" s="389" t="s">
        <v>258</v>
      </c>
      <c r="E84" s="389" t="s">
        <v>269</v>
      </c>
      <c r="F84" s="389" t="s">
        <v>279</v>
      </c>
      <c r="G84" s="389" t="s">
        <v>287</v>
      </c>
      <c r="H84" s="377"/>
      <c r="I84" s="377"/>
      <c r="J84" s="377"/>
      <c r="K84" s="456"/>
      <c r="L84" s="457"/>
      <c r="M84" s="458"/>
      <c r="N84" s="452"/>
      <c r="O84" s="452"/>
      <c r="P84" s="453"/>
      <c r="Q84" s="442"/>
      <c r="R84" s="349"/>
      <c r="S84" s="349"/>
      <c r="T84" s="349"/>
      <c r="U84" s="349"/>
      <c r="V84" s="349"/>
      <c r="W84" s="349"/>
      <c r="X84" s="349"/>
      <c r="Y84" s="349"/>
      <c r="Z84" s="349"/>
      <c r="AA84" s="349"/>
      <c r="AB84" s="349"/>
      <c r="AC84" s="349"/>
    </row>
    <row r="85" ht="15.75" spans="1:29">
      <c r="A85" s="373"/>
      <c r="B85" s="378"/>
      <c r="C85" s="379">
        <v>100</v>
      </c>
      <c r="D85" s="379">
        <f>C85-$K23</f>
        <v>100</v>
      </c>
      <c r="E85" s="379">
        <f>D85-$K23</f>
        <v>100</v>
      </c>
      <c r="F85" s="379">
        <f>E85-$K23</f>
        <v>100</v>
      </c>
      <c r="G85" s="379">
        <f>F85-$K23</f>
        <v>100</v>
      </c>
      <c r="H85" s="379"/>
      <c r="I85" s="379"/>
      <c r="J85" s="379"/>
      <c r="K85" s="379"/>
      <c r="L85" s="379"/>
      <c r="M85" s="459"/>
      <c r="N85" s="455"/>
      <c r="O85" s="455"/>
      <c r="P85" s="453"/>
      <c r="Q85" s="442"/>
      <c r="R85" s="349"/>
      <c r="S85" s="349"/>
      <c r="T85" s="349"/>
      <c r="U85" s="349"/>
      <c r="V85" s="349"/>
      <c r="W85" s="349"/>
      <c r="X85" s="349"/>
      <c r="Y85" s="349"/>
      <c r="Z85" s="349"/>
      <c r="AA85" s="349"/>
      <c r="AB85" s="349"/>
      <c r="AC85" s="349"/>
    </row>
    <row r="86" s="196" customFormat="1" ht="15.75" spans="1:29">
      <c r="A86" s="516"/>
      <c r="B86" s="376" t="s">
        <v>234</v>
      </c>
      <c r="C86" s="384"/>
      <c r="D86" s="384"/>
      <c r="E86" s="384"/>
      <c r="F86" s="384"/>
      <c r="G86" s="384"/>
      <c r="H86" s="384"/>
      <c r="I86" s="384"/>
      <c r="J86" s="384"/>
      <c r="K86" s="384"/>
      <c r="L86" s="528"/>
      <c r="M86" s="529"/>
      <c r="N86" s="447"/>
      <c r="O86" s="447"/>
      <c r="P86" s="453"/>
      <c r="Q86" s="442"/>
      <c r="R86" s="499"/>
      <c r="S86" s="499"/>
      <c r="T86" s="499"/>
      <c r="U86" s="499"/>
      <c r="V86" s="499"/>
      <c r="W86" s="499"/>
      <c r="X86" s="499"/>
      <c r="Y86" s="499"/>
      <c r="Z86" s="499"/>
      <c r="AA86" s="499"/>
      <c r="AB86" s="499"/>
      <c r="AC86" s="499"/>
    </row>
    <row r="87" s="196" customFormat="1" ht="15.75" spans="1:29">
      <c r="A87" s="516"/>
      <c r="B87" s="378"/>
      <c r="C87" s="518">
        <v>100</v>
      </c>
      <c r="D87" s="379">
        <f t="shared" ref="D87:M87" si="19">C87-$K25</f>
        <v>100</v>
      </c>
      <c r="E87" s="379">
        <f t="shared" si="19"/>
        <v>100</v>
      </c>
      <c r="F87" s="379">
        <f t="shared" si="19"/>
        <v>100</v>
      </c>
      <c r="G87" s="379">
        <f t="shared" si="19"/>
        <v>100</v>
      </c>
      <c r="H87" s="379">
        <f t="shared" si="19"/>
        <v>100</v>
      </c>
      <c r="I87" s="379">
        <f t="shared" si="19"/>
        <v>100</v>
      </c>
      <c r="J87" s="379">
        <f t="shared" si="19"/>
        <v>100</v>
      </c>
      <c r="K87" s="379">
        <f t="shared" si="19"/>
        <v>100</v>
      </c>
      <c r="L87" s="379">
        <f t="shared" si="19"/>
        <v>100</v>
      </c>
      <c r="M87" s="379">
        <f t="shared" si="19"/>
        <v>100</v>
      </c>
      <c r="N87" s="455"/>
      <c r="O87" s="455"/>
      <c r="P87" s="453"/>
      <c r="Q87" s="442"/>
      <c r="R87" s="499"/>
      <c r="S87" s="499"/>
      <c r="T87" s="499"/>
      <c r="U87" s="499"/>
      <c r="V87" s="499"/>
      <c r="W87" s="499"/>
      <c r="X87" s="499"/>
      <c r="Y87" s="499"/>
      <c r="Z87" s="499"/>
      <c r="AA87" s="499"/>
      <c r="AB87" s="499"/>
      <c r="AC87" s="499"/>
    </row>
    <row r="88" s="196" customFormat="1" ht="15.75" spans="1:29">
      <c r="A88" s="516"/>
      <c r="B88" s="376" t="str">
        <f>B26</f>
        <v>平面位置/可视性</v>
      </c>
      <c r="C88" s="384"/>
      <c r="D88" s="384"/>
      <c r="E88" s="384"/>
      <c r="F88" s="627"/>
      <c r="G88" s="384"/>
      <c r="H88" s="384"/>
      <c r="I88" s="384"/>
      <c r="J88" s="384"/>
      <c r="K88" s="384"/>
      <c r="L88" s="384"/>
      <c r="M88" s="529"/>
      <c r="N88" s="447"/>
      <c r="O88" s="447"/>
      <c r="P88" s="453"/>
      <c r="Q88" s="442"/>
      <c r="R88" s="499"/>
      <c r="S88" s="499"/>
      <c r="T88" s="499"/>
      <c r="U88" s="499"/>
      <c r="V88" s="499"/>
      <c r="W88" s="499"/>
      <c r="X88" s="499"/>
      <c r="Y88" s="499"/>
      <c r="Z88" s="499"/>
      <c r="AA88" s="499"/>
      <c r="AB88" s="499"/>
      <c r="AC88" s="499"/>
    </row>
    <row r="89" s="196" customFormat="1" ht="15.75" spans="1:29">
      <c r="A89" s="516"/>
      <c r="B89" s="378"/>
      <c r="C89" s="382"/>
      <c r="D89" s="375"/>
      <c r="E89" s="375"/>
      <c r="F89" s="375"/>
      <c r="G89" s="375"/>
      <c r="H89" s="375"/>
      <c r="I89" s="375"/>
      <c r="J89" s="375"/>
      <c r="K89" s="375"/>
      <c r="L89" s="375"/>
      <c r="M89" s="375"/>
      <c r="N89" s="455"/>
      <c r="O89" s="455"/>
      <c r="P89" s="453"/>
      <c r="Q89" s="442"/>
      <c r="R89" s="499"/>
      <c r="S89" s="499"/>
      <c r="T89" s="499"/>
      <c r="U89" s="499"/>
      <c r="V89" s="499"/>
      <c r="W89" s="499"/>
      <c r="X89" s="499"/>
      <c r="Y89" s="499"/>
      <c r="Z89" s="499"/>
      <c r="AA89" s="499"/>
      <c r="AB89" s="499"/>
      <c r="AC89" s="499"/>
    </row>
    <row r="90" s="198" customFormat="1" ht="15.75" spans="1:29">
      <c r="A90" s="383"/>
      <c r="B90" s="376" t="str">
        <f>B27</f>
        <v>人流量</v>
      </c>
      <c r="C90" s="384"/>
      <c r="D90" s="384"/>
      <c r="E90" s="384"/>
      <c r="F90" s="384"/>
      <c r="G90" s="384"/>
      <c r="H90" s="385"/>
      <c r="I90" s="385"/>
      <c r="J90" s="385"/>
      <c r="K90" s="385"/>
      <c r="L90" s="463"/>
      <c r="M90" s="464"/>
      <c r="N90" s="465"/>
      <c r="O90" s="465"/>
      <c r="P90" s="466"/>
      <c r="Q90" s="500"/>
      <c r="R90" s="501"/>
      <c r="S90" s="501"/>
      <c r="T90" s="501"/>
      <c r="U90" s="501"/>
      <c r="V90" s="501"/>
      <c r="W90" s="501"/>
      <c r="X90" s="501"/>
      <c r="Y90" s="501"/>
      <c r="Z90" s="501"/>
      <c r="AA90" s="501"/>
      <c r="AB90" s="501"/>
      <c r="AC90" s="501"/>
    </row>
    <row r="91" s="198" customFormat="1" ht="15.75" spans="1:29">
      <c r="A91" s="383"/>
      <c r="B91" s="378"/>
      <c r="C91" s="518">
        <v>100</v>
      </c>
      <c r="D91" s="379">
        <f>C91-$K27</f>
        <v>100</v>
      </c>
      <c r="E91" s="379">
        <f t="shared" ref="E91:M91" si="20">D91-$K27</f>
        <v>100</v>
      </c>
      <c r="F91" s="379">
        <f t="shared" si="20"/>
        <v>100</v>
      </c>
      <c r="G91" s="379">
        <f t="shared" si="20"/>
        <v>100</v>
      </c>
      <c r="H91" s="379">
        <f t="shared" si="20"/>
        <v>100</v>
      </c>
      <c r="I91" s="379">
        <f t="shared" si="20"/>
        <v>100</v>
      </c>
      <c r="J91" s="379">
        <f t="shared" si="20"/>
        <v>100</v>
      </c>
      <c r="K91" s="379">
        <f t="shared" si="20"/>
        <v>100</v>
      </c>
      <c r="L91" s="379">
        <f t="shared" si="20"/>
        <v>100</v>
      </c>
      <c r="M91" s="379">
        <f t="shared" si="20"/>
        <v>100</v>
      </c>
      <c r="N91" s="465"/>
      <c r="O91" s="465"/>
      <c r="P91" s="466"/>
      <c r="Q91" s="500"/>
      <c r="R91" s="501"/>
      <c r="S91" s="501"/>
      <c r="T91" s="501"/>
      <c r="U91" s="501"/>
      <c r="V91" s="501"/>
      <c r="W91" s="501"/>
      <c r="X91" s="501"/>
      <c r="Y91" s="501"/>
      <c r="Z91" s="501"/>
      <c r="AA91" s="501"/>
      <c r="AB91" s="501"/>
      <c r="AC91" s="501"/>
    </row>
    <row r="92" ht="15.75" spans="1:29">
      <c r="A92" s="373"/>
      <c r="B92" s="376" t="str">
        <f>B28</f>
        <v>楼层</v>
      </c>
      <c r="C92" s="384"/>
      <c r="D92" s="384"/>
      <c r="E92" s="384"/>
      <c r="F92" s="384"/>
      <c r="G92" s="384"/>
      <c r="H92" s="384"/>
      <c r="I92" s="384"/>
      <c r="J92" s="384"/>
      <c r="K92" s="384"/>
      <c r="L92" s="528"/>
      <c r="M92" s="529"/>
      <c r="N92" s="452"/>
      <c r="O92" s="452"/>
      <c r="P92" s="453"/>
      <c r="Q92" s="442"/>
      <c r="R92" s="349"/>
      <c r="S92" s="349"/>
      <c r="T92" s="349"/>
      <c r="U92" s="349"/>
      <c r="V92" s="349"/>
      <c r="W92" s="349"/>
      <c r="X92" s="349"/>
      <c r="Y92" s="349"/>
      <c r="Z92" s="349"/>
      <c r="AA92" s="349"/>
      <c r="AB92" s="349"/>
      <c r="AC92" s="349"/>
    </row>
    <row r="93" ht="15.75" spans="1:29">
      <c r="A93" s="373"/>
      <c r="B93" s="378"/>
      <c r="C93" s="375"/>
      <c r="D93" s="375"/>
      <c r="E93" s="375"/>
      <c r="F93" s="375"/>
      <c r="G93" s="375"/>
      <c r="H93" s="375"/>
      <c r="I93" s="375"/>
      <c r="J93" s="375"/>
      <c r="K93" s="375"/>
      <c r="L93" s="375"/>
      <c r="M93" s="454"/>
      <c r="N93" s="455"/>
      <c r="O93" s="455"/>
      <c r="P93" s="453"/>
      <c r="Q93" s="442"/>
      <c r="R93" s="349"/>
      <c r="S93" s="349"/>
      <c r="T93" s="349"/>
      <c r="U93" s="349"/>
      <c r="V93" s="349"/>
      <c r="W93" s="349"/>
      <c r="X93" s="349"/>
      <c r="Y93" s="349"/>
      <c r="Z93" s="349"/>
      <c r="AA93" s="349"/>
      <c r="AB93" s="349"/>
      <c r="AC93" s="349"/>
    </row>
    <row r="94" ht="15.75" spans="1:29">
      <c r="A94" s="373"/>
      <c r="B94" s="376">
        <f>B29</f>
        <v>111</v>
      </c>
      <c r="C94" s="384"/>
      <c r="D94" s="384"/>
      <c r="E94" s="384"/>
      <c r="F94" s="384"/>
      <c r="G94" s="515"/>
      <c r="H94" s="515"/>
      <c r="I94" s="515"/>
      <c r="J94" s="515"/>
      <c r="K94" s="525"/>
      <c r="L94" s="526"/>
      <c r="M94" s="527"/>
      <c r="N94" s="452"/>
      <c r="O94" s="452"/>
      <c r="P94" s="453"/>
      <c r="Q94" s="442"/>
      <c r="R94" s="349"/>
      <c r="S94" s="349"/>
      <c r="T94" s="349"/>
      <c r="U94" s="349"/>
      <c r="V94" s="349"/>
      <c r="W94" s="349"/>
      <c r="X94" s="349"/>
      <c r="Y94" s="349"/>
      <c r="Z94" s="349"/>
      <c r="AA94" s="349"/>
      <c r="AB94" s="349"/>
      <c r="AC94" s="349"/>
    </row>
    <row r="95" ht="15.75" spans="1:29">
      <c r="A95" s="373"/>
      <c r="B95" s="378"/>
      <c r="C95" s="382"/>
      <c r="D95" s="375"/>
      <c r="E95" s="375"/>
      <c r="F95" s="375"/>
      <c r="G95" s="375"/>
      <c r="H95" s="375"/>
      <c r="I95" s="375"/>
      <c r="J95" s="375"/>
      <c r="K95" s="375"/>
      <c r="L95" s="375"/>
      <c r="M95" s="454"/>
      <c r="N95" s="455"/>
      <c r="O95" s="455"/>
      <c r="P95" s="453"/>
      <c r="Q95" s="442"/>
      <c r="R95" s="349"/>
      <c r="S95" s="349"/>
      <c r="T95" s="349"/>
      <c r="U95" s="349"/>
      <c r="V95" s="349"/>
      <c r="W95" s="349"/>
      <c r="X95" s="349"/>
      <c r="Y95" s="349"/>
      <c r="Z95" s="349"/>
      <c r="AA95" s="349"/>
      <c r="AB95" s="349"/>
      <c r="AC95" s="349"/>
    </row>
    <row r="96" ht="15.75" spans="1:29">
      <c r="A96" s="373"/>
      <c r="B96" s="376">
        <f>B30</f>
        <v>111</v>
      </c>
      <c r="C96" s="384"/>
      <c r="D96" s="384"/>
      <c r="E96" s="384"/>
      <c r="F96" s="384"/>
      <c r="G96" s="515"/>
      <c r="H96" s="515"/>
      <c r="I96" s="515"/>
      <c r="J96" s="515"/>
      <c r="K96" s="525"/>
      <c r="L96" s="526"/>
      <c r="M96" s="527"/>
      <c r="N96" s="452"/>
      <c r="O96" s="452"/>
      <c r="P96" s="453"/>
      <c r="Q96" s="442"/>
      <c r="R96" s="349"/>
      <c r="S96" s="349"/>
      <c r="T96" s="349"/>
      <c r="U96" s="349"/>
      <c r="V96" s="349"/>
      <c r="W96" s="349"/>
      <c r="X96" s="349"/>
      <c r="Y96" s="349"/>
      <c r="Z96" s="349"/>
      <c r="AA96" s="349"/>
      <c r="AB96" s="349"/>
      <c r="AC96" s="349"/>
    </row>
    <row r="97" ht="15.75" spans="1:29">
      <c r="A97" s="373"/>
      <c r="B97" s="378"/>
      <c r="C97" s="382"/>
      <c r="D97" s="375"/>
      <c r="E97" s="375"/>
      <c r="F97" s="375"/>
      <c r="G97" s="375"/>
      <c r="H97" s="375"/>
      <c r="I97" s="375"/>
      <c r="J97" s="375"/>
      <c r="K97" s="375"/>
      <c r="L97" s="375"/>
      <c r="M97" s="454"/>
      <c r="N97" s="455"/>
      <c r="O97" s="455"/>
      <c r="P97" s="453"/>
      <c r="Q97" s="442"/>
      <c r="R97" s="349"/>
      <c r="S97" s="349"/>
      <c r="T97" s="349"/>
      <c r="U97" s="349"/>
      <c r="V97" s="349"/>
      <c r="W97" s="349"/>
      <c r="X97" s="349"/>
      <c r="Y97" s="349"/>
      <c r="Z97" s="349"/>
      <c r="AA97" s="349"/>
      <c r="AB97" s="349"/>
      <c r="AC97" s="349"/>
    </row>
    <row r="98" ht="15.75" spans="1:29">
      <c r="A98" s="373"/>
      <c r="B98" s="514">
        <f>B31</f>
        <v>111</v>
      </c>
      <c r="C98" s="384"/>
      <c r="D98" s="384"/>
      <c r="E98" s="384"/>
      <c r="F98" s="384"/>
      <c r="G98" s="600"/>
      <c r="H98" s="600"/>
      <c r="I98" s="600"/>
      <c r="J98" s="600"/>
      <c r="K98" s="608"/>
      <c r="L98" s="609"/>
      <c r="M98" s="610"/>
      <c r="N98" s="452"/>
      <c r="O98" s="452"/>
      <c r="P98" s="453"/>
      <c r="Q98" s="442"/>
      <c r="R98" s="349"/>
      <c r="S98" s="349"/>
      <c r="T98" s="349"/>
      <c r="U98" s="349"/>
      <c r="V98" s="349"/>
      <c r="W98" s="349"/>
      <c r="X98" s="349"/>
      <c r="Y98" s="349"/>
      <c r="Z98" s="349"/>
      <c r="AA98" s="349"/>
      <c r="AB98" s="349"/>
      <c r="AC98" s="349"/>
    </row>
    <row r="99" ht="15.75" spans="1:29">
      <c r="A99" s="601"/>
      <c r="B99" s="597"/>
      <c r="C99" s="598"/>
      <c r="D99" s="598"/>
      <c r="E99" s="598"/>
      <c r="F99" s="598"/>
      <c r="G99" s="602"/>
      <c r="H99" s="602"/>
      <c r="I99" s="602"/>
      <c r="J99" s="602"/>
      <c r="K99" s="602"/>
      <c r="L99" s="602"/>
      <c r="M99" s="611"/>
      <c r="N99" s="455"/>
      <c r="O99" s="455"/>
      <c r="P99" s="453"/>
      <c r="Q99" s="442"/>
      <c r="R99" s="349"/>
      <c r="S99" s="349"/>
      <c r="T99" s="349"/>
      <c r="U99" s="349"/>
      <c r="V99" s="349"/>
      <c r="W99" s="349"/>
      <c r="X99" s="349"/>
      <c r="Y99" s="349"/>
      <c r="Z99" s="349"/>
      <c r="AA99" s="349"/>
      <c r="AB99" s="349"/>
      <c r="AC99" s="349"/>
    </row>
    <row r="100" spans="1:29">
      <c r="A100" s="369" t="s">
        <v>1362</v>
      </c>
      <c r="B100" s="370" t="s">
        <v>2381</v>
      </c>
      <c r="C100" s="372"/>
      <c r="D100" s="372"/>
      <c r="E100" s="372"/>
      <c r="F100" s="372"/>
      <c r="G100" s="372"/>
      <c r="H100" s="372"/>
      <c r="I100" s="372"/>
      <c r="J100" s="372"/>
      <c r="K100" s="449"/>
      <c r="L100" s="450"/>
      <c r="M100" s="451"/>
      <c r="N100" s="452"/>
      <c r="O100" s="452"/>
      <c r="P100" s="453"/>
      <c r="Q100" s="442"/>
      <c r="R100" s="349"/>
      <c r="S100" s="349"/>
      <c r="T100" s="349"/>
      <c r="U100" s="349"/>
      <c r="V100" s="349"/>
      <c r="W100" s="349"/>
      <c r="X100" s="349"/>
      <c r="Y100" s="349"/>
      <c r="Z100" s="349"/>
      <c r="AA100" s="349"/>
      <c r="AB100" s="349"/>
      <c r="AC100" s="349"/>
    </row>
    <row r="101" ht="15.75" spans="1:29">
      <c r="A101" s="373"/>
      <c r="B101" s="378"/>
      <c r="C101" s="379">
        <v>100</v>
      </c>
      <c r="D101" s="379">
        <f t="shared" ref="D101:M101" si="21">C101-$K32</f>
        <v>100</v>
      </c>
      <c r="E101" s="379">
        <f t="shared" si="21"/>
        <v>100</v>
      </c>
      <c r="F101" s="379">
        <f t="shared" si="21"/>
        <v>100</v>
      </c>
      <c r="G101" s="379">
        <f t="shared" si="21"/>
        <v>100</v>
      </c>
      <c r="H101" s="379">
        <f t="shared" si="21"/>
        <v>100</v>
      </c>
      <c r="I101" s="379">
        <f t="shared" si="21"/>
        <v>100</v>
      </c>
      <c r="J101" s="379">
        <f t="shared" si="21"/>
        <v>100</v>
      </c>
      <c r="K101" s="379">
        <f t="shared" si="21"/>
        <v>100</v>
      </c>
      <c r="L101" s="379">
        <f t="shared" si="21"/>
        <v>100</v>
      </c>
      <c r="M101" s="459">
        <f t="shared" si="21"/>
        <v>100</v>
      </c>
      <c r="N101" s="455"/>
      <c r="O101" s="455"/>
      <c r="P101" s="453"/>
      <c r="Q101" s="442"/>
      <c r="R101" s="349"/>
      <c r="S101" s="349"/>
      <c r="T101" s="349"/>
      <c r="U101" s="349"/>
      <c r="V101" s="349"/>
      <c r="W101" s="349"/>
      <c r="X101" s="349"/>
      <c r="Y101" s="349"/>
      <c r="Z101" s="349"/>
      <c r="AA101" s="349"/>
      <c r="AB101" s="349"/>
      <c r="AC101" s="349"/>
    </row>
    <row r="102" ht="15.75" spans="1:29">
      <c r="A102" s="373"/>
      <c r="B102" s="376" t="s">
        <v>1571</v>
      </c>
      <c r="C102" s="389" t="str">
        <f>C103&amp;"(含)"&amp;"-"&amp;D103</f>
        <v>(含)-</v>
      </c>
      <c r="D102" s="389" t="str">
        <f t="shared" ref="D102:L102" si="22">D103&amp;"(含)"&amp;"-"&amp;E103</f>
        <v>(含)-</v>
      </c>
      <c r="E102" s="389" t="str">
        <f t="shared" si="22"/>
        <v>(含)-</v>
      </c>
      <c r="F102" s="389" t="str">
        <f t="shared" si="22"/>
        <v>(含)-</v>
      </c>
      <c r="G102" s="389" t="str">
        <f t="shared" si="22"/>
        <v>(含)-</v>
      </c>
      <c r="H102" s="389" t="str">
        <f t="shared" si="22"/>
        <v>(含)-</v>
      </c>
      <c r="I102" s="389" t="str">
        <f t="shared" si="22"/>
        <v>(含)-</v>
      </c>
      <c r="J102" s="389" t="str">
        <f t="shared" si="22"/>
        <v>(含)-</v>
      </c>
      <c r="K102" s="389" t="str">
        <f t="shared" si="22"/>
        <v>(含)-</v>
      </c>
      <c r="L102" s="389" t="str">
        <f t="shared" si="22"/>
        <v>(含)-</v>
      </c>
      <c r="M102" s="533" t="str">
        <f>M103&amp;"(含)"&amp;"-"&amp;P103</f>
        <v>(含)-</v>
      </c>
      <c r="N102" s="447"/>
      <c r="O102" s="447"/>
      <c r="P102" s="453"/>
      <c r="Q102" s="442"/>
      <c r="R102" s="349"/>
      <c r="S102" s="349"/>
      <c r="T102" s="349"/>
      <c r="U102" s="349"/>
      <c r="V102" s="349"/>
      <c r="W102" s="349"/>
      <c r="X102" s="349"/>
      <c r="Y102" s="349"/>
      <c r="Z102" s="349"/>
      <c r="AA102" s="349"/>
      <c r="AB102" s="349"/>
      <c r="AC102" s="349"/>
    </row>
    <row r="103" s="198" customFormat="1" ht="15" spans="1:29">
      <c r="A103" s="521"/>
      <c r="B103" s="603"/>
      <c r="C103" s="520"/>
      <c r="D103" s="520"/>
      <c r="E103" s="520"/>
      <c r="F103" s="520"/>
      <c r="G103" s="520"/>
      <c r="H103" s="520"/>
      <c r="I103" s="520"/>
      <c r="J103" s="534"/>
      <c r="K103" s="534"/>
      <c r="L103" s="535"/>
      <c r="M103" s="536"/>
      <c r="N103" s="465"/>
      <c r="O103" s="465"/>
      <c r="P103" s="466"/>
      <c r="Q103" s="500"/>
      <c r="R103" s="501"/>
      <c r="S103" s="501"/>
      <c r="T103" s="501"/>
      <c r="U103" s="501"/>
      <c r="V103" s="501"/>
      <c r="W103" s="501"/>
      <c r="X103" s="501"/>
      <c r="Y103" s="501"/>
      <c r="Z103" s="501"/>
      <c r="AA103" s="501"/>
      <c r="AB103" s="501"/>
      <c r="AC103" s="501"/>
    </row>
    <row r="104" s="198" customFormat="1" ht="15.75" spans="1:29">
      <c r="A104" s="383"/>
      <c r="B104" s="378"/>
      <c r="C104" s="382"/>
      <c r="D104" s="375"/>
      <c r="E104" s="375"/>
      <c r="F104" s="375"/>
      <c r="G104" s="375"/>
      <c r="H104" s="375"/>
      <c r="I104" s="375"/>
      <c r="J104" s="375"/>
      <c r="K104" s="375"/>
      <c r="L104" s="375"/>
      <c r="M104" s="454"/>
      <c r="N104" s="455"/>
      <c r="O104" s="455"/>
      <c r="P104" s="466"/>
      <c r="Q104" s="500"/>
      <c r="R104" s="501"/>
      <c r="S104" s="501"/>
      <c r="T104" s="501"/>
      <c r="U104" s="501"/>
      <c r="V104" s="501"/>
      <c r="W104" s="501"/>
      <c r="X104" s="501"/>
      <c r="Y104" s="501"/>
      <c r="Z104" s="501"/>
      <c r="AA104" s="501"/>
      <c r="AB104" s="501"/>
      <c r="AC104" s="501"/>
    </row>
    <row r="105" ht="15.75" spans="1:29">
      <c r="A105" s="519"/>
      <c r="B105" s="376" t="s">
        <v>1572</v>
      </c>
      <c r="C105" s="384"/>
      <c r="D105" s="384"/>
      <c r="E105" s="515"/>
      <c r="F105" s="515"/>
      <c r="G105" s="515"/>
      <c r="H105" s="515"/>
      <c r="I105" s="515"/>
      <c r="J105" s="515"/>
      <c r="K105" s="525"/>
      <c r="L105" s="526"/>
      <c r="M105" s="527"/>
      <c r="N105" s="452"/>
      <c r="O105" s="452"/>
      <c r="P105" s="453"/>
      <c r="Q105" s="442"/>
      <c r="R105" s="349"/>
      <c r="S105" s="349"/>
      <c r="T105" s="349"/>
      <c r="U105" s="349"/>
      <c r="V105" s="349"/>
      <c r="W105" s="349"/>
      <c r="X105" s="349"/>
      <c r="Y105" s="349"/>
      <c r="Z105" s="349"/>
      <c r="AA105" s="349"/>
      <c r="AB105" s="349"/>
      <c r="AC105" s="349"/>
    </row>
    <row r="106" ht="15.75" spans="1:29">
      <c r="A106" s="373"/>
      <c r="B106" s="378"/>
      <c r="C106" s="379">
        <v>100</v>
      </c>
      <c r="D106" s="379">
        <f t="shared" ref="D106:M106" si="23">C106-$K34</f>
        <v>100</v>
      </c>
      <c r="E106" s="379">
        <f t="shared" si="23"/>
        <v>100</v>
      </c>
      <c r="F106" s="379">
        <f t="shared" si="23"/>
        <v>100</v>
      </c>
      <c r="G106" s="379">
        <f t="shared" si="23"/>
        <v>100</v>
      </c>
      <c r="H106" s="379">
        <f t="shared" si="23"/>
        <v>100</v>
      </c>
      <c r="I106" s="379">
        <f t="shared" si="23"/>
        <v>100</v>
      </c>
      <c r="J106" s="379">
        <f t="shared" si="23"/>
        <v>100</v>
      </c>
      <c r="K106" s="379">
        <f t="shared" si="23"/>
        <v>100</v>
      </c>
      <c r="L106" s="379">
        <f t="shared" si="23"/>
        <v>100</v>
      </c>
      <c r="M106" s="459">
        <f t="shared" si="23"/>
        <v>100</v>
      </c>
      <c r="N106" s="455"/>
      <c r="O106" s="455"/>
      <c r="P106" s="453"/>
      <c r="Q106" s="442"/>
      <c r="R106" s="349"/>
      <c r="S106" s="349"/>
      <c r="T106" s="349"/>
      <c r="U106" s="349"/>
      <c r="V106" s="349"/>
      <c r="W106" s="349"/>
      <c r="X106" s="349"/>
      <c r="Y106" s="349"/>
      <c r="Z106" s="349"/>
      <c r="AA106" s="349"/>
      <c r="AB106" s="349"/>
      <c r="AC106" s="349"/>
    </row>
    <row r="107" ht="15.75" spans="1:29">
      <c r="A107" s="519"/>
      <c r="B107" s="376" t="s">
        <v>1573</v>
      </c>
      <c r="C107" s="384"/>
      <c r="D107" s="384"/>
      <c r="E107" s="384"/>
      <c r="F107" s="515"/>
      <c r="G107" s="515"/>
      <c r="H107" s="515"/>
      <c r="I107" s="515"/>
      <c r="J107" s="515"/>
      <c r="K107" s="525"/>
      <c r="L107" s="526"/>
      <c r="M107" s="527"/>
      <c r="N107" s="452"/>
      <c r="O107" s="452"/>
      <c r="P107" s="453"/>
      <c r="Q107" s="442"/>
      <c r="R107" s="349"/>
      <c r="S107" s="349"/>
      <c r="T107" s="349"/>
      <c r="U107" s="349"/>
      <c r="V107" s="349"/>
      <c r="W107" s="349"/>
      <c r="X107" s="349"/>
      <c r="Y107" s="349"/>
      <c r="Z107" s="349"/>
      <c r="AA107" s="349"/>
      <c r="AB107" s="349"/>
      <c r="AC107" s="349"/>
    </row>
    <row r="108" ht="15.75" spans="1:29">
      <c r="A108" s="373"/>
      <c r="B108" s="378"/>
      <c r="C108" s="379">
        <v>100</v>
      </c>
      <c r="D108" s="379">
        <f t="shared" ref="D108:M108" si="24">C108-$K35</f>
        <v>100</v>
      </c>
      <c r="E108" s="379">
        <f t="shared" si="24"/>
        <v>100</v>
      </c>
      <c r="F108" s="379">
        <f t="shared" si="24"/>
        <v>100</v>
      </c>
      <c r="G108" s="379">
        <f t="shared" si="24"/>
        <v>100</v>
      </c>
      <c r="H108" s="379">
        <f t="shared" si="24"/>
        <v>100</v>
      </c>
      <c r="I108" s="379">
        <f t="shared" si="24"/>
        <v>100</v>
      </c>
      <c r="J108" s="379">
        <f t="shared" si="24"/>
        <v>100</v>
      </c>
      <c r="K108" s="379">
        <f t="shared" si="24"/>
        <v>100</v>
      </c>
      <c r="L108" s="379">
        <f t="shared" si="24"/>
        <v>100</v>
      </c>
      <c r="M108" s="459">
        <f t="shared" si="24"/>
        <v>100</v>
      </c>
      <c r="N108" s="455"/>
      <c r="O108" s="455"/>
      <c r="P108" s="453"/>
      <c r="Q108" s="442"/>
      <c r="R108" s="349"/>
      <c r="S108" s="349"/>
      <c r="T108" s="349"/>
      <c r="U108" s="349"/>
      <c r="V108" s="349"/>
      <c r="W108" s="349"/>
      <c r="X108" s="349"/>
      <c r="Y108" s="349"/>
      <c r="Z108" s="349"/>
      <c r="AA108" s="349"/>
      <c r="AB108" s="349"/>
      <c r="AC108" s="349"/>
    </row>
    <row r="109" ht="15.75" spans="1:29">
      <c r="A109" s="519"/>
      <c r="B109" s="376" t="s">
        <v>1575</v>
      </c>
      <c r="C109" s="389" t="str">
        <f>C110&amp;"(含)"&amp;"-"&amp;D110</f>
        <v>0.5(含)-0.6</v>
      </c>
      <c r="D109" s="389" t="str">
        <f>D110&amp;"(含)"&amp;"-"&amp;E110</f>
        <v>0.6(含)-0.7</v>
      </c>
      <c r="E109" s="389" t="str">
        <f>E110&amp;"(含)"&amp;"-"&amp;F110</f>
        <v>0.7(含)-0.8</v>
      </c>
      <c r="F109" s="389" t="str">
        <f>F110&amp;"(含)"&amp;"-"&amp;G110</f>
        <v>0.8(含)-0.9</v>
      </c>
      <c r="G109" s="389" t="str">
        <f>G110&amp;"(含)"&amp;"-"&amp;ROUND(H110,0)</f>
        <v>0.9(含)-1</v>
      </c>
      <c r="H109" s="389"/>
      <c r="I109" s="515"/>
      <c r="J109" s="515"/>
      <c r="K109" s="525"/>
      <c r="L109" s="526"/>
      <c r="M109" s="527"/>
      <c r="N109" s="452"/>
      <c r="O109" s="452"/>
      <c r="P109" s="453"/>
      <c r="Q109" s="442"/>
      <c r="R109" s="349"/>
      <c r="S109" s="349"/>
      <c r="T109" s="349"/>
      <c r="U109" s="349"/>
      <c r="V109" s="349"/>
      <c r="W109" s="349"/>
      <c r="X109" s="349"/>
      <c r="Y109" s="349"/>
      <c r="Z109" s="349"/>
      <c r="AA109" s="349"/>
      <c r="AB109" s="349"/>
      <c r="AC109" s="349"/>
    </row>
    <row r="110" ht="15" spans="1:29">
      <c r="A110" s="519"/>
      <c r="B110" s="514"/>
      <c r="C110" s="517">
        <v>0.5</v>
      </c>
      <c r="D110" s="517">
        <v>0.6</v>
      </c>
      <c r="E110" s="517">
        <v>0.7</v>
      </c>
      <c r="F110" s="517">
        <v>0.8</v>
      </c>
      <c r="G110" s="517">
        <v>0.9</v>
      </c>
      <c r="H110" s="517">
        <v>1.0001</v>
      </c>
      <c r="I110" s="572"/>
      <c r="J110" s="572"/>
      <c r="K110" s="573"/>
      <c r="L110" s="574"/>
      <c r="M110" s="575"/>
      <c r="N110" s="452"/>
      <c r="O110" s="452"/>
      <c r="P110" s="453"/>
      <c r="Q110" s="442"/>
      <c r="R110" s="349"/>
      <c r="S110" s="349"/>
      <c r="T110" s="349"/>
      <c r="U110" s="349"/>
      <c r="V110" s="349"/>
      <c r="W110" s="349"/>
      <c r="X110" s="349"/>
      <c r="Y110" s="349"/>
      <c r="Z110" s="349"/>
      <c r="AA110" s="349"/>
      <c r="AB110" s="349"/>
      <c r="AC110" s="349"/>
    </row>
    <row r="111" ht="15.75" spans="1:29">
      <c r="A111" s="373"/>
      <c r="B111" s="378"/>
      <c r="C111" s="518">
        <v>100</v>
      </c>
      <c r="D111" s="379">
        <f>C111+$K36</f>
        <v>100</v>
      </c>
      <c r="E111" s="379">
        <f t="shared" ref="E111:M111" si="25">D111+$K36</f>
        <v>100</v>
      </c>
      <c r="F111" s="379">
        <f t="shared" si="25"/>
        <v>100</v>
      </c>
      <c r="G111" s="379">
        <f t="shared" si="25"/>
        <v>100</v>
      </c>
      <c r="H111" s="379">
        <f t="shared" si="25"/>
        <v>100</v>
      </c>
      <c r="I111" s="379">
        <f t="shared" si="25"/>
        <v>100</v>
      </c>
      <c r="J111" s="379">
        <f t="shared" si="25"/>
        <v>100</v>
      </c>
      <c r="K111" s="379">
        <f t="shared" si="25"/>
        <v>100</v>
      </c>
      <c r="L111" s="379">
        <f t="shared" si="25"/>
        <v>100</v>
      </c>
      <c r="M111" s="379">
        <f t="shared" si="25"/>
        <v>100</v>
      </c>
      <c r="N111" s="455"/>
      <c r="O111" s="455"/>
      <c r="P111" s="453"/>
      <c r="Q111" s="442"/>
      <c r="R111" s="349"/>
      <c r="S111" s="349"/>
      <c r="T111" s="349"/>
      <c r="U111" s="349"/>
      <c r="V111" s="349"/>
      <c r="W111" s="349"/>
      <c r="X111" s="349"/>
      <c r="Y111" s="349"/>
      <c r="Z111" s="349"/>
      <c r="AA111" s="349"/>
      <c r="AB111" s="349"/>
      <c r="AC111" s="349"/>
    </row>
    <row r="112" s="198" customFormat="1" ht="15.75" spans="1:29">
      <c r="A112" s="521"/>
      <c r="B112" s="388" t="s">
        <v>1578</v>
      </c>
      <c r="C112" s="384"/>
      <c r="D112" s="384"/>
      <c r="E112" s="384"/>
      <c r="F112" s="384"/>
      <c r="G112" s="384"/>
      <c r="H112" s="515"/>
      <c r="I112" s="515"/>
      <c r="J112" s="515"/>
      <c r="K112" s="525"/>
      <c r="L112" s="526"/>
      <c r="M112" s="527"/>
      <c r="N112" s="465"/>
      <c r="O112" s="465"/>
      <c r="P112" s="466"/>
      <c r="Q112" s="500"/>
      <c r="R112" s="501"/>
      <c r="S112" s="501"/>
      <c r="T112" s="501"/>
      <c r="U112" s="501"/>
      <c r="V112" s="501"/>
      <c r="W112" s="501"/>
      <c r="X112" s="501"/>
      <c r="Y112" s="501"/>
      <c r="Z112" s="501"/>
      <c r="AA112" s="501"/>
      <c r="AB112" s="501"/>
      <c r="AC112" s="501"/>
    </row>
    <row r="113" s="198" customFormat="1" ht="15.75" spans="1:29">
      <c r="A113" s="383"/>
      <c r="B113" s="378"/>
      <c r="C113" s="379">
        <v>100</v>
      </c>
      <c r="D113" s="379">
        <f>C113-$K37</f>
        <v>100</v>
      </c>
      <c r="E113" s="379">
        <f t="shared" ref="E113:M113" si="26">D113-$K37</f>
        <v>100</v>
      </c>
      <c r="F113" s="379">
        <f t="shared" si="26"/>
        <v>100</v>
      </c>
      <c r="G113" s="379">
        <f t="shared" si="26"/>
        <v>100</v>
      </c>
      <c r="H113" s="379">
        <f t="shared" si="26"/>
        <v>100</v>
      </c>
      <c r="I113" s="379">
        <f t="shared" si="26"/>
        <v>100</v>
      </c>
      <c r="J113" s="379">
        <f t="shared" si="26"/>
        <v>100</v>
      </c>
      <c r="K113" s="379">
        <f t="shared" si="26"/>
        <v>100</v>
      </c>
      <c r="L113" s="379">
        <f t="shared" si="26"/>
        <v>100</v>
      </c>
      <c r="M113" s="379">
        <f t="shared" si="26"/>
        <v>100</v>
      </c>
      <c r="N113" s="465"/>
      <c r="O113" s="465"/>
      <c r="P113" s="466"/>
      <c r="Q113" s="500"/>
      <c r="R113" s="501"/>
      <c r="S113" s="501"/>
      <c r="T113" s="501"/>
      <c r="U113" s="501"/>
      <c r="V113" s="501"/>
      <c r="W113" s="501"/>
      <c r="X113" s="501"/>
      <c r="Y113" s="501"/>
      <c r="Z113" s="501"/>
      <c r="AA113" s="501"/>
      <c r="AB113" s="501"/>
      <c r="AC113" s="501"/>
    </row>
    <row r="114" ht="15.75" spans="1:29">
      <c r="A114" s="519"/>
      <c r="B114" s="376" t="s">
        <v>2382</v>
      </c>
      <c r="C114" s="384"/>
      <c r="D114" s="384"/>
      <c r="E114" s="515"/>
      <c r="F114" s="515"/>
      <c r="G114" s="515"/>
      <c r="H114" s="515"/>
      <c r="I114" s="515"/>
      <c r="J114" s="515"/>
      <c r="K114" s="525"/>
      <c r="L114" s="526"/>
      <c r="M114" s="527"/>
      <c r="N114" s="452"/>
      <c r="O114" s="452"/>
      <c r="P114" s="453"/>
      <c r="Q114" s="442"/>
      <c r="R114" s="349"/>
      <c r="S114" s="349"/>
      <c r="T114" s="349"/>
      <c r="U114" s="349"/>
      <c r="V114" s="349"/>
      <c r="W114" s="349"/>
      <c r="X114" s="349"/>
      <c r="Y114" s="349"/>
      <c r="Z114" s="349"/>
      <c r="AA114" s="349"/>
      <c r="AB114" s="349"/>
      <c r="AC114" s="349"/>
    </row>
    <row r="115" ht="15.75" spans="1:29">
      <c r="A115" s="373"/>
      <c r="B115" s="378"/>
      <c r="C115" s="379">
        <v>100</v>
      </c>
      <c r="D115" s="379">
        <f t="shared" ref="D115:M115" si="27">C115-$K38</f>
        <v>100</v>
      </c>
      <c r="E115" s="379">
        <f t="shared" si="27"/>
        <v>100</v>
      </c>
      <c r="F115" s="379">
        <f t="shared" si="27"/>
        <v>100</v>
      </c>
      <c r="G115" s="379">
        <f t="shared" si="27"/>
        <v>100</v>
      </c>
      <c r="H115" s="379">
        <f t="shared" si="27"/>
        <v>100</v>
      </c>
      <c r="I115" s="379">
        <f t="shared" si="27"/>
        <v>100</v>
      </c>
      <c r="J115" s="379">
        <f t="shared" si="27"/>
        <v>100</v>
      </c>
      <c r="K115" s="379">
        <f t="shared" si="27"/>
        <v>100</v>
      </c>
      <c r="L115" s="379">
        <f t="shared" si="27"/>
        <v>100</v>
      </c>
      <c r="M115" s="459">
        <f t="shared" si="27"/>
        <v>100</v>
      </c>
      <c r="N115" s="455"/>
      <c r="O115" s="455"/>
      <c r="P115" s="453"/>
      <c r="Q115" s="442"/>
      <c r="R115" s="349"/>
      <c r="S115" s="349"/>
      <c r="T115" s="349"/>
      <c r="U115" s="349"/>
      <c r="V115" s="349"/>
      <c r="W115" s="349"/>
      <c r="X115" s="349"/>
      <c r="Y115" s="349"/>
      <c r="Z115" s="349"/>
      <c r="AA115" s="349"/>
      <c r="AB115" s="349"/>
      <c r="AC115" s="349"/>
    </row>
    <row r="116" ht="15.75" spans="1:29">
      <c r="A116" s="519"/>
      <c r="B116" s="376" t="s">
        <v>1579</v>
      </c>
      <c r="C116" s="384"/>
      <c r="D116" s="384"/>
      <c r="E116" s="384"/>
      <c r="F116" s="384"/>
      <c r="G116" s="384"/>
      <c r="H116" s="515"/>
      <c r="I116" s="515"/>
      <c r="J116" s="515"/>
      <c r="K116" s="525"/>
      <c r="L116" s="526"/>
      <c r="M116" s="527"/>
      <c r="N116" s="452"/>
      <c r="O116" s="452"/>
      <c r="P116" s="453"/>
      <c r="Q116" s="442"/>
      <c r="R116" s="349"/>
      <c r="S116" s="349"/>
      <c r="T116" s="349"/>
      <c r="U116" s="349"/>
      <c r="V116" s="349"/>
      <c r="W116" s="349"/>
      <c r="X116" s="349"/>
      <c r="Y116" s="349"/>
      <c r="Z116" s="349"/>
      <c r="AA116" s="349"/>
      <c r="AB116" s="349"/>
      <c r="AC116" s="349"/>
    </row>
    <row r="117" ht="15.75" spans="1:29">
      <c r="A117" s="373"/>
      <c r="B117" s="378"/>
      <c r="C117" s="379">
        <v>100</v>
      </c>
      <c r="D117" s="379">
        <f>C117-$K39</f>
        <v>100</v>
      </c>
      <c r="E117" s="379">
        <f>D117-$K39</f>
        <v>100</v>
      </c>
      <c r="F117" s="379">
        <f>E117-$K39</f>
        <v>100</v>
      </c>
      <c r="G117" s="379">
        <f>F117-$K39</f>
        <v>100</v>
      </c>
      <c r="H117" s="379"/>
      <c r="I117" s="379"/>
      <c r="J117" s="379"/>
      <c r="K117" s="379"/>
      <c r="L117" s="379"/>
      <c r="M117" s="459"/>
      <c r="N117" s="455"/>
      <c r="O117" s="455"/>
      <c r="P117" s="453"/>
      <c r="Q117" s="442"/>
      <c r="R117" s="349"/>
      <c r="S117" s="349"/>
      <c r="T117" s="349"/>
      <c r="U117" s="349"/>
      <c r="V117" s="349"/>
      <c r="W117" s="349"/>
      <c r="X117" s="349"/>
      <c r="Y117" s="349"/>
      <c r="Z117" s="349"/>
      <c r="AA117" s="349"/>
      <c r="AB117" s="349"/>
      <c r="AC117" s="349"/>
    </row>
    <row r="118" ht="15.75" spans="1:29">
      <c r="A118" s="519"/>
      <c r="B118" s="376" t="s">
        <v>1595</v>
      </c>
      <c r="C118" s="628"/>
      <c r="D118" s="628"/>
      <c r="E118" s="628"/>
      <c r="F118" s="628"/>
      <c r="G118" s="628"/>
      <c r="H118" s="385"/>
      <c r="I118" s="385"/>
      <c r="J118" s="385"/>
      <c r="K118" s="385"/>
      <c r="L118" s="463"/>
      <c r="M118" s="464"/>
      <c r="N118" s="452"/>
      <c r="O118" s="452"/>
      <c r="P118" s="453"/>
      <c r="Q118" s="442"/>
      <c r="R118" s="349"/>
      <c r="S118" s="349"/>
      <c r="T118" s="349"/>
      <c r="U118" s="349"/>
      <c r="V118" s="349"/>
      <c r="W118" s="349"/>
      <c r="X118" s="349"/>
      <c r="Y118" s="349"/>
      <c r="Z118" s="349"/>
      <c r="AA118" s="349"/>
      <c r="AB118" s="349"/>
      <c r="AC118" s="349"/>
    </row>
    <row r="119" ht="15.75" spans="1:29">
      <c r="A119" s="373"/>
      <c r="B119" s="378"/>
      <c r="C119" s="382"/>
      <c r="D119" s="375"/>
      <c r="E119" s="375"/>
      <c r="F119" s="375"/>
      <c r="G119" s="375"/>
      <c r="H119" s="375"/>
      <c r="I119" s="375"/>
      <c r="J119" s="375"/>
      <c r="K119" s="375"/>
      <c r="L119" s="375"/>
      <c r="M119" s="454"/>
      <c r="N119" s="455"/>
      <c r="O119" s="455"/>
      <c r="P119" s="453"/>
      <c r="Q119" s="442"/>
      <c r="R119" s="349"/>
      <c r="S119" s="349"/>
      <c r="T119" s="349"/>
      <c r="U119" s="349"/>
      <c r="V119" s="349"/>
      <c r="W119" s="349"/>
      <c r="X119" s="349"/>
      <c r="Y119" s="349"/>
      <c r="Z119" s="349"/>
      <c r="AA119" s="349"/>
      <c r="AB119" s="349"/>
      <c r="AC119" s="349"/>
    </row>
    <row r="120" s="198" customFormat="1" ht="15.75" spans="1:29">
      <c r="A120" s="521"/>
      <c r="B120" s="376" t="s">
        <v>2384</v>
      </c>
      <c r="C120" s="515"/>
      <c r="D120" s="515"/>
      <c r="E120" s="515"/>
      <c r="F120" s="515"/>
      <c r="G120" s="385"/>
      <c r="H120" s="385"/>
      <c r="I120" s="385"/>
      <c r="J120" s="385"/>
      <c r="K120" s="385"/>
      <c r="L120" s="463"/>
      <c r="M120" s="464"/>
      <c r="N120" s="465"/>
      <c r="O120" s="465"/>
      <c r="P120" s="466"/>
      <c r="Q120" s="500"/>
      <c r="R120" s="501"/>
      <c r="S120" s="501"/>
      <c r="T120" s="501"/>
      <c r="U120" s="501"/>
      <c r="V120" s="501"/>
      <c r="W120" s="501"/>
      <c r="X120" s="501"/>
      <c r="Y120" s="501"/>
      <c r="Z120" s="501"/>
      <c r="AA120" s="501"/>
      <c r="AB120" s="501"/>
      <c r="AC120" s="501"/>
    </row>
    <row r="121" s="198" customFormat="1" ht="15.75" spans="1:29">
      <c r="A121" s="383"/>
      <c r="B121" s="374"/>
      <c r="C121" s="518">
        <v>100</v>
      </c>
      <c r="D121" s="379">
        <f>C121-$K41</f>
        <v>100</v>
      </c>
      <c r="E121" s="379">
        <f t="shared" ref="E121:M121" si="28">D121-$K41</f>
        <v>100</v>
      </c>
      <c r="F121" s="379">
        <f t="shared" si="28"/>
        <v>100</v>
      </c>
      <c r="G121" s="379">
        <f t="shared" si="28"/>
        <v>100</v>
      </c>
      <c r="H121" s="379">
        <f t="shared" si="28"/>
        <v>100</v>
      </c>
      <c r="I121" s="379">
        <f t="shared" si="28"/>
        <v>100</v>
      </c>
      <c r="J121" s="379">
        <f t="shared" si="28"/>
        <v>100</v>
      </c>
      <c r="K121" s="379">
        <f t="shared" si="28"/>
        <v>100</v>
      </c>
      <c r="L121" s="379">
        <f t="shared" si="28"/>
        <v>100</v>
      </c>
      <c r="M121" s="459">
        <f t="shared" si="28"/>
        <v>100</v>
      </c>
      <c r="N121" s="465"/>
      <c r="O121" s="465"/>
      <c r="P121" s="466"/>
      <c r="Q121" s="500"/>
      <c r="R121" s="501"/>
      <c r="S121" s="501"/>
      <c r="T121" s="501"/>
      <c r="U121" s="501"/>
      <c r="V121" s="501"/>
      <c r="W121" s="501"/>
      <c r="X121" s="501"/>
      <c r="Y121" s="501"/>
      <c r="Z121" s="501"/>
      <c r="AA121" s="501"/>
      <c r="AB121" s="501"/>
      <c r="AC121" s="501"/>
    </row>
    <row r="122" ht="15.75" spans="1:29">
      <c r="A122" s="519"/>
      <c r="B122" s="376" t="s">
        <v>1581</v>
      </c>
      <c r="C122" s="384"/>
      <c r="D122" s="384"/>
      <c r="E122" s="384"/>
      <c r="F122" s="515"/>
      <c r="G122" s="515"/>
      <c r="H122" s="515"/>
      <c r="I122" s="515"/>
      <c r="J122" s="515"/>
      <c r="K122" s="525"/>
      <c r="L122" s="526"/>
      <c r="M122" s="527"/>
      <c r="N122" s="452"/>
      <c r="O122" s="452"/>
      <c r="P122" s="453"/>
      <c r="Q122" s="442"/>
      <c r="R122" s="349"/>
      <c r="S122" s="349"/>
      <c r="T122" s="349"/>
      <c r="U122" s="349"/>
      <c r="V122" s="349"/>
      <c r="W122" s="349"/>
      <c r="X122" s="349"/>
      <c r="Y122" s="349"/>
      <c r="Z122" s="349"/>
      <c r="AA122" s="349"/>
      <c r="AB122" s="349"/>
      <c r="AC122" s="349"/>
    </row>
    <row r="123" ht="15.75" spans="1:29">
      <c r="A123" s="373"/>
      <c r="B123" s="378"/>
      <c r="C123" s="379">
        <v>100</v>
      </c>
      <c r="D123" s="379">
        <f t="shared" ref="D123:M123" si="29">C123-$K42</f>
        <v>100</v>
      </c>
      <c r="E123" s="379">
        <f t="shared" si="29"/>
        <v>100</v>
      </c>
      <c r="F123" s="379">
        <f t="shared" si="29"/>
        <v>100</v>
      </c>
      <c r="G123" s="379">
        <f t="shared" si="29"/>
        <v>100</v>
      </c>
      <c r="H123" s="379">
        <f t="shared" si="29"/>
        <v>100</v>
      </c>
      <c r="I123" s="379">
        <f t="shared" si="29"/>
        <v>100</v>
      </c>
      <c r="J123" s="379">
        <f t="shared" si="29"/>
        <v>100</v>
      </c>
      <c r="K123" s="379">
        <f t="shared" si="29"/>
        <v>100</v>
      </c>
      <c r="L123" s="379">
        <f t="shared" si="29"/>
        <v>100</v>
      </c>
      <c r="M123" s="459">
        <f t="shared" si="29"/>
        <v>100</v>
      </c>
      <c r="N123" s="455"/>
      <c r="O123" s="455"/>
      <c r="P123" s="453"/>
      <c r="Q123" s="442"/>
      <c r="R123" s="349"/>
      <c r="S123" s="349"/>
      <c r="T123" s="349"/>
      <c r="U123" s="349"/>
      <c r="V123" s="349"/>
      <c r="W123" s="349"/>
      <c r="X123" s="349"/>
      <c r="Y123" s="349"/>
      <c r="Z123" s="349"/>
      <c r="AA123" s="349"/>
      <c r="AB123" s="349"/>
      <c r="AC123" s="349"/>
    </row>
    <row r="124" ht="15.75" spans="1:29">
      <c r="A124" s="519"/>
      <c r="B124" s="376" t="s">
        <v>235</v>
      </c>
      <c r="C124" s="389" t="s">
        <v>246</v>
      </c>
      <c r="D124" s="389" t="s">
        <v>258</v>
      </c>
      <c r="E124" s="389" t="s">
        <v>269</v>
      </c>
      <c r="F124" s="389" t="s">
        <v>279</v>
      </c>
      <c r="G124" s="389" t="s">
        <v>287</v>
      </c>
      <c r="H124" s="377"/>
      <c r="I124" s="377"/>
      <c r="J124" s="377"/>
      <c r="K124" s="456"/>
      <c r="L124" s="457"/>
      <c r="M124" s="458"/>
      <c r="N124" s="452"/>
      <c r="O124" s="452"/>
      <c r="P124" s="466"/>
      <c r="Q124" s="442"/>
      <c r="R124" s="349"/>
      <c r="S124" s="349"/>
      <c r="T124" s="349"/>
      <c r="U124" s="349"/>
      <c r="V124" s="349"/>
      <c r="W124" s="349"/>
      <c r="X124" s="349"/>
      <c r="Y124" s="349"/>
      <c r="Z124" s="349"/>
      <c r="AA124" s="349"/>
      <c r="AB124" s="349"/>
      <c r="AC124" s="349"/>
    </row>
    <row r="125" ht="15.75" spans="1:29">
      <c r="A125" s="373"/>
      <c r="B125" s="378"/>
      <c r="C125" s="379">
        <v>100</v>
      </c>
      <c r="D125" s="379">
        <f>C125-$K43</f>
        <v>100</v>
      </c>
      <c r="E125" s="379">
        <f>D125-$K43</f>
        <v>100</v>
      </c>
      <c r="F125" s="379">
        <f>E125-$K43</f>
        <v>100</v>
      </c>
      <c r="G125" s="379">
        <f>F125-$K43</f>
        <v>100</v>
      </c>
      <c r="H125" s="379"/>
      <c r="I125" s="379"/>
      <c r="J125" s="379"/>
      <c r="K125" s="379"/>
      <c r="L125" s="379"/>
      <c r="M125" s="459"/>
      <c r="N125" s="455"/>
      <c r="O125" s="455"/>
      <c r="P125" s="453"/>
      <c r="Q125" s="442"/>
      <c r="R125" s="349"/>
      <c r="S125" s="349"/>
      <c r="T125" s="349"/>
      <c r="U125" s="349"/>
      <c r="V125" s="349"/>
      <c r="W125" s="349"/>
      <c r="X125" s="349"/>
      <c r="Y125" s="349"/>
      <c r="Z125" s="349"/>
      <c r="AA125" s="349"/>
      <c r="AB125" s="349"/>
      <c r="AC125" s="349"/>
    </row>
    <row r="126" s="198" customFormat="1" ht="15.75" spans="1:29">
      <c r="A126" s="521"/>
      <c r="B126" s="376">
        <f>B44</f>
        <v>111</v>
      </c>
      <c r="C126" s="384"/>
      <c r="D126" s="384"/>
      <c r="E126" s="384"/>
      <c r="F126" s="384"/>
      <c r="G126" s="384"/>
      <c r="H126" s="385"/>
      <c r="I126" s="385"/>
      <c r="J126" s="385"/>
      <c r="K126" s="385"/>
      <c r="L126" s="463"/>
      <c r="M126" s="464"/>
      <c r="N126" s="465"/>
      <c r="O126" s="465"/>
      <c r="P126" s="466"/>
      <c r="Q126" s="500"/>
      <c r="R126" s="501"/>
      <c r="S126" s="501"/>
      <c r="T126" s="501"/>
      <c r="U126" s="501"/>
      <c r="V126" s="501"/>
      <c r="W126" s="501"/>
      <c r="X126" s="501"/>
      <c r="Y126" s="501"/>
      <c r="Z126" s="501"/>
      <c r="AA126" s="501"/>
      <c r="AB126" s="501"/>
      <c r="AC126" s="501"/>
    </row>
    <row r="127" s="198" customFormat="1" ht="15.75" spans="1:29">
      <c r="A127" s="383"/>
      <c r="B127" s="378"/>
      <c r="C127" s="382"/>
      <c r="D127" s="375"/>
      <c r="E127" s="375"/>
      <c r="F127" s="375"/>
      <c r="G127" s="382"/>
      <c r="H127" s="386"/>
      <c r="I127" s="386"/>
      <c r="J127" s="386"/>
      <c r="K127" s="386"/>
      <c r="L127" s="386"/>
      <c r="M127" s="467"/>
      <c r="N127" s="465"/>
      <c r="O127" s="465"/>
      <c r="P127" s="466"/>
      <c r="Q127" s="500"/>
      <c r="R127" s="501"/>
      <c r="S127" s="501"/>
      <c r="T127" s="501"/>
      <c r="U127" s="501"/>
      <c r="V127" s="501"/>
      <c r="W127" s="501"/>
      <c r="X127" s="501"/>
      <c r="Y127" s="501"/>
      <c r="Z127" s="501"/>
      <c r="AA127" s="501"/>
      <c r="AB127" s="501"/>
      <c r="AC127" s="501"/>
    </row>
    <row r="128" ht="15.75" spans="1:29">
      <c r="A128" s="519"/>
      <c r="B128" s="376">
        <f>B45</f>
        <v>111</v>
      </c>
      <c r="C128" s="384"/>
      <c r="D128" s="384"/>
      <c r="E128" s="384"/>
      <c r="F128" s="384"/>
      <c r="G128" s="515"/>
      <c r="H128" s="515"/>
      <c r="I128" s="515"/>
      <c r="J128" s="515"/>
      <c r="K128" s="525"/>
      <c r="L128" s="526"/>
      <c r="M128" s="527"/>
      <c r="N128" s="452"/>
      <c r="O128" s="452"/>
      <c r="P128" s="453"/>
      <c r="Q128" s="442"/>
      <c r="R128" s="349"/>
      <c r="S128" s="349"/>
      <c r="T128" s="349"/>
      <c r="U128" s="349"/>
      <c r="V128" s="349"/>
      <c r="W128" s="349"/>
      <c r="X128" s="349"/>
      <c r="Y128" s="349"/>
      <c r="Z128" s="349"/>
      <c r="AA128" s="349"/>
      <c r="AB128" s="349"/>
      <c r="AC128" s="349"/>
    </row>
    <row r="129" ht="15.75" spans="1:29">
      <c r="A129" s="373"/>
      <c r="B129" s="378"/>
      <c r="C129" s="382"/>
      <c r="D129" s="375"/>
      <c r="E129" s="375"/>
      <c r="F129" s="375"/>
      <c r="G129" s="375"/>
      <c r="H129" s="375"/>
      <c r="I129" s="375"/>
      <c r="J129" s="375"/>
      <c r="K129" s="375"/>
      <c r="L129" s="375"/>
      <c r="M129" s="454"/>
      <c r="N129" s="455"/>
      <c r="O129" s="455"/>
      <c r="P129" s="453"/>
      <c r="Q129" s="442"/>
      <c r="R129" s="349"/>
      <c r="S129" s="349"/>
      <c r="T129" s="349"/>
      <c r="U129" s="349"/>
      <c r="V129" s="349"/>
      <c r="W129" s="349"/>
      <c r="X129" s="349"/>
      <c r="Y129" s="349"/>
      <c r="Z129" s="349"/>
      <c r="AA129" s="349"/>
      <c r="AB129" s="349"/>
      <c r="AC129" s="349"/>
    </row>
    <row r="130" ht="15.75" spans="1:29">
      <c r="A130" s="519"/>
      <c r="B130" s="514">
        <f>B46</f>
        <v>111</v>
      </c>
      <c r="C130" s="384"/>
      <c r="D130" s="384"/>
      <c r="E130" s="384"/>
      <c r="F130" s="384"/>
      <c r="G130" s="600"/>
      <c r="H130" s="600"/>
      <c r="I130" s="600"/>
      <c r="J130" s="600"/>
      <c r="K130" s="368"/>
      <c r="L130" s="445"/>
      <c r="M130" s="610"/>
      <c r="N130" s="452"/>
      <c r="O130" s="452"/>
      <c r="P130" s="453"/>
      <c r="Q130" s="442"/>
      <c r="R130" s="349"/>
      <c r="S130" s="349"/>
      <c r="T130" s="349"/>
      <c r="U130" s="349"/>
      <c r="V130" s="349"/>
      <c r="W130" s="349"/>
      <c r="X130" s="349"/>
      <c r="Y130" s="349"/>
      <c r="Z130" s="349"/>
      <c r="AA130" s="349"/>
      <c r="AB130" s="349"/>
      <c r="AC130" s="349"/>
    </row>
    <row r="131" ht="15.75" spans="1:29">
      <c r="A131" s="601"/>
      <c r="B131" s="597"/>
      <c r="C131" s="598"/>
      <c r="D131" s="598"/>
      <c r="E131" s="598"/>
      <c r="F131" s="598"/>
      <c r="G131" s="602"/>
      <c r="H131" s="602"/>
      <c r="I131" s="602"/>
      <c r="J131" s="602"/>
      <c r="K131" s="602"/>
      <c r="L131" s="602"/>
      <c r="M131" s="611"/>
      <c r="N131" s="455"/>
      <c r="O131" s="455"/>
      <c r="P131" s="453"/>
      <c r="Q131" s="442"/>
      <c r="R131" s="349"/>
      <c r="S131" s="349"/>
      <c r="T131" s="349"/>
      <c r="U131" s="349"/>
      <c r="V131" s="349"/>
      <c r="W131" s="349"/>
      <c r="X131" s="349"/>
      <c r="Y131" s="349"/>
      <c r="Z131" s="349"/>
      <c r="AA131" s="349"/>
      <c r="AB131" s="349"/>
      <c r="AC131" s="349"/>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row r="236" spans="1:29">
      <c r="A236" s="523"/>
      <c r="B236" s="523"/>
      <c r="C236" s="523"/>
      <c r="D236" s="523"/>
      <c r="E236" s="523"/>
      <c r="F236" s="523"/>
      <c r="G236" s="523"/>
      <c r="H236" s="523"/>
      <c r="I236" s="523"/>
      <c r="J236" s="523"/>
      <c r="K236" s="538"/>
      <c r="L236" s="539"/>
      <c r="M236" s="523"/>
      <c r="N236" s="523"/>
      <c r="O236" s="523"/>
      <c r="P236" s="523"/>
      <c r="Q236" s="523"/>
      <c r="R236" s="523"/>
      <c r="S236" s="523"/>
      <c r="T236" s="523"/>
      <c r="U236" s="523"/>
      <c r="V236" s="523"/>
      <c r="W236" s="523"/>
      <c r="X236" s="523"/>
      <c r="Y236" s="523"/>
      <c r="Z236" s="523"/>
      <c r="AA236" s="523"/>
      <c r="AB236" s="523"/>
      <c r="AC236" s="523"/>
    </row>
    <row r="237" spans="1:29">
      <c r="A237" s="523"/>
      <c r="B237" s="523"/>
      <c r="C237" s="523"/>
      <c r="D237" s="523"/>
      <c r="E237" s="523"/>
      <c r="F237" s="523"/>
      <c r="G237" s="523"/>
      <c r="H237" s="523"/>
      <c r="I237" s="523"/>
      <c r="J237" s="523"/>
      <c r="K237" s="538"/>
      <c r="L237" s="539"/>
      <c r="M237" s="523"/>
      <c r="N237" s="523"/>
      <c r="O237" s="523"/>
      <c r="P237" s="523"/>
      <c r="Q237" s="523"/>
      <c r="R237" s="523"/>
      <c r="S237" s="523"/>
      <c r="T237" s="523"/>
      <c r="U237" s="523"/>
      <c r="V237" s="523"/>
      <c r="W237" s="523"/>
      <c r="X237" s="523"/>
      <c r="Y237" s="523"/>
      <c r="Z237" s="523"/>
      <c r="AA237" s="523"/>
      <c r="AB237" s="523"/>
      <c r="AC237" s="523"/>
    </row>
    <row r="238" spans="1:29">
      <c r="A238" s="523"/>
      <c r="B238" s="523"/>
      <c r="C238" s="523"/>
      <c r="D238" s="523"/>
      <c r="E238" s="523"/>
      <c r="F238" s="523"/>
      <c r="G238" s="523"/>
      <c r="H238" s="523"/>
      <c r="I238" s="523"/>
      <c r="J238" s="523"/>
      <c r="K238" s="538"/>
      <c r="L238" s="539"/>
      <c r="M238" s="523"/>
      <c r="N238" s="523"/>
      <c r="O238" s="523"/>
      <c r="P238" s="523"/>
      <c r="Q238" s="523"/>
      <c r="R238" s="523"/>
      <c r="S238" s="523"/>
      <c r="T238" s="523"/>
      <c r="U238" s="523"/>
      <c r="V238" s="523"/>
      <c r="W238" s="523"/>
      <c r="X238" s="523"/>
      <c r="Y238" s="523"/>
      <c r="Z238" s="523"/>
      <c r="AA238" s="523"/>
      <c r="AB238" s="523"/>
      <c r="AC238" s="523"/>
    </row>
    <row r="239" spans="1:29">
      <c r="A239" s="523"/>
      <c r="B239" s="523"/>
      <c r="C239" s="523"/>
      <c r="D239" s="523"/>
      <c r="E239" s="523"/>
      <c r="F239" s="523"/>
      <c r="G239" s="523"/>
      <c r="H239" s="523"/>
      <c r="I239" s="523"/>
      <c r="J239" s="523"/>
      <c r="K239" s="538"/>
      <c r="L239" s="539"/>
      <c r="M239" s="523"/>
      <c r="N239" s="523"/>
      <c r="O239" s="523"/>
      <c r="P239" s="523"/>
      <c r="Q239" s="523"/>
      <c r="R239" s="523"/>
      <c r="S239" s="523"/>
      <c r="T239" s="523"/>
      <c r="U239" s="523"/>
      <c r="V239" s="523"/>
      <c r="W239" s="523"/>
      <c r="X239" s="523"/>
      <c r="Y239" s="523"/>
      <c r="Z239" s="523"/>
      <c r="AA239" s="523"/>
      <c r="AB239" s="523"/>
      <c r="AC239" s="523"/>
    </row>
    <row r="240" spans="1:29">
      <c r="A240" s="523"/>
      <c r="B240" s="523"/>
      <c r="C240" s="523"/>
      <c r="D240" s="523"/>
      <c r="E240" s="523"/>
      <c r="F240" s="523"/>
      <c r="G240" s="523"/>
      <c r="H240" s="523"/>
      <c r="I240" s="523"/>
      <c r="J240" s="523"/>
      <c r="K240" s="538"/>
      <c r="L240" s="539"/>
      <c r="M240" s="523"/>
      <c r="N240" s="523"/>
      <c r="O240" s="523"/>
      <c r="P240" s="523"/>
      <c r="Q240" s="523"/>
      <c r="R240" s="523"/>
      <c r="S240" s="523"/>
      <c r="T240" s="523"/>
      <c r="U240" s="523"/>
      <c r="V240" s="523"/>
      <c r="W240" s="523"/>
      <c r="X240" s="523"/>
      <c r="Y240" s="523"/>
      <c r="Z240" s="523"/>
      <c r="AA240" s="523"/>
      <c r="AB240" s="523"/>
      <c r="AC240" s="523"/>
    </row>
    <row r="241" spans="1:29">
      <c r="A241" s="523"/>
      <c r="B241" s="523"/>
      <c r="C241" s="523"/>
      <c r="D241" s="523"/>
      <c r="E241" s="523"/>
      <c r="F241" s="523"/>
      <c r="G241" s="523"/>
      <c r="H241" s="523"/>
      <c r="I241" s="523"/>
      <c r="J241" s="523"/>
      <c r="K241" s="538"/>
      <c r="L241" s="539"/>
      <c r="M241" s="523"/>
      <c r="N241" s="523"/>
      <c r="O241" s="523"/>
      <c r="P241" s="523"/>
      <c r="Q241" s="523"/>
      <c r="R241" s="523"/>
      <c r="S241" s="523"/>
      <c r="T241" s="523"/>
      <c r="U241" s="523"/>
      <c r="V241" s="523"/>
      <c r="W241" s="523"/>
      <c r="X241" s="523"/>
      <c r="Y241" s="523"/>
      <c r="Z241" s="523"/>
      <c r="AA241" s="523"/>
      <c r="AB241" s="523"/>
      <c r="AC241" s="523"/>
    </row>
    <row r="242" spans="1:29">
      <c r="A242" s="523"/>
      <c r="B242" s="523"/>
      <c r="C242" s="523"/>
      <c r="D242" s="523"/>
      <c r="E242" s="523"/>
      <c r="F242" s="523"/>
      <c r="G242" s="523"/>
      <c r="H242" s="523"/>
      <c r="I242" s="523"/>
      <c r="J242" s="523"/>
      <c r="K242" s="538"/>
      <c r="L242" s="539"/>
      <c r="M242" s="523"/>
      <c r="N242" s="523"/>
      <c r="O242" s="523"/>
      <c r="P242" s="523"/>
      <c r="Q242" s="523"/>
      <c r="R242" s="523"/>
      <c r="S242" s="523"/>
      <c r="T242" s="523"/>
      <c r="U242" s="523"/>
      <c r="V242" s="523"/>
      <c r="W242" s="523"/>
      <c r="X242" s="523"/>
      <c r="Y242" s="523"/>
      <c r="Z242" s="523"/>
      <c r="AA242" s="523"/>
      <c r="AB242" s="523"/>
      <c r="AC242" s="523"/>
    </row>
    <row r="243" spans="1:29">
      <c r="A243" s="523"/>
      <c r="B243" s="523"/>
      <c r="C243" s="523"/>
      <c r="D243" s="523"/>
      <c r="E243" s="523"/>
      <c r="F243" s="523"/>
      <c r="G243" s="523"/>
      <c r="H243" s="523"/>
      <c r="I243" s="523"/>
      <c r="J243" s="523"/>
      <c r="K243" s="538"/>
      <c r="L243" s="539"/>
      <c r="M243" s="523"/>
      <c r="N243" s="523"/>
      <c r="O243" s="523"/>
      <c r="P243" s="523"/>
      <c r="Q243" s="523"/>
      <c r="R243" s="523"/>
      <c r="S243" s="523"/>
      <c r="T243" s="523"/>
      <c r="U243" s="523"/>
      <c r="V243" s="523"/>
      <c r="W243" s="523"/>
      <c r="X243" s="523"/>
      <c r="Y243" s="523"/>
      <c r="Z243" s="523"/>
      <c r="AA243" s="523"/>
      <c r="AB243" s="523"/>
      <c r="AC243" s="523"/>
    </row>
    <row r="244" spans="1:29">
      <c r="A244" s="523"/>
      <c r="B244" s="523"/>
      <c r="C244" s="523"/>
      <c r="D244" s="523"/>
      <c r="E244" s="523"/>
      <c r="F244" s="523"/>
      <c r="G244" s="523"/>
      <c r="H244" s="523"/>
      <c r="I244" s="523"/>
      <c r="J244" s="523"/>
      <c r="K244" s="538"/>
      <c r="L244" s="539"/>
      <c r="M244" s="523"/>
      <c r="N244" s="523"/>
      <c r="O244" s="523"/>
      <c r="P244" s="523"/>
      <c r="Q244" s="523"/>
      <c r="R244" s="523"/>
      <c r="S244" s="523"/>
      <c r="T244" s="523"/>
      <c r="U244" s="523"/>
      <c r="V244" s="523"/>
      <c r="W244" s="523"/>
      <c r="X244" s="523"/>
      <c r="Y244" s="523"/>
      <c r="Z244" s="523"/>
      <c r="AA244" s="523"/>
      <c r="AB244" s="523"/>
      <c r="AC244" s="523"/>
    </row>
    <row r="245" spans="1:29">
      <c r="A245" s="523"/>
      <c r="B245" s="523"/>
      <c r="C245" s="523"/>
      <c r="D245" s="523"/>
      <c r="E245" s="523"/>
      <c r="F245" s="523"/>
      <c r="G245" s="523"/>
      <c r="H245" s="523"/>
      <c r="I245" s="523"/>
      <c r="J245" s="523"/>
      <c r="K245" s="538"/>
      <c r="L245" s="539"/>
      <c r="M245" s="523"/>
      <c r="N245" s="523"/>
      <c r="O245" s="523"/>
      <c r="P245" s="523"/>
      <c r="Q245" s="523"/>
      <c r="R245" s="523"/>
      <c r="S245" s="523"/>
      <c r="T245" s="523"/>
      <c r="U245" s="523"/>
      <c r="V245" s="523"/>
      <c r="W245" s="523"/>
      <c r="X245" s="523"/>
      <c r="Y245" s="523"/>
      <c r="Z245" s="523"/>
      <c r="AA245" s="523"/>
      <c r="AB245" s="523"/>
      <c r="AC245" s="523"/>
    </row>
    <row r="246" spans="1:29">
      <c r="A246" s="523"/>
      <c r="B246" s="523"/>
      <c r="C246" s="523"/>
      <c r="D246" s="523"/>
      <c r="E246" s="523"/>
      <c r="F246" s="523"/>
      <c r="G246" s="523"/>
      <c r="H246" s="523"/>
      <c r="I246" s="523"/>
      <c r="J246" s="523"/>
      <c r="K246" s="538"/>
      <c r="L246" s="539"/>
      <c r="M246" s="523"/>
      <c r="N246" s="523"/>
      <c r="O246" s="523"/>
      <c r="P246" s="523"/>
      <c r="Q246" s="523"/>
      <c r="R246" s="523"/>
      <c r="S246" s="523"/>
      <c r="T246" s="523"/>
      <c r="U246" s="523"/>
      <c r="V246" s="523"/>
      <c r="W246" s="523"/>
      <c r="X246" s="523"/>
      <c r="Y246" s="523"/>
      <c r="Z246" s="523"/>
      <c r="AA246" s="523"/>
      <c r="AB246" s="523"/>
      <c r="AC246" s="523"/>
    </row>
    <row r="247" spans="1:29">
      <c r="A247" s="523"/>
      <c r="B247" s="523"/>
      <c r="C247" s="523"/>
      <c r="D247" s="523"/>
      <c r="E247" s="523"/>
      <c r="F247" s="523"/>
      <c r="G247" s="523"/>
      <c r="H247" s="523"/>
      <c r="I247" s="523"/>
      <c r="J247" s="523"/>
      <c r="K247" s="538"/>
      <c r="L247" s="539"/>
      <c r="M247" s="523"/>
      <c r="N247" s="523"/>
      <c r="O247" s="523"/>
      <c r="P247" s="523"/>
      <c r="Q247" s="523"/>
      <c r="R247" s="523"/>
      <c r="S247" s="523"/>
      <c r="T247" s="523"/>
      <c r="U247" s="523"/>
      <c r="V247" s="523"/>
      <c r="W247" s="523"/>
      <c r="X247" s="523"/>
      <c r="Y247" s="523"/>
      <c r="Z247" s="523"/>
      <c r="AA247" s="523"/>
      <c r="AB247" s="523"/>
      <c r="AC247" s="523"/>
    </row>
    <row r="248" spans="1:29">
      <c r="A248" s="523"/>
      <c r="B248" s="523"/>
      <c r="C248" s="523"/>
      <c r="D248" s="523"/>
      <c r="E248" s="523"/>
      <c r="F248" s="523"/>
      <c r="G248" s="523"/>
      <c r="H248" s="523"/>
      <c r="I248" s="523"/>
      <c r="J248" s="523"/>
      <c r="K248" s="538"/>
      <c r="L248" s="539"/>
      <c r="M248" s="523"/>
      <c r="N248" s="523"/>
      <c r="O248" s="523"/>
      <c r="P248" s="523"/>
      <c r="Q248" s="523"/>
      <c r="R248" s="523"/>
      <c r="S248" s="523"/>
      <c r="T248" s="523"/>
      <c r="U248" s="523"/>
      <c r="V248" s="523"/>
      <c r="W248" s="523"/>
      <c r="X248" s="523"/>
      <c r="Y248" s="523"/>
      <c r="Z248" s="523"/>
      <c r="AA248" s="523"/>
      <c r="AB248" s="523"/>
      <c r="AC248" s="523"/>
    </row>
    <row r="249" spans="1:29">
      <c r="A249" s="523"/>
      <c r="B249" s="523"/>
      <c r="C249" s="523"/>
      <c r="D249" s="523"/>
      <c r="E249" s="523"/>
      <c r="F249" s="523"/>
      <c r="G249" s="523"/>
      <c r="H249" s="523"/>
      <c r="I249" s="523"/>
      <c r="J249" s="523"/>
      <c r="K249" s="538"/>
      <c r="L249" s="539"/>
      <c r="M249" s="523"/>
      <c r="N249" s="523"/>
      <c r="O249" s="523"/>
      <c r="P249" s="523"/>
      <c r="Q249" s="523"/>
      <c r="R249" s="523"/>
      <c r="S249" s="523"/>
      <c r="T249" s="523"/>
      <c r="U249" s="523"/>
      <c r="V249" s="523"/>
      <c r="W249" s="523"/>
      <c r="X249" s="523"/>
      <c r="Y249" s="523"/>
      <c r="Z249" s="523"/>
      <c r="AA249" s="523"/>
      <c r="AB249" s="523"/>
      <c r="AC249" s="523"/>
    </row>
    <row r="250" spans="1:29">
      <c r="A250" s="523"/>
      <c r="B250" s="523"/>
      <c r="C250" s="523"/>
      <c r="D250" s="523"/>
      <c r="E250" s="523"/>
      <c r="F250" s="523"/>
      <c r="G250" s="523"/>
      <c r="H250" s="523"/>
      <c r="I250" s="523"/>
      <c r="J250" s="523"/>
      <c r="K250" s="538"/>
      <c r="L250" s="539"/>
      <c r="M250" s="523"/>
      <c r="N250" s="523"/>
      <c r="O250" s="523"/>
      <c r="P250" s="523"/>
      <c r="Q250" s="523"/>
      <c r="R250" s="523"/>
      <c r="S250" s="523"/>
      <c r="T250" s="523"/>
      <c r="U250" s="523"/>
      <c r="V250" s="523"/>
      <c r="W250" s="523"/>
      <c r="X250" s="523"/>
      <c r="Y250" s="523"/>
      <c r="Z250" s="523"/>
      <c r="AA250" s="523"/>
      <c r="AB250" s="523"/>
      <c r="AC250" s="523"/>
    </row>
    <row r="251" spans="1:29">
      <c r="A251" s="523"/>
      <c r="B251" s="523"/>
      <c r="C251" s="523"/>
      <c r="D251" s="523"/>
      <c r="E251" s="523"/>
      <c r="F251" s="523"/>
      <c r="G251" s="523"/>
      <c r="H251" s="523"/>
      <c r="I251" s="523"/>
      <c r="J251" s="523"/>
      <c r="K251" s="538"/>
      <c r="L251" s="539"/>
      <c r="M251" s="523"/>
      <c r="N251" s="523"/>
      <c r="O251" s="523"/>
      <c r="P251" s="523"/>
      <c r="Q251" s="523"/>
      <c r="R251" s="523"/>
      <c r="S251" s="523"/>
      <c r="T251" s="523"/>
      <c r="U251" s="523"/>
      <c r="V251" s="523"/>
      <c r="W251" s="523"/>
      <c r="X251" s="523"/>
      <c r="Y251" s="523"/>
      <c r="Z251" s="523"/>
      <c r="AA251" s="523"/>
      <c r="AB251" s="523"/>
      <c r="AC251" s="523"/>
    </row>
    <row r="252" spans="1:29">
      <c r="A252" s="523"/>
      <c r="B252" s="523"/>
      <c r="C252" s="523"/>
      <c r="D252" s="523"/>
      <c r="E252" s="523"/>
      <c r="F252" s="523"/>
      <c r="G252" s="523"/>
      <c r="H252" s="523"/>
      <c r="I252" s="523"/>
      <c r="J252" s="523"/>
      <c r="K252" s="538"/>
      <c r="L252" s="539"/>
      <c r="M252" s="523"/>
      <c r="N252" s="523"/>
      <c r="O252" s="523"/>
      <c r="P252" s="523"/>
      <c r="Q252" s="523"/>
      <c r="R252" s="523"/>
      <c r="S252" s="523"/>
      <c r="T252" s="523"/>
      <c r="U252" s="523"/>
      <c r="V252" s="523"/>
      <c r="W252" s="523"/>
      <c r="X252" s="523"/>
      <c r="Y252" s="523"/>
      <c r="Z252" s="523"/>
      <c r="AA252" s="523"/>
      <c r="AB252" s="523"/>
      <c r="AC252" s="523"/>
    </row>
    <row r="253" spans="1:29">
      <c r="A253" s="523"/>
      <c r="B253" s="523"/>
      <c r="C253" s="523"/>
      <c r="D253" s="523"/>
      <c r="E253" s="523"/>
      <c r="F253" s="523"/>
      <c r="G253" s="523"/>
      <c r="H253" s="523"/>
      <c r="I253" s="523"/>
      <c r="J253" s="523"/>
      <c r="K253" s="538"/>
      <c r="L253" s="539"/>
      <c r="M253" s="523"/>
      <c r="N253" s="523"/>
      <c r="O253" s="523"/>
      <c r="P253" s="523"/>
      <c r="Q253" s="523"/>
      <c r="R253" s="523"/>
      <c r="S253" s="523"/>
      <c r="T253" s="523"/>
      <c r="U253" s="523"/>
      <c r="V253" s="523"/>
      <c r="W253" s="523"/>
      <c r="X253" s="523"/>
      <c r="Y253" s="523"/>
      <c r="Z253" s="523"/>
      <c r="AA253" s="523"/>
      <c r="AB253" s="523"/>
      <c r="AC253" s="523"/>
    </row>
    <row r="254" spans="1:29">
      <c r="A254" s="523"/>
      <c r="B254" s="523"/>
      <c r="C254" s="523"/>
      <c r="D254" s="523"/>
      <c r="E254" s="523"/>
      <c r="F254" s="523"/>
      <c r="G254" s="523"/>
      <c r="H254" s="523"/>
      <c r="I254" s="523"/>
      <c r="J254" s="523"/>
      <c r="K254" s="538"/>
      <c r="L254" s="539"/>
      <c r="M254" s="523"/>
      <c r="N254" s="523"/>
      <c r="O254" s="523"/>
      <c r="P254" s="523"/>
      <c r="Q254" s="523"/>
      <c r="R254" s="523"/>
      <c r="S254" s="523"/>
      <c r="T254" s="523"/>
      <c r="U254" s="523"/>
      <c r="V254" s="523"/>
      <c r="W254" s="523"/>
      <c r="X254" s="523"/>
      <c r="Y254" s="523"/>
      <c r="Z254" s="523"/>
      <c r="AA254" s="523"/>
      <c r="AB254" s="523"/>
      <c r="AC254" s="523"/>
    </row>
    <row r="255" spans="1:29">
      <c r="A255" s="523"/>
      <c r="B255" s="523"/>
      <c r="C255" s="523"/>
      <c r="D255" s="523"/>
      <c r="E255" s="523"/>
      <c r="F255" s="523"/>
      <c r="G255" s="523"/>
      <c r="H255" s="523"/>
      <c r="I255" s="523"/>
      <c r="J255" s="523"/>
      <c r="K255" s="538"/>
      <c r="L255" s="539"/>
      <c r="M255" s="523"/>
      <c r="N255" s="523"/>
      <c r="O255" s="523"/>
      <c r="P255" s="523"/>
      <c r="Q255" s="523"/>
      <c r="R255" s="523"/>
      <c r="S255" s="523"/>
      <c r="T255" s="523"/>
      <c r="U255" s="523"/>
      <c r="V255" s="523"/>
      <c r="W255" s="523"/>
      <c r="X255" s="523"/>
      <c r="Y255" s="523"/>
      <c r="Z255" s="523"/>
      <c r="AA255" s="523"/>
      <c r="AB255" s="523"/>
      <c r="AC255" s="523"/>
    </row>
    <row r="256" spans="1:29">
      <c r="A256" s="523"/>
      <c r="B256" s="523"/>
      <c r="C256" s="523"/>
      <c r="D256" s="523"/>
      <c r="E256" s="523"/>
      <c r="F256" s="523"/>
      <c r="G256" s="523"/>
      <c r="H256" s="523"/>
      <c r="I256" s="523"/>
      <c r="J256" s="523"/>
      <c r="K256" s="538"/>
      <c r="L256" s="539"/>
      <c r="M256" s="523"/>
      <c r="N256" s="523"/>
      <c r="O256" s="523"/>
      <c r="P256" s="523"/>
      <c r="Q256" s="523"/>
      <c r="R256" s="523"/>
      <c r="S256" s="523"/>
      <c r="T256" s="523"/>
      <c r="U256" s="523"/>
      <c r="V256" s="523"/>
      <c r="W256" s="523"/>
      <c r="X256" s="523"/>
      <c r="Y256" s="523"/>
      <c r="Z256" s="523"/>
      <c r="AA256" s="523"/>
      <c r="AB256" s="523"/>
      <c r="AC256" s="523"/>
    </row>
    <row r="257" spans="1:29">
      <c r="A257" s="523"/>
      <c r="B257" s="523"/>
      <c r="C257" s="523"/>
      <c r="D257" s="523"/>
      <c r="E257" s="523"/>
      <c r="F257" s="523"/>
      <c r="G257" s="523"/>
      <c r="H257" s="523"/>
      <c r="I257" s="523"/>
      <c r="J257" s="523"/>
      <c r="K257" s="538"/>
      <c r="L257" s="539"/>
      <c r="M257" s="523"/>
      <c r="N257" s="523"/>
      <c r="O257" s="523"/>
      <c r="P257" s="523"/>
      <c r="Q257" s="523"/>
      <c r="R257" s="523"/>
      <c r="S257" s="523"/>
      <c r="T257" s="523"/>
      <c r="U257" s="523"/>
      <c r="V257" s="523"/>
      <c r="W257" s="523"/>
      <c r="X257" s="523"/>
      <c r="Y257" s="523"/>
      <c r="Z257" s="523"/>
      <c r="AA257" s="523"/>
      <c r="AB257" s="523"/>
      <c r="AC257" s="523"/>
    </row>
    <row r="258" spans="1:29">
      <c r="A258" s="523"/>
      <c r="B258" s="523"/>
      <c r="C258" s="523"/>
      <c r="D258" s="523"/>
      <c r="E258" s="523"/>
      <c r="F258" s="523"/>
      <c r="G258" s="523"/>
      <c r="H258" s="523"/>
      <c r="I258" s="523"/>
      <c r="J258" s="523"/>
      <c r="K258" s="538"/>
      <c r="L258" s="539"/>
      <c r="M258" s="523"/>
      <c r="N258" s="523"/>
      <c r="O258" s="523"/>
      <c r="P258" s="523"/>
      <c r="Q258" s="523"/>
      <c r="R258" s="523"/>
      <c r="S258" s="523"/>
      <c r="T258" s="523"/>
      <c r="U258" s="523"/>
      <c r="V258" s="523"/>
      <c r="W258" s="523"/>
      <c r="X258" s="523"/>
      <c r="Y258" s="523"/>
      <c r="Z258" s="523"/>
      <c r="AA258" s="523"/>
      <c r="AB258" s="523"/>
      <c r="AC258" s="523"/>
    </row>
    <row r="259" spans="1:29">
      <c r="A259" s="523"/>
      <c r="B259" s="523"/>
      <c r="C259" s="523"/>
      <c r="D259" s="523"/>
      <c r="E259" s="523"/>
      <c r="F259" s="523"/>
      <c r="G259" s="523"/>
      <c r="H259" s="523"/>
      <c r="I259" s="523"/>
      <c r="J259" s="523"/>
      <c r="K259" s="538"/>
      <c r="L259" s="539"/>
      <c r="M259" s="523"/>
      <c r="N259" s="523"/>
      <c r="O259" s="523"/>
      <c r="P259" s="523"/>
      <c r="Q259" s="523"/>
      <c r="R259" s="523"/>
      <c r="S259" s="523"/>
      <c r="T259" s="523"/>
      <c r="U259" s="523"/>
      <c r="V259" s="523"/>
      <c r="W259" s="523"/>
      <c r="X259" s="523"/>
      <c r="Y259" s="523"/>
      <c r="Z259" s="523"/>
      <c r="AA259" s="523"/>
      <c r="AB259" s="523"/>
      <c r="AC259" s="523"/>
    </row>
    <row r="260" spans="1:29">
      <c r="A260" s="523"/>
      <c r="B260" s="523"/>
      <c r="C260" s="523"/>
      <c r="D260" s="523"/>
      <c r="E260" s="523"/>
      <c r="F260" s="523"/>
      <c r="G260" s="523"/>
      <c r="H260" s="523"/>
      <c r="I260" s="523"/>
      <c r="J260" s="523"/>
      <c r="K260" s="538"/>
      <c r="L260" s="539"/>
      <c r="M260" s="523"/>
      <c r="N260" s="523"/>
      <c r="O260" s="523"/>
      <c r="P260" s="523"/>
      <c r="Q260" s="523"/>
      <c r="R260" s="523"/>
      <c r="S260" s="523"/>
      <c r="T260" s="523"/>
      <c r="U260" s="523"/>
      <c r="V260" s="523"/>
      <c r="W260" s="523"/>
      <c r="X260" s="523"/>
      <c r="Y260" s="523"/>
      <c r="Z260" s="523"/>
      <c r="AA260" s="523"/>
      <c r="AB260" s="523"/>
      <c r="AC260" s="523"/>
    </row>
    <row r="261" spans="1:29">
      <c r="A261" s="523"/>
      <c r="B261" s="523"/>
      <c r="C261" s="523"/>
      <c r="D261" s="523"/>
      <c r="E261" s="523"/>
      <c r="F261" s="523"/>
      <c r="G261" s="523"/>
      <c r="H261" s="523"/>
      <c r="I261" s="523"/>
      <c r="J261" s="523"/>
      <c r="K261" s="538"/>
      <c r="L261" s="539"/>
      <c r="M261" s="523"/>
      <c r="N261" s="523"/>
      <c r="O261" s="523"/>
      <c r="P261" s="523"/>
      <c r="Q261" s="523"/>
      <c r="R261" s="523"/>
      <c r="S261" s="523"/>
      <c r="T261" s="523"/>
      <c r="U261" s="523"/>
      <c r="V261" s="523"/>
      <c r="W261" s="523"/>
      <c r="X261" s="523"/>
      <c r="Y261" s="523"/>
      <c r="Z261" s="523"/>
      <c r="AA261" s="523"/>
      <c r="AB261" s="523"/>
      <c r="AC261" s="523"/>
    </row>
    <row r="262" spans="1:29">
      <c r="A262" s="523"/>
      <c r="B262" s="523"/>
      <c r="C262" s="523"/>
      <c r="D262" s="523"/>
      <c r="E262" s="523"/>
      <c r="F262" s="523"/>
      <c r="G262" s="523"/>
      <c r="H262" s="523"/>
      <c r="I262" s="523"/>
      <c r="J262" s="523"/>
      <c r="K262" s="538"/>
      <c r="L262" s="539"/>
      <c r="M262" s="523"/>
      <c r="N262" s="523"/>
      <c r="O262" s="523"/>
      <c r="P262" s="523"/>
      <c r="Q262" s="523"/>
      <c r="R262" s="523"/>
      <c r="S262" s="523"/>
      <c r="T262" s="523"/>
      <c r="U262" s="523"/>
      <c r="V262" s="523"/>
      <c r="W262" s="523"/>
      <c r="X262" s="523"/>
      <c r="Y262" s="523"/>
      <c r="Z262" s="523"/>
      <c r="AA262" s="523"/>
      <c r="AB262" s="523"/>
      <c r="AC262" s="523"/>
    </row>
    <row r="263" spans="1:29">
      <c r="A263" s="523"/>
      <c r="B263" s="523"/>
      <c r="C263" s="523"/>
      <c r="D263" s="523"/>
      <c r="E263" s="523"/>
      <c r="F263" s="523"/>
      <c r="G263" s="523"/>
      <c r="H263" s="523"/>
      <c r="I263" s="523"/>
      <c r="J263" s="523"/>
      <c r="K263" s="538"/>
      <c r="L263" s="539"/>
      <c r="M263" s="523"/>
      <c r="N263" s="523"/>
      <c r="O263" s="523"/>
      <c r="P263" s="523"/>
      <c r="Q263" s="523"/>
      <c r="R263" s="523"/>
      <c r="S263" s="523"/>
      <c r="T263" s="523"/>
      <c r="U263" s="523"/>
      <c r="V263" s="523"/>
      <c r="W263" s="523"/>
      <c r="X263" s="523"/>
      <c r="Y263" s="523"/>
      <c r="Z263" s="523"/>
      <c r="AA263" s="523"/>
      <c r="AB263" s="523"/>
      <c r="AC263" s="523"/>
    </row>
    <row r="264" spans="1:29">
      <c r="A264" s="523"/>
      <c r="B264" s="523"/>
      <c r="C264" s="523"/>
      <c r="D264" s="523"/>
      <c r="E264" s="523"/>
      <c r="F264" s="523"/>
      <c r="G264" s="523"/>
      <c r="H264" s="523"/>
      <c r="I264" s="523"/>
      <c r="J264" s="523"/>
      <c r="K264" s="538"/>
      <c r="L264" s="539"/>
      <c r="M264" s="523"/>
      <c r="N264" s="523"/>
      <c r="O264" s="523"/>
      <c r="P264" s="523"/>
      <c r="Q264" s="523"/>
      <c r="R264" s="523"/>
      <c r="S264" s="523"/>
      <c r="T264" s="523"/>
      <c r="U264" s="523"/>
      <c r="V264" s="523"/>
      <c r="W264" s="523"/>
      <c r="X264" s="523"/>
      <c r="Y264" s="523"/>
      <c r="Z264" s="523"/>
      <c r="AA264" s="523"/>
      <c r="AB264" s="523"/>
      <c r="AC264" s="523"/>
    </row>
    <row r="265" spans="1:29">
      <c r="A265" s="523"/>
      <c r="B265" s="523"/>
      <c r="C265" s="523"/>
      <c r="D265" s="523"/>
      <c r="E265" s="523"/>
      <c r="F265" s="523"/>
      <c r="G265" s="523"/>
      <c r="H265" s="523"/>
      <c r="I265" s="523"/>
      <c r="J265" s="523"/>
      <c r="K265" s="538"/>
      <c r="L265" s="539"/>
      <c r="M265" s="523"/>
      <c r="N265" s="523"/>
      <c r="O265" s="523"/>
      <c r="P265" s="523"/>
      <c r="Q265" s="523"/>
      <c r="R265" s="523"/>
      <c r="S265" s="523"/>
      <c r="T265" s="523"/>
      <c r="U265" s="523"/>
      <c r="V265" s="523"/>
      <c r="W265" s="523"/>
      <c r="X265" s="523"/>
      <c r="Y265" s="523"/>
      <c r="Z265" s="523"/>
      <c r="AA265" s="523"/>
      <c r="AB265" s="523"/>
      <c r="AC265" s="523"/>
    </row>
    <row r="266" spans="1:29">
      <c r="A266" s="523"/>
      <c r="B266" s="523"/>
      <c r="C266" s="523"/>
      <c r="D266" s="523"/>
      <c r="E266" s="523"/>
      <c r="F266" s="523"/>
      <c r="G266" s="523"/>
      <c r="H266" s="523"/>
      <c r="I266" s="523"/>
      <c r="J266" s="523"/>
      <c r="K266" s="538"/>
      <c r="L266" s="539"/>
      <c r="M266" s="523"/>
      <c r="N266" s="523"/>
      <c r="O266" s="523"/>
      <c r="P266" s="523"/>
      <c r="Q266" s="523"/>
      <c r="R266" s="523"/>
      <c r="S266" s="523"/>
      <c r="T266" s="523"/>
      <c r="U266" s="523"/>
      <c r="V266" s="523"/>
      <c r="W266" s="523"/>
      <c r="X266" s="523"/>
      <c r="Y266" s="523"/>
      <c r="Z266" s="523"/>
      <c r="AA266" s="523"/>
      <c r="AB266" s="523"/>
      <c r="AC266" s="523"/>
    </row>
    <row r="267" spans="1:29">
      <c r="A267" s="523"/>
      <c r="B267" s="523"/>
      <c r="C267" s="523"/>
      <c r="D267" s="523"/>
      <c r="E267" s="523"/>
      <c r="F267" s="523"/>
      <c r="G267" s="523"/>
      <c r="H267" s="523"/>
      <c r="I267" s="523"/>
      <c r="J267" s="523"/>
      <c r="K267" s="538"/>
      <c r="L267" s="539"/>
      <c r="M267" s="523"/>
      <c r="N267" s="523"/>
      <c r="O267" s="523"/>
      <c r="P267" s="523"/>
      <c r="Q267" s="523"/>
      <c r="R267" s="523"/>
      <c r="S267" s="523"/>
      <c r="T267" s="523"/>
      <c r="U267" s="523"/>
      <c r="V267" s="523"/>
      <c r="W267" s="523"/>
      <c r="X267" s="523"/>
      <c r="Y267" s="523"/>
      <c r="Z267" s="523"/>
      <c r="AA267" s="523"/>
      <c r="AB267" s="523"/>
      <c r="AC267" s="523"/>
    </row>
    <row r="268" spans="1:29">
      <c r="A268" s="523"/>
      <c r="B268" s="523"/>
      <c r="C268" s="523"/>
      <c r="D268" s="523"/>
      <c r="E268" s="523"/>
      <c r="F268" s="523"/>
      <c r="G268" s="523"/>
      <c r="H268" s="523"/>
      <c r="I268" s="523"/>
      <c r="J268" s="523"/>
      <c r="K268" s="538"/>
      <c r="L268" s="539"/>
      <c r="M268" s="523"/>
      <c r="N268" s="523"/>
      <c r="O268" s="523"/>
      <c r="P268" s="523"/>
      <c r="Q268" s="523"/>
      <c r="R268" s="523"/>
      <c r="S268" s="523"/>
      <c r="T268" s="523"/>
      <c r="U268" s="523"/>
      <c r="V268" s="523"/>
      <c r="W268" s="523"/>
      <c r="X268" s="523"/>
      <c r="Y268" s="523"/>
      <c r="Z268" s="523"/>
      <c r="AA268" s="523"/>
      <c r="AB268" s="523"/>
      <c r="AC268" s="523"/>
    </row>
    <row r="269" spans="1:29">
      <c r="A269" s="523"/>
      <c r="B269" s="523"/>
      <c r="C269" s="523"/>
      <c r="D269" s="523"/>
      <c r="E269" s="523"/>
      <c r="F269" s="523"/>
      <c r="G269" s="523"/>
      <c r="H269" s="523"/>
      <c r="I269" s="523"/>
      <c r="J269" s="523"/>
      <c r="K269" s="538"/>
      <c r="L269" s="539"/>
      <c r="M269" s="523"/>
      <c r="N269" s="523"/>
      <c r="O269" s="523"/>
      <c r="P269" s="523"/>
      <c r="Q269" s="523"/>
      <c r="R269" s="523"/>
      <c r="S269" s="523"/>
      <c r="T269" s="523"/>
      <c r="U269" s="523"/>
      <c r="V269" s="523"/>
      <c r="W269" s="523"/>
      <c r="X269" s="523"/>
      <c r="Y269" s="523"/>
      <c r="Z269" s="523"/>
      <c r="AA269" s="523"/>
      <c r="AB269" s="523"/>
      <c r="AC269" s="523"/>
    </row>
    <row r="270" spans="1:29">
      <c r="A270" s="523"/>
      <c r="B270" s="523"/>
      <c r="C270" s="523"/>
      <c r="D270" s="523"/>
      <c r="E270" s="523"/>
      <c r="F270" s="523"/>
      <c r="G270" s="523"/>
      <c r="H270" s="523"/>
      <c r="I270" s="523"/>
      <c r="J270" s="523"/>
      <c r="K270" s="538"/>
      <c r="L270" s="539"/>
      <c r="M270" s="523"/>
      <c r="N270" s="523"/>
      <c r="O270" s="523"/>
      <c r="P270" s="523"/>
      <c r="Q270" s="523"/>
      <c r="R270" s="523"/>
      <c r="S270" s="523"/>
      <c r="T270" s="523"/>
      <c r="U270" s="523"/>
      <c r="V270" s="523"/>
      <c r="W270" s="523"/>
      <c r="X270" s="523"/>
      <c r="Y270" s="523"/>
      <c r="Z270" s="523"/>
      <c r="AA270" s="523"/>
      <c r="AB270" s="523"/>
      <c r="AC270" s="523"/>
    </row>
    <row r="271" spans="1:29">
      <c r="A271" s="523"/>
      <c r="B271" s="523"/>
      <c r="C271" s="523"/>
      <c r="D271" s="523"/>
      <c r="E271" s="523"/>
      <c r="F271" s="523"/>
      <c r="G271" s="523"/>
      <c r="H271" s="523"/>
      <c r="I271" s="523"/>
      <c r="J271" s="523"/>
      <c r="K271" s="538"/>
      <c r="L271" s="539"/>
      <c r="M271" s="523"/>
      <c r="N271" s="523"/>
      <c r="O271" s="523"/>
      <c r="P271" s="523"/>
      <c r="Q271" s="523"/>
      <c r="R271" s="523"/>
      <c r="S271" s="523"/>
      <c r="T271" s="523"/>
      <c r="U271" s="523"/>
      <c r="V271" s="523"/>
      <c r="W271" s="523"/>
      <c r="X271" s="523"/>
      <c r="Y271" s="523"/>
      <c r="Z271" s="523"/>
      <c r="AA271" s="523"/>
      <c r="AB271" s="523"/>
      <c r="AC271" s="523"/>
    </row>
    <row r="272" spans="1:29">
      <c r="A272" s="523"/>
      <c r="B272" s="523"/>
      <c r="C272" s="523"/>
      <c r="D272" s="523"/>
      <c r="E272" s="523"/>
      <c r="F272" s="523"/>
      <c r="G272" s="523"/>
      <c r="H272" s="523"/>
      <c r="I272" s="523"/>
      <c r="J272" s="523"/>
      <c r="K272" s="538"/>
      <c r="L272" s="539"/>
      <c r="M272" s="523"/>
      <c r="N272" s="523"/>
      <c r="O272" s="523"/>
      <c r="P272" s="523"/>
      <c r="Q272" s="523"/>
      <c r="R272" s="523"/>
      <c r="S272" s="523"/>
      <c r="T272" s="523"/>
      <c r="U272" s="523"/>
      <c r="V272" s="523"/>
      <c r="W272" s="523"/>
      <c r="X272" s="523"/>
      <c r="Y272" s="523"/>
      <c r="Z272" s="523"/>
      <c r="AA272" s="523"/>
      <c r="AB272" s="523"/>
      <c r="AC272" s="523"/>
    </row>
    <row r="273" spans="1:29">
      <c r="A273" s="523"/>
      <c r="B273" s="523"/>
      <c r="C273" s="523"/>
      <c r="D273" s="523"/>
      <c r="E273" s="523"/>
      <c r="F273" s="523"/>
      <c r="G273" s="523"/>
      <c r="H273" s="523"/>
      <c r="I273" s="523"/>
      <c r="J273" s="523"/>
      <c r="K273" s="538"/>
      <c r="L273" s="539"/>
      <c r="M273" s="523"/>
      <c r="N273" s="523"/>
      <c r="O273" s="523"/>
      <c r="P273" s="523"/>
      <c r="Q273" s="523"/>
      <c r="R273" s="523"/>
      <c r="S273" s="523"/>
      <c r="T273" s="523"/>
      <c r="U273" s="523"/>
      <c r="V273" s="523"/>
      <c r="W273" s="523"/>
      <c r="X273" s="523"/>
      <c r="Y273" s="523"/>
      <c r="Z273" s="523"/>
      <c r="AA273" s="523"/>
      <c r="AB273" s="523"/>
      <c r="AC273" s="523"/>
    </row>
    <row r="274" spans="1:29">
      <c r="A274" s="523"/>
      <c r="B274" s="523"/>
      <c r="C274" s="523"/>
      <c r="D274" s="523"/>
      <c r="E274" s="523"/>
      <c r="F274" s="523"/>
      <c r="G274" s="523"/>
      <c r="H274" s="523"/>
      <c r="I274" s="523"/>
      <c r="J274" s="523"/>
      <c r="K274" s="538"/>
      <c r="L274" s="539"/>
      <c r="M274" s="523"/>
      <c r="N274" s="523"/>
      <c r="O274" s="523"/>
      <c r="P274" s="523"/>
      <c r="Q274" s="523"/>
      <c r="R274" s="523"/>
      <c r="S274" s="523"/>
      <c r="T274" s="523"/>
      <c r="U274" s="523"/>
      <c r="V274" s="523"/>
      <c r="W274" s="523"/>
      <c r="X274" s="523"/>
      <c r="Y274" s="523"/>
      <c r="Z274" s="523"/>
      <c r="AA274" s="523"/>
      <c r="AB274" s="523"/>
      <c r="AC274" s="523"/>
    </row>
    <row r="275" spans="1:29">
      <c r="A275" s="523"/>
      <c r="B275" s="523"/>
      <c r="C275" s="523"/>
      <c r="D275" s="523"/>
      <c r="E275" s="523"/>
      <c r="F275" s="523"/>
      <c r="G275" s="523"/>
      <c r="H275" s="523"/>
      <c r="I275" s="523"/>
      <c r="J275" s="523"/>
      <c r="K275" s="538"/>
      <c r="L275" s="539"/>
      <c r="M275" s="523"/>
      <c r="N275" s="523"/>
      <c r="O275" s="523"/>
      <c r="P275" s="523"/>
      <c r="Q275" s="523"/>
      <c r="R275" s="523"/>
      <c r="S275" s="523"/>
      <c r="T275" s="523"/>
      <c r="U275" s="523"/>
      <c r="V275" s="523"/>
      <c r="W275" s="523"/>
      <c r="X275" s="523"/>
      <c r="Y275" s="523"/>
      <c r="Z275" s="523"/>
      <c r="AA275" s="523"/>
      <c r="AB275" s="523"/>
      <c r="AC275" s="523"/>
    </row>
    <row r="276" spans="1:29">
      <c r="A276" s="523"/>
      <c r="B276" s="523"/>
      <c r="C276" s="523"/>
      <c r="D276" s="523"/>
      <c r="E276" s="523"/>
      <c r="F276" s="523"/>
      <c r="G276" s="523"/>
      <c r="H276" s="523"/>
      <c r="I276" s="523"/>
      <c r="J276" s="523"/>
      <c r="K276" s="538"/>
      <c r="L276" s="539"/>
      <c r="M276" s="523"/>
      <c r="N276" s="523"/>
      <c r="O276" s="523"/>
      <c r="P276" s="523"/>
      <c r="Q276" s="523"/>
      <c r="R276" s="523"/>
      <c r="S276" s="523"/>
      <c r="T276" s="523"/>
      <c r="U276" s="523"/>
      <c r="V276" s="523"/>
      <c r="W276" s="523"/>
      <c r="X276" s="523"/>
      <c r="Y276" s="523"/>
      <c r="Z276" s="523"/>
      <c r="AA276" s="523"/>
      <c r="AB276" s="523"/>
      <c r="AC276" s="523"/>
    </row>
    <row r="277" spans="1:29">
      <c r="A277" s="523"/>
      <c r="B277" s="523"/>
      <c r="C277" s="523"/>
      <c r="D277" s="523"/>
      <c r="E277" s="523"/>
      <c r="F277" s="523"/>
      <c r="G277" s="523"/>
      <c r="H277" s="523"/>
      <c r="I277" s="523"/>
      <c r="J277" s="523"/>
      <c r="K277" s="538"/>
      <c r="L277" s="539"/>
      <c r="M277" s="523"/>
      <c r="N277" s="523"/>
      <c r="O277" s="523"/>
      <c r="P277" s="523"/>
      <c r="Q277" s="523"/>
      <c r="R277" s="523"/>
      <c r="S277" s="523"/>
      <c r="T277" s="523"/>
      <c r="U277" s="523"/>
      <c r="V277" s="523"/>
      <c r="W277" s="523"/>
      <c r="X277" s="523"/>
      <c r="Y277" s="523"/>
      <c r="Z277" s="523"/>
      <c r="AA277" s="523"/>
      <c r="AB277" s="523"/>
      <c r="AC277" s="523"/>
    </row>
    <row r="278" spans="1:29">
      <c r="A278" s="523"/>
      <c r="B278" s="523"/>
      <c r="C278" s="523"/>
      <c r="D278" s="523"/>
      <c r="E278" s="523"/>
      <c r="F278" s="523"/>
      <c r="G278" s="523"/>
      <c r="H278" s="523"/>
      <c r="I278" s="523"/>
      <c r="J278" s="523"/>
      <c r="K278" s="538"/>
      <c r="L278" s="539"/>
      <c r="M278" s="523"/>
      <c r="N278" s="523"/>
      <c r="O278" s="523"/>
      <c r="P278" s="523"/>
      <c r="Q278" s="523"/>
      <c r="R278" s="523"/>
      <c r="S278" s="523"/>
      <c r="T278" s="523"/>
      <c r="U278" s="523"/>
      <c r="V278" s="523"/>
      <c r="W278" s="523"/>
      <c r="X278" s="523"/>
      <c r="Y278" s="523"/>
      <c r="Z278" s="523"/>
      <c r="AA278" s="523"/>
      <c r="AB278" s="523"/>
      <c r="AC278" s="523"/>
    </row>
    <row r="279" spans="1:29">
      <c r="A279" s="523"/>
      <c r="B279" s="523"/>
      <c r="C279" s="523"/>
      <c r="D279" s="523"/>
      <c r="E279" s="523"/>
      <c r="F279" s="523"/>
      <c r="G279" s="523"/>
      <c r="H279" s="523"/>
      <c r="I279" s="523"/>
      <c r="J279" s="523"/>
      <c r="K279" s="538"/>
      <c r="L279" s="539"/>
      <c r="M279" s="523"/>
      <c r="N279" s="523"/>
      <c r="O279" s="523"/>
      <c r="P279" s="523"/>
      <c r="Q279" s="523"/>
      <c r="R279" s="523"/>
      <c r="S279" s="523"/>
      <c r="T279" s="523"/>
      <c r="U279" s="523"/>
      <c r="V279" s="523"/>
      <c r="W279" s="523"/>
      <c r="X279" s="523"/>
      <c r="Y279" s="523"/>
      <c r="Z279" s="523"/>
      <c r="AA279" s="523"/>
      <c r="AB279" s="523"/>
      <c r="AC279" s="523"/>
    </row>
    <row r="280" spans="1:29">
      <c r="A280" s="523"/>
      <c r="B280" s="523"/>
      <c r="C280" s="523"/>
      <c r="D280" s="523"/>
      <c r="E280" s="523"/>
      <c r="F280" s="523"/>
      <c r="G280" s="523"/>
      <c r="H280" s="523"/>
      <c r="I280" s="523"/>
      <c r="J280" s="523"/>
      <c r="K280" s="538"/>
      <c r="L280" s="539"/>
      <c r="M280" s="523"/>
      <c r="N280" s="523"/>
      <c r="O280" s="523"/>
      <c r="P280" s="523"/>
      <c r="Q280" s="523"/>
      <c r="R280" s="523"/>
      <c r="S280" s="523"/>
      <c r="T280" s="523"/>
      <c r="U280" s="523"/>
      <c r="V280" s="523"/>
      <c r="W280" s="523"/>
      <c r="X280" s="523"/>
      <c r="Y280" s="523"/>
      <c r="Z280" s="523"/>
      <c r="AA280" s="523"/>
      <c r="AB280" s="523"/>
      <c r="AC280" s="523"/>
    </row>
    <row r="281" spans="1:29">
      <c r="A281" s="523"/>
      <c r="B281" s="523"/>
      <c r="C281" s="523"/>
      <c r="D281" s="523"/>
      <c r="E281" s="523"/>
      <c r="F281" s="523"/>
      <c r="G281" s="523"/>
      <c r="H281" s="523"/>
      <c r="I281" s="523"/>
      <c r="J281" s="523"/>
      <c r="K281" s="538"/>
      <c r="L281" s="539"/>
      <c r="M281" s="523"/>
      <c r="N281" s="523"/>
      <c r="O281" s="523"/>
      <c r="P281" s="523"/>
      <c r="Q281" s="523"/>
      <c r="R281" s="523"/>
      <c r="S281" s="523"/>
      <c r="T281" s="523"/>
      <c r="U281" s="523"/>
      <c r="V281" s="523"/>
      <c r="W281" s="523"/>
      <c r="X281" s="523"/>
      <c r="Y281" s="523"/>
      <c r="Z281" s="523"/>
      <c r="AA281" s="523"/>
      <c r="AB281" s="523"/>
      <c r="AC281" s="523"/>
    </row>
    <row r="282" spans="1:29">
      <c r="A282" s="523"/>
      <c r="B282" s="523"/>
      <c r="C282" s="523"/>
      <c r="D282" s="523"/>
      <c r="E282" s="523"/>
      <c r="F282" s="523"/>
      <c r="G282" s="523"/>
      <c r="H282" s="523"/>
      <c r="I282" s="523"/>
      <c r="J282" s="523"/>
      <c r="K282" s="538"/>
      <c r="L282" s="539"/>
      <c r="M282" s="523"/>
      <c r="N282" s="523"/>
      <c r="O282" s="523"/>
      <c r="P282" s="523"/>
      <c r="Q282" s="523"/>
      <c r="R282" s="523"/>
      <c r="S282" s="523"/>
      <c r="T282" s="523"/>
      <c r="U282" s="523"/>
      <c r="V282" s="523"/>
      <c r="W282" s="523"/>
      <c r="X282" s="523"/>
      <c r="Y282" s="523"/>
      <c r="Z282" s="523"/>
      <c r="AA282" s="523"/>
      <c r="AB282" s="523"/>
      <c r="AC282" s="523"/>
    </row>
    <row r="283" spans="1:29">
      <c r="A283" s="523"/>
      <c r="B283" s="523"/>
      <c r="C283" s="523"/>
      <c r="D283" s="523"/>
      <c r="E283" s="523"/>
      <c r="F283" s="523"/>
      <c r="G283" s="523"/>
      <c r="H283" s="523"/>
      <c r="I283" s="523"/>
      <c r="J283" s="523"/>
      <c r="K283" s="538"/>
      <c r="L283" s="539"/>
      <c r="M283" s="523"/>
      <c r="N283" s="523"/>
      <c r="O283" s="523"/>
      <c r="P283" s="523"/>
      <c r="Q283" s="523"/>
      <c r="R283" s="523"/>
      <c r="S283" s="523"/>
      <c r="T283" s="523"/>
      <c r="U283" s="523"/>
      <c r="V283" s="523"/>
      <c r="W283" s="523"/>
      <c r="X283" s="523"/>
      <c r="Y283" s="523"/>
      <c r="Z283" s="523"/>
      <c r="AA283" s="523"/>
      <c r="AB283" s="523"/>
      <c r="AC283" s="523"/>
    </row>
    <row r="284" spans="1:29">
      <c r="A284" s="523"/>
      <c r="B284" s="523"/>
      <c r="C284" s="523"/>
      <c r="D284" s="523"/>
      <c r="E284" s="523"/>
      <c r="F284" s="523"/>
      <c r="G284" s="523"/>
      <c r="H284" s="523"/>
      <c r="I284" s="523"/>
      <c r="J284" s="523"/>
      <c r="K284" s="538"/>
      <c r="L284" s="539"/>
      <c r="M284" s="523"/>
      <c r="N284" s="523"/>
      <c r="O284" s="523"/>
      <c r="P284" s="523"/>
      <c r="Q284" s="523"/>
      <c r="R284" s="523"/>
      <c r="S284" s="523"/>
      <c r="T284" s="523"/>
      <c r="U284" s="523"/>
      <c r="V284" s="523"/>
      <c r="W284" s="523"/>
      <c r="X284" s="523"/>
      <c r="Y284" s="523"/>
      <c r="Z284" s="523"/>
      <c r="AA284" s="523"/>
      <c r="AB284" s="523"/>
      <c r="AC284" s="523"/>
    </row>
    <row r="285" spans="1:29">
      <c r="A285" s="523"/>
      <c r="B285" s="523"/>
      <c r="C285" s="523"/>
      <c r="D285" s="523"/>
      <c r="E285" s="523"/>
      <c r="F285" s="523"/>
      <c r="G285" s="523"/>
      <c r="H285" s="523"/>
      <c r="I285" s="523"/>
      <c r="J285" s="523"/>
      <c r="K285" s="538"/>
      <c r="L285" s="539"/>
      <c r="M285" s="523"/>
      <c r="N285" s="523"/>
      <c r="O285" s="523"/>
      <c r="P285" s="523"/>
      <c r="Q285" s="523"/>
      <c r="R285" s="523"/>
      <c r="S285" s="523"/>
      <c r="T285" s="523"/>
      <c r="U285" s="523"/>
      <c r="V285" s="523"/>
      <c r="W285" s="523"/>
      <c r="X285" s="523"/>
      <c r="Y285" s="523"/>
      <c r="Z285" s="523"/>
      <c r="AA285" s="523"/>
      <c r="AB285" s="523"/>
      <c r="AC285" s="523"/>
    </row>
    <row r="286" spans="1:29">
      <c r="A286" s="523"/>
      <c r="B286" s="523"/>
      <c r="C286" s="523"/>
      <c r="D286" s="523"/>
      <c r="E286" s="523"/>
      <c r="F286" s="523"/>
      <c r="G286" s="523"/>
      <c r="H286" s="523"/>
      <c r="I286" s="523"/>
      <c r="J286" s="523"/>
      <c r="K286" s="538"/>
      <c r="L286" s="539"/>
      <c r="M286" s="523"/>
      <c r="N286" s="523"/>
      <c r="O286" s="523"/>
      <c r="P286" s="523"/>
      <c r="Q286" s="523"/>
      <c r="R286" s="523"/>
      <c r="S286" s="523"/>
      <c r="T286" s="523"/>
      <c r="U286" s="523"/>
      <c r="V286" s="523"/>
      <c r="W286" s="523"/>
      <c r="X286" s="523"/>
      <c r="Y286" s="523"/>
      <c r="Z286" s="523"/>
      <c r="AA286" s="523"/>
      <c r="AB286" s="523"/>
      <c r="AC286" s="523"/>
    </row>
    <row r="287" spans="1:29">
      <c r="A287" s="523"/>
      <c r="B287" s="523"/>
      <c r="C287" s="523"/>
      <c r="D287" s="523"/>
      <c r="E287" s="523"/>
      <c r="F287" s="523"/>
      <c r="G287" s="523"/>
      <c r="H287" s="523"/>
      <c r="I287" s="523"/>
      <c r="J287" s="523"/>
      <c r="K287" s="538"/>
      <c r="L287" s="539"/>
      <c r="M287" s="523"/>
      <c r="N287" s="523"/>
      <c r="O287" s="523"/>
      <c r="P287" s="523"/>
      <c r="Q287" s="523"/>
      <c r="R287" s="523"/>
      <c r="S287" s="523"/>
      <c r="T287" s="523"/>
      <c r="U287" s="523"/>
      <c r="V287" s="523"/>
      <c r="W287" s="523"/>
      <c r="X287" s="523"/>
      <c r="Y287" s="523"/>
      <c r="Z287" s="523"/>
      <c r="AA287" s="523"/>
      <c r="AB287" s="523"/>
      <c r="AC287" s="523"/>
    </row>
    <row r="288" spans="1:29">
      <c r="A288" s="523"/>
      <c r="B288" s="523"/>
      <c r="C288" s="523"/>
      <c r="D288" s="523"/>
      <c r="E288" s="523"/>
      <c r="F288" s="523"/>
      <c r="G288" s="523"/>
      <c r="H288" s="523"/>
      <c r="I288" s="523"/>
      <c r="J288" s="523"/>
      <c r="K288" s="538"/>
      <c r="L288" s="539"/>
      <c r="M288" s="523"/>
      <c r="N288" s="523"/>
      <c r="O288" s="523"/>
      <c r="P288" s="523"/>
      <c r="Q288" s="523"/>
      <c r="R288" s="523"/>
      <c r="S288" s="523"/>
      <c r="T288" s="523"/>
      <c r="U288" s="523"/>
      <c r="V288" s="523"/>
      <c r="W288" s="523"/>
      <c r="X288" s="523"/>
      <c r="Y288" s="523"/>
      <c r="Z288" s="523"/>
      <c r="AA288" s="523"/>
      <c r="AB288" s="523"/>
      <c r="AC288" s="523"/>
    </row>
    <row r="289" spans="1:29">
      <c r="A289" s="523"/>
      <c r="B289" s="523"/>
      <c r="C289" s="523"/>
      <c r="D289" s="523"/>
      <c r="E289" s="523"/>
      <c r="F289" s="523"/>
      <c r="G289" s="523"/>
      <c r="H289" s="523"/>
      <c r="I289" s="523"/>
      <c r="J289" s="523"/>
      <c r="K289" s="538"/>
      <c r="L289" s="539"/>
      <c r="M289" s="523"/>
      <c r="N289" s="523"/>
      <c r="O289" s="523"/>
      <c r="P289" s="523"/>
      <c r="Q289" s="523"/>
      <c r="R289" s="523"/>
      <c r="S289" s="523"/>
      <c r="T289" s="523"/>
      <c r="U289" s="523"/>
      <c r="V289" s="523"/>
      <c r="W289" s="523"/>
      <c r="X289" s="523"/>
      <c r="Y289" s="523"/>
      <c r="Z289" s="523"/>
      <c r="AA289" s="523"/>
      <c r="AB289" s="523"/>
      <c r="AC289" s="523"/>
    </row>
    <row r="290" spans="1:29">
      <c r="A290" s="523"/>
      <c r="B290" s="523"/>
      <c r="C290" s="523"/>
      <c r="D290" s="523"/>
      <c r="E290" s="523"/>
      <c r="F290" s="523"/>
      <c r="G290" s="523"/>
      <c r="H290" s="523"/>
      <c r="I290" s="523"/>
      <c r="J290" s="523"/>
      <c r="K290" s="538"/>
      <c r="L290" s="539"/>
      <c r="M290" s="523"/>
      <c r="N290" s="523"/>
      <c r="O290" s="523"/>
      <c r="P290" s="523"/>
      <c r="Q290" s="523"/>
      <c r="R290" s="523"/>
      <c r="S290" s="523"/>
      <c r="T290" s="523"/>
      <c r="U290" s="523"/>
      <c r="V290" s="523"/>
      <c r="W290" s="523"/>
      <c r="X290" s="523"/>
      <c r="Y290" s="523"/>
      <c r="Z290" s="523"/>
      <c r="AA290" s="523"/>
      <c r="AB290" s="523"/>
      <c r="AC290" s="523"/>
    </row>
    <row r="291" spans="1:29">
      <c r="A291" s="523"/>
      <c r="B291" s="523"/>
      <c r="C291" s="523"/>
      <c r="D291" s="523"/>
      <c r="E291" s="523"/>
      <c r="F291" s="523"/>
      <c r="G291" s="523"/>
      <c r="H291" s="523"/>
      <c r="I291" s="523"/>
      <c r="J291" s="523"/>
      <c r="K291" s="538"/>
      <c r="L291" s="539"/>
      <c r="M291" s="523"/>
      <c r="N291" s="523"/>
      <c r="O291" s="523"/>
      <c r="P291" s="523"/>
      <c r="Q291" s="523"/>
      <c r="R291" s="523"/>
      <c r="S291" s="523"/>
      <c r="T291" s="523"/>
      <c r="U291" s="523"/>
      <c r="V291" s="523"/>
      <c r="W291" s="523"/>
      <c r="X291" s="523"/>
      <c r="Y291" s="523"/>
      <c r="Z291" s="523"/>
      <c r="AA291" s="523"/>
      <c r="AB291" s="523"/>
      <c r="AC291" s="523"/>
    </row>
    <row r="292" spans="1:29">
      <c r="A292" s="523"/>
      <c r="B292" s="523"/>
      <c r="C292" s="523"/>
      <c r="D292" s="523"/>
      <c r="E292" s="523"/>
      <c r="F292" s="523"/>
      <c r="G292" s="523"/>
      <c r="H292" s="523"/>
      <c r="I292" s="523"/>
      <c r="J292" s="523"/>
      <c r="K292" s="538"/>
      <c r="L292" s="539"/>
      <c r="M292" s="523"/>
      <c r="N292" s="523"/>
      <c r="O292" s="523"/>
      <c r="P292" s="523"/>
      <c r="Q292" s="523"/>
      <c r="R292" s="523"/>
      <c r="S292" s="523"/>
      <c r="T292" s="523"/>
      <c r="U292" s="523"/>
      <c r="V292" s="523"/>
      <c r="W292" s="523"/>
      <c r="X292" s="523"/>
      <c r="Y292" s="523"/>
      <c r="Z292" s="523"/>
      <c r="AA292" s="523"/>
      <c r="AB292" s="523"/>
      <c r="AC292" s="523"/>
    </row>
    <row r="293" spans="1:29">
      <c r="A293" s="523"/>
      <c r="B293" s="523"/>
      <c r="C293" s="523"/>
      <c r="D293" s="523"/>
      <c r="E293" s="523"/>
      <c r="F293" s="523"/>
      <c r="G293" s="523"/>
      <c r="H293" s="523"/>
      <c r="I293" s="523"/>
      <c r="J293" s="523"/>
      <c r="K293" s="538"/>
      <c r="L293" s="539"/>
      <c r="M293" s="523"/>
      <c r="N293" s="523"/>
      <c r="O293" s="523"/>
      <c r="P293" s="523"/>
      <c r="Q293" s="523"/>
      <c r="R293" s="523"/>
      <c r="S293" s="523"/>
      <c r="T293" s="523"/>
      <c r="U293" s="523"/>
      <c r="V293" s="523"/>
      <c r="W293" s="523"/>
      <c r="X293" s="523"/>
      <c r="Y293" s="523"/>
      <c r="Z293" s="523"/>
      <c r="AA293" s="523"/>
      <c r="AB293" s="523"/>
      <c r="AC293" s="523"/>
    </row>
    <row r="294" spans="1:29">
      <c r="A294" s="523"/>
      <c r="B294" s="523"/>
      <c r="C294" s="523"/>
      <c r="D294" s="523"/>
      <c r="E294" s="523"/>
      <c r="F294" s="523"/>
      <c r="G294" s="523"/>
      <c r="H294" s="523"/>
      <c r="I294" s="523"/>
      <c r="J294" s="523"/>
      <c r="K294" s="538"/>
      <c r="L294" s="539"/>
      <c r="M294" s="523"/>
      <c r="N294" s="523"/>
      <c r="O294" s="523"/>
      <c r="P294" s="523"/>
      <c r="Q294" s="523"/>
      <c r="R294" s="523"/>
      <c r="S294" s="523"/>
      <c r="T294" s="523"/>
      <c r="U294" s="523"/>
      <c r="V294" s="523"/>
      <c r="W294" s="523"/>
      <c r="X294" s="523"/>
      <c r="Y294" s="523"/>
      <c r="Z294" s="523"/>
      <c r="AA294" s="523"/>
      <c r="AB294" s="523"/>
      <c r="AC294" s="523"/>
    </row>
    <row r="295" spans="1:29">
      <c r="A295" s="523"/>
      <c r="B295" s="523"/>
      <c r="C295" s="523"/>
      <c r="D295" s="523"/>
      <c r="E295" s="523"/>
      <c r="F295" s="523"/>
      <c r="G295" s="523"/>
      <c r="H295" s="523"/>
      <c r="I295" s="523"/>
      <c r="J295" s="523"/>
      <c r="K295" s="538"/>
      <c r="L295" s="539"/>
      <c r="M295" s="523"/>
      <c r="N295" s="523"/>
      <c r="O295" s="523"/>
      <c r="P295" s="523"/>
      <c r="Q295" s="523"/>
      <c r="R295" s="523"/>
      <c r="S295" s="523"/>
      <c r="T295" s="523"/>
      <c r="U295" s="523"/>
      <c r="V295" s="523"/>
      <c r="W295" s="523"/>
      <c r="X295" s="523"/>
      <c r="Y295" s="523"/>
      <c r="Z295" s="523"/>
      <c r="AA295" s="523"/>
      <c r="AB295" s="523"/>
      <c r="AC295" s="523"/>
    </row>
    <row r="296" spans="1:29">
      <c r="A296" s="523"/>
      <c r="B296" s="523"/>
      <c r="C296" s="523"/>
      <c r="D296" s="523"/>
      <c r="E296" s="523"/>
      <c r="F296" s="523"/>
      <c r="G296" s="523"/>
      <c r="H296" s="523"/>
      <c r="I296" s="523"/>
      <c r="J296" s="523"/>
      <c r="K296" s="538"/>
      <c r="L296" s="539"/>
      <c r="M296" s="523"/>
      <c r="N296" s="523"/>
      <c r="O296" s="523"/>
      <c r="P296" s="523"/>
      <c r="Q296" s="523"/>
      <c r="R296" s="523"/>
      <c r="S296" s="523"/>
      <c r="T296" s="523"/>
      <c r="U296" s="523"/>
      <c r="V296" s="523"/>
      <c r="W296" s="523"/>
      <c r="X296" s="523"/>
      <c r="Y296" s="523"/>
      <c r="Z296" s="523"/>
      <c r="AA296" s="523"/>
      <c r="AB296" s="523"/>
      <c r="AC296" s="523"/>
    </row>
    <row r="297" spans="1:29">
      <c r="A297" s="523"/>
      <c r="B297" s="523"/>
      <c r="C297" s="523"/>
      <c r="D297" s="523"/>
      <c r="E297" s="523"/>
      <c r="F297" s="523"/>
      <c r="G297" s="523"/>
      <c r="H297" s="523"/>
      <c r="I297" s="523"/>
      <c r="J297" s="523"/>
      <c r="K297" s="538"/>
      <c r="L297" s="539"/>
      <c r="M297" s="523"/>
      <c r="N297" s="523"/>
      <c r="O297" s="523"/>
      <c r="P297" s="523"/>
      <c r="Q297" s="523"/>
      <c r="R297" s="523"/>
      <c r="S297" s="523"/>
      <c r="T297" s="523"/>
      <c r="U297" s="523"/>
      <c r="V297" s="523"/>
      <c r="W297" s="523"/>
      <c r="X297" s="523"/>
      <c r="Y297" s="523"/>
      <c r="Z297" s="523"/>
      <c r="AA297" s="523"/>
      <c r="AB297" s="523"/>
      <c r="AC297" s="523"/>
    </row>
    <row r="298" spans="1:29">
      <c r="A298" s="523"/>
      <c r="B298" s="523"/>
      <c r="C298" s="523"/>
      <c r="D298" s="523"/>
      <c r="E298" s="523"/>
      <c r="F298" s="523"/>
      <c r="G298" s="523"/>
      <c r="H298" s="523"/>
      <c r="I298" s="523"/>
      <c r="J298" s="523"/>
      <c r="K298" s="538"/>
      <c r="L298" s="539"/>
      <c r="M298" s="523"/>
      <c r="N298" s="523"/>
      <c r="O298" s="523"/>
      <c r="P298" s="523"/>
      <c r="Q298" s="523"/>
      <c r="R298" s="523"/>
      <c r="S298" s="523"/>
      <c r="T298" s="523"/>
      <c r="U298" s="523"/>
      <c r="V298" s="523"/>
      <c r="W298" s="523"/>
      <c r="X298" s="523"/>
      <c r="Y298" s="523"/>
      <c r="Z298" s="523"/>
      <c r="AA298" s="523"/>
      <c r="AB298" s="523"/>
      <c r="AC298" s="523"/>
    </row>
    <row r="299" spans="1:29">
      <c r="A299" s="523"/>
      <c r="B299" s="523"/>
      <c r="C299" s="523"/>
      <c r="D299" s="523"/>
      <c r="E299" s="523"/>
      <c r="F299" s="523"/>
      <c r="G299" s="523"/>
      <c r="H299" s="523"/>
      <c r="I299" s="523"/>
      <c r="J299" s="523"/>
      <c r="K299" s="538"/>
      <c r="L299" s="539"/>
      <c r="M299" s="523"/>
      <c r="N299" s="523"/>
      <c r="O299" s="523"/>
      <c r="P299" s="523"/>
      <c r="Q299" s="523"/>
      <c r="R299" s="523"/>
      <c r="S299" s="523"/>
      <c r="T299" s="523"/>
      <c r="U299" s="523"/>
      <c r="V299" s="523"/>
      <c r="W299" s="523"/>
      <c r="X299" s="523"/>
      <c r="Y299" s="523"/>
      <c r="Z299" s="523"/>
      <c r="AA299" s="523"/>
      <c r="AB299" s="523"/>
      <c r="AC299" s="523"/>
    </row>
    <row r="300" spans="1:29">
      <c r="A300" s="523"/>
      <c r="B300" s="523"/>
      <c r="C300" s="523"/>
      <c r="D300" s="523"/>
      <c r="E300" s="523"/>
      <c r="F300" s="523"/>
      <c r="G300" s="523"/>
      <c r="H300" s="523"/>
      <c r="I300" s="523"/>
      <c r="J300" s="523"/>
      <c r="K300" s="538"/>
      <c r="L300" s="539"/>
      <c r="M300" s="523"/>
      <c r="N300" s="523"/>
      <c r="O300" s="523"/>
      <c r="P300" s="523"/>
      <c r="Q300" s="523"/>
      <c r="R300" s="523"/>
      <c r="S300" s="523"/>
      <c r="T300" s="523"/>
      <c r="U300" s="523"/>
      <c r="V300" s="523"/>
      <c r="W300" s="523"/>
      <c r="X300" s="523"/>
      <c r="Y300" s="523"/>
      <c r="Z300" s="523"/>
      <c r="AA300" s="523"/>
      <c r="AB300" s="523"/>
      <c r="AC300" s="523"/>
    </row>
    <row r="301" spans="1:29">
      <c r="A301" s="523"/>
      <c r="B301" s="523"/>
      <c r="C301" s="523"/>
      <c r="D301" s="523"/>
      <c r="E301" s="523"/>
      <c r="F301" s="523"/>
      <c r="G301" s="523"/>
      <c r="H301" s="523"/>
      <c r="I301" s="523"/>
      <c r="J301" s="523"/>
      <c r="K301" s="538"/>
      <c r="L301" s="539"/>
      <c r="M301" s="523"/>
      <c r="N301" s="523"/>
      <c r="O301" s="523"/>
      <c r="P301" s="523"/>
      <c r="Q301" s="523"/>
      <c r="R301" s="523"/>
      <c r="S301" s="523"/>
      <c r="T301" s="523"/>
      <c r="U301" s="523"/>
      <c r="V301" s="523"/>
      <c r="W301" s="523"/>
      <c r="X301" s="523"/>
      <c r="Y301" s="523"/>
      <c r="Z301" s="523"/>
      <c r="AA301" s="523"/>
      <c r="AB301" s="523"/>
      <c r="AC301" s="523"/>
    </row>
    <row r="302" spans="1:29">
      <c r="A302" s="523"/>
      <c r="B302" s="523"/>
      <c r="C302" s="523"/>
      <c r="D302" s="523"/>
      <c r="E302" s="523"/>
      <c r="F302" s="523"/>
      <c r="G302" s="523"/>
      <c r="H302" s="523"/>
      <c r="I302" s="523"/>
      <c r="J302" s="523"/>
      <c r="K302" s="538"/>
      <c r="L302" s="539"/>
      <c r="M302" s="523"/>
      <c r="N302" s="523"/>
      <c r="O302" s="523"/>
      <c r="P302" s="523"/>
      <c r="Q302" s="523"/>
      <c r="R302" s="523"/>
      <c r="S302" s="523"/>
      <c r="T302" s="523"/>
      <c r="U302" s="523"/>
      <c r="V302" s="523"/>
      <c r="W302" s="523"/>
      <c r="X302" s="523"/>
      <c r="Y302" s="523"/>
      <c r="Z302" s="523"/>
      <c r="AA302" s="523"/>
      <c r="AB302" s="523"/>
      <c r="AC302" s="523"/>
    </row>
    <row r="303" spans="1:29">
      <c r="A303" s="523"/>
      <c r="B303" s="523"/>
      <c r="C303" s="523"/>
      <c r="D303" s="523"/>
      <c r="E303" s="523"/>
      <c r="F303" s="523"/>
      <c r="G303" s="523"/>
      <c r="H303" s="523"/>
      <c r="I303" s="523"/>
      <c r="J303" s="523"/>
      <c r="K303" s="538"/>
      <c r="L303" s="539"/>
      <c r="M303" s="523"/>
      <c r="N303" s="523"/>
      <c r="O303" s="523"/>
      <c r="P303" s="523"/>
      <c r="Q303" s="523"/>
      <c r="R303" s="523"/>
      <c r="S303" s="523"/>
      <c r="T303" s="523"/>
      <c r="U303" s="523"/>
      <c r="V303" s="523"/>
      <c r="W303" s="523"/>
      <c r="X303" s="523"/>
      <c r="Y303" s="523"/>
      <c r="Z303" s="523"/>
      <c r="AA303" s="523"/>
      <c r="AB303" s="523"/>
      <c r="AC303" s="523"/>
    </row>
    <row r="304" spans="1:29">
      <c r="A304" s="523"/>
      <c r="B304" s="523"/>
      <c r="C304" s="523"/>
      <c r="D304" s="523"/>
      <c r="E304" s="523"/>
      <c r="F304" s="523"/>
      <c r="G304" s="523"/>
      <c r="H304" s="523"/>
      <c r="I304" s="523"/>
      <c r="J304" s="523"/>
      <c r="K304" s="538"/>
      <c r="L304" s="539"/>
      <c r="M304" s="523"/>
      <c r="N304" s="523"/>
      <c r="O304" s="523"/>
      <c r="P304" s="523"/>
      <c r="Q304" s="523"/>
      <c r="R304" s="523"/>
      <c r="S304" s="523"/>
      <c r="T304" s="523"/>
      <c r="U304" s="523"/>
      <c r="V304" s="523"/>
      <c r="W304" s="523"/>
      <c r="X304" s="523"/>
      <c r="Y304" s="523"/>
      <c r="Z304" s="523"/>
      <c r="AA304" s="523"/>
      <c r="AB304" s="523"/>
      <c r="AC304" s="523"/>
    </row>
    <row r="305" spans="1:29">
      <c r="A305" s="523"/>
      <c r="B305" s="523"/>
      <c r="C305" s="523"/>
      <c r="D305" s="523"/>
      <c r="E305" s="523"/>
      <c r="F305" s="523"/>
      <c r="G305" s="523"/>
      <c r="H305" s="523"/>
      <c r="I305" s="523"/>
      <c r="J305" s="523"/>
      <c r="K305" s="538"/>
      <c r="L305" s="539"/>
      <c r="M305" s="523"/>
      <c r="N305" s="523"/>
      <c r="O305" s="523"/>
      <c r="P305" s="523"/>
      <c r="Q305" s="523"/>
      <c r="R305" s="523"/>
      <c r="S305" s="523"/>
      <c r="T305" s="523"/>
      <c r="U305" s="523"/>
      <c r="V305" s="523"/>
      <c r="W305" s="523"/>
      <c r="X305" s="523"/>
      <c r="Y305" s="523"/>
      <c r="Z305" s="523"/>
      <c r="AA305" s="523"/>
      <c r="AB305" s="523"/>
      <c r="AC305" s="523"/>
    </row>
    <row r="306" spans="1:29">
      <c r="A306" s="523"/>
      <c r="B306" s="523"/>
      <c r="C306" s="523"/>
      <c r="D306" s="523"/>
      <c r="E306" s="523"/>
      <c r="F306" s="523"/>
      <c r="G306" s="523"/>
      <c r="H306" s="523"/>
      <c r="I306" s="523"/>
      <c r="J306" s="523"/>
      <c r="K306" s="538"/>
      <c r="L306" s="539"/>
      <c r="M306" s="523"/>
      <c r="N306" s="523"/>
      <c r="O306" s="523"/>
      <c r="P306" s="523"/>
      <c r="Q306" s="523"/>
      <c r="R306" s="523"/>
      <c r="S306" s="523"/>
      <c r="T306" s="523"/>
      <c r="U306" s="523"/>
      <c r="V306" s="523"/>
      <c r="W306" s="523"/>
      <c r="X306" s="523"/>
      <c r="Y306" s="523"/>
      <c r="Z306" s="523"/>
      <c r="AA306" s="523"/>
      <c r="AB306" s="523"/>
      <c r="AC306" s="523"/>
    </row>
    <row r="307" spans="1:29">
      <c r="A307" s="523"/>
      <c r="B307" s="523"/>
      <c r="C307" s="523"/>
      <c r="D307" s="523"/>
      <c r="E307" s="523"/>
      <c r="F307" s="523"/>
      <c r="G307" s="523"/>
      <c r="H307" s="523"/>
      <c r="I307" s="523"/>
      <c r="J307" s="523"/>
      <c r="K307" s="538"/>
      <c r="L307" s="539"/>
      <c r="M307" s="523"/>
      <c r="N307" s="523"/>
      <c r="O307" s="523"/>
      <c r="P307" s="523"/>
      <c r="Q307" s="523"/>
      <c r="R307" s="523"/>
      <c r="S307" s="523"/>
      <c r="T307" s="523"/>
      <c r="U307" s="523"/>
      <c r="V307" s="523"/>
      <c r="W307" s="523"/>
      <c r="X307" s="523"/>
      <c r="Y307" s="523"/>
      <c r="Z307" s="523"/>
      <c r="AA307" s="523"/>
      <c r="AB307" s="523"/>
      <c r="AC307" s="523"/>
    </row>
    <row r="308" spans="1:29">
      <c r="A308" s="523"/>
      <c r="B308" s="523"/>
      <c r="C308" s="523"/>
      <c r="D308" s="523"/>
      <c r="E308" s="523"/>
      <c r="F308" s="523"/>
      <c r="G308" s="523"/>
      <c r="H308" s="523"/>
      <c r="I308" s="523"/>
      <c r="J308" s="523"/>
      <c r="K308" s="538"/>
      <c r="L308" s="539"/>
      <c r="M308" s="523"/>
      <c r="N308" s="523"/>
      <c r="O308" s="523"/>
      <c r="P308" s="523"/>
      <c r="Q308" s="523"/>
      <c r="R308" s="523"/>
      <c r="S308" s="523"/>
      <c r="T308" s="523"/>
      <c r="U308" s="523"/>
      <c r="V308" s="523"/>
      <c r="W308" s="523"/>
      <c r="X308" s="523"/>
      <c r="Y308" s="523"/>
      <c r="Z308" s="523"/>
      <c r="AA308" s="523"/>
      <c r="AB308" s="523"/>
      <c r="AC308" s="523"/>
    </row>
    <row r="309" spans="1:29">
      <c r="A309" s="523"/>
      <c r="B309" s="523"/>
      <c r="C309" s="523"/>
      <c r="D309" s="523"/>
      <c r="E309" s="523"/>
      <c r="F309" s="523"/>
      <c r="G309" s="523"/>
      <c r="H309" s="523"/>
      <c r="I309" s="523"/>
      <c r="J309" s="523"/>
      <c r="K309" s="538"/>
      <c r="L309" s="539"/>
      <c r="M309" s="523"/>
      <c r="N309" s="523"/>
      <c r="O309" s="523"/>
      <c r="P309" s="523"/>
      <c r="Q309" s="523"/>
      <c r="R309" s="523"/>
      <c r="S309" s="523"/>
      <c r="T309" s="523"/>
      <c r="U309" s="523"/>
      <c r="V309" s="523"/>
      <c r="W309" s="523"/>
      <c r="X309" s="523"/>
      <c r="Y309" s="523"/>
      <c r="Z309" s="523"/>
      <c r="AA309" s="523"/>
      <c r="AB309" s="523"/>
      <c r="AC309" s="523"/>
    </row>
    <row r="310" spans="1:29">
      <c r="A310" s="523"/>
      <c r="B310" s="523"/>
      <c r="C310" s="523"/>
      <c r="D310" s="523"/>
      <c r="E310" s="523"/>
      <c r="F310" s="523"/>
      <c r="G310" s="523"/>
      <c r="H310" s="523"/>
      <c r="I310" s="523"/>
      <c r="J310" s="523"/>
      <c r="K310" s="538"/>
      <c r="L310" s="539"/>
      <c r="M310" s="523"/>
      <c r="N310" s="523"/>
      <c r="O310" s="523"/>
      <c r="P310" s="523"/>
      <c r="Q310" s="523"/>
      <c r="R310" s="523"/>
      <c r="S310" s="523"/>
      <c r="T310" s="523"/>
      <c r="U310" s="523"/>
      <c r="V310" s="523"/>
      <c r="W310" s="523"/>
      <c r="X310" s="523"/>
      <c r="Y310" s="523"/>
      <c r="Z310" s="523"/>
      <c r="AA310" s="523"/>
      <c r="AB310" s="523"/>
      <c r="AC310" s="523"/>
    </row>
    <row r="311" spans="1:29">
      <c r="A311" s="523"/>
      <c r="B311" s="523"/>
      <c r="C311" s="523"/>
      <c r="D311" s="523"/>
      <c r="E311" s="523"/>
      <c r="F311" s="523"/>
      <c r="G311" s="523"/>
      <c r="H311" s="523"/>
      <c r="I311" s="523"/>
      <c r="J311" s="523"/>
      <c r="K311" s="538"/>
      <c r="L311" s="539"/>
      <c r="M311" s="523"/>
      <c r="N311" s="523"/>
      <c r="O311" s="523"/>
      <c r="P311" s="523"/>
      <c r="Q311" s="523"/>
      <c r="R311" s="523"/>
      <c r="S311" s="523"/>
      <c r="T311" s="523"/>
      <c r="U311" s="523"/>
      <c r="V311" s="523"/>
      <c r="W311" s="523"/>
      <c r="X311" s="523"/>
      <c r="Y311" s="523"/>
      <c r="Z311" s="523"/>
      <c r="AA311" s="523"/>
      <c r="AB311" s="523"/>
      <c r="AC311" s="523"/>
    </row>
    <row r="312" spans="1:29">
      <c r="A312" s="523"/>
      <c r="B312" s="523"/>
      <c r="C312" s="523"/>
      <c r="D312" s="523"/>
      <c r="E312" s="523"/>
      <c r="F312" s="523"/>
      <c r="G312" s="523"/>
      <c r="H312" s="523"/>
      <c r="I312" s="523"/>
      <c r="J312" s="523"/>
      <c r="K312" s="538"/>
      <c r="L312" s="539"/>
      <c r="M312" s="523"/>
      <c r="N312" s="523"/>
      <c r="O312" s="523"/>
      <c r="P312" s="523"/>
      <c r="Q312" s="523"/>
      <c r="R312" s="523"/>
      <c r="S312" s="523"/>
      <c r="T312" s="523"/>
      <c r="U312" s="523"/>
      <c r="V312" s="523"/>
      <c r="W312" s="523"/>
      <c r="X312" s="523"/>
      <c r="Y312" s="523"/>
      <c r="Z312" s="523"/>
      <c r="AA312" s="523"/>
      <c r="AB312" s="523"/>
      <c r="AC312" s="523"/>
    </row>
    <row r="313" spans="1:29">
      <c r="A313" s="523"/>
      <c r="B313" s="523"/>
      <c r="C313" s="523"/>
      <c r="D313" s="523"/>
      <c r="E313" s="523"/>
      <c r="F313" s="523"/>
      <c r="G313" s="523"/>
      <c r="H313" s="523"/>
      <c r="I313" s="523"/>
      <c r="J313" s="523"/>
      <c r="K313" s="538"/>
      <c r="L313" s="539"/>
      <c r="M313" s="523"/>
      <c r="N313" s="523"/>
      <c r="O313" s="523"/>
      <c r="P313" s="523"/>
      <c r="Q313" s="523"/>
      <c r="R313" s="523"/>
      <c r="S313" s="523"/>
      <c r="T313" s="523"/>
      <c r="U313" s="523"/>
      <c r="V313" s="523"/>
      <c r="W313" s="523"/>
      <c r="X313" s="523"/>
      <c r="Y313" s="523"/>
      <c r="Z313" s="523"/>
      <c r="AA313" s="523"/>
      <c r="AB313" s="523"/>
      <c r="AC313" s="523"/>
    </row>
    <row r="314" spans="1:29">
      <c r="A314" s="523"/>
      <c r="B314" s="523"/>
      <c r="C314" s="523"/>
      <c r="D314" s="523"/>
      <c r="E314" s="523"/>
      <c r="F314" s="523"/>
      <c r="G314" s="523"/>
      <c r="H314" s="523"/>
      <c r="I314" s="523"/>
      <c r="J314" s="523"/>
      <c r="K314" s="538"/>
      <c r="L314" s="539"/>
      <c r="M314" s="523"/>
      <c r="N314" s="523"/>
      <c r="O314" s="523"/>
      <c r="P314" s="523"/>
      <c r="Q314" s="523"/>
      <c r="R314" s="523"/>
      <c r="S314" s="523"/>
      <c r="T314" s="523"/>
      <c r="U314" s="523"/>
      <c r="V314" s="523"/>
      <c r="W314" s="523"/>
      <c r="X314" s="523"/>
      <c r="Y314" s="523"/>
      <c r="Z314" s="523"/>
      <c r="AA314" s="523"/>
      <c r="AB314" s="523"/>
      <c r="AC314" s="523"/>
    </row>
    <row r="315" spans="1:29">
      <c r="A315" s="523"/>
      <c r="B315" s="523"/>
      <c r="C315" s="523"/>
      <c r="D315" s="523"/>
      <c r="E315" s="523"/>
      <c r="F315" s="523"/>
      <c r="G315" s="523"/>
      <c r="H315" s="523"/>
      <c r="I315" s="523"/>
      <c r="J315" s="523"/>
      <c r="K315" s="538"/>
      <c r="L315" s="539"/>
      <c r="M315" s="523"/>
      <c r="N315" s="523"/>
      <c r="O315" s="523"/>
      <c r="P315" s="523"/>
      <c r="Q315" s="523"/>
      <c r="R315" s="523"/>
      <c r="S315" s="523"/>
      <c r="T315" s="523"/>
      <c r="U315" s="523"/>
      <c r="V315" s="523"/>
      <c r="W315" s="523"/>
      <c r="X315" s="523"/>
      <c r="Y315" s="523"/>
      <c r="Z315" s="523"/>
      <c r="AA315" s="523"/>
      <c r="AB315" s="523"/>
      <c r="AC315" s="523"/>
    </row>
    <row r="316" spans="1:29">
      <c r="A316" s="523"/>
      <c r="B316" s="523"/>
      <c r="C316" s="523"/>
      <c r="D316" s="523"/>
      <c r="E316" s="523"/>
      <c r="F316" s="523"/>
      <c r="G316" s="523"/>
      <c r="H316" s="523"/>
      <c r="I316" s="523"/>
      <c r="J316" s="523"/>
      <c r="K316" s="538"/>
      <c r="L316" s="539"/>
      <c r="M316" s="523"/>
      <c r="N316" s="523"/>
      <c r="O316" s="523"/>
      <c r="P316" s="523"/>
      <c r="Q316" s="523"/>
      <c r="R316" s="523"/>
      <c r="S316" s="523"/>
      <c r="T316" s="523"/>
      <c r="U316" s="523"/>
      <c r="V316" s="523"/>
      <c r="W316" s="523"/>
      <c r="X316" s="523"/>
      <c r="Y316" s="523"/>
      <c r="Z316" s="523"/>
      <c r="AA316" s="523"/>
      <c r="AB316" s="523"/>
      <c r="AC316" s="523"/>
    </row>
    <row r="317" spans="1:29">
      <c r="A317" s="523"/>
      <c r="B317" s="523"/>
      <c r="C317" s="523"/>
      <c r="D317" s="523"/>
      <c r="E317" s="523"/>
      <c r="F317" s="523"/>
      <c r="G317" s="523"/>
      <c r="H317" s="523"/>
      <c r="I317" s="523"/>
      <c r="J317" s="523"/>
      <c r="K317" s="538"/>
      <c r="L317" s="539"/>
      <c r="M317" s="523"/>
      <c r="N317" s="523"/>
      <c r="O317" s="523"/>
      <c r="P317" s="523"/>
      <c r="Q317" s="523"/>
      <c r="R317" s="523"/>
      <c r="S317" s="523"/>
      <c r="T317" s="523"/>
      <c r="U317" s="523"/>
      <c r="V317" s="523"/>
      <c r="W317" s="523"/>
      <c r="X317" s="523"/>
      <c r="Y317" s="523"/>
      <c r="Z317" s="523"/>
      <c r="AA317" s="523"/>
      <c r="AB317" s="523"/>
      <c r="AC317" s="523"/>
    </row>
    <row r="318" spans="1:29">
      <c r="A318" s="523"/>
      <c r="B318" s="523"/>
      <c r="C318" s="523"/>
      <c r="D318" s="523"/>
      <c r="E318" s="523"/>
      <c r="F318" s="523"/>
      <c r="G318" s="523"/>
      <c r="H318" s="523"/>
      <c r="I318" s="523"/>
      <c r="J318" s="523"/>
      <c r="K318" s="538"/>
      <c r="L318" s="539"/>
      <c r="M318" s="523"/>
      <c r="N318" s="523"/>
      <c r="O318" s="523"/>
      <c r="P318" s="523"/>
      <c r="Q318" s="523"/>
      <c r="R318" s="523"/>
      <c r="S318" s="523"/>
      <c r="T318" s="523"/>
      <c r="U318" s="523"/>
      <c r="V318" s="523"/>
      <c r="W318" s="523"/>
      <c r="X318" s="523"/>
      <c r="Y318" s="523"/>
      <c r="Z318" s="523"/>
      <c r="AA318" s="523"/>
      <c r="AB318" s="523"/>
      <c r="AC318" s="523"/>
    </row>
    <row r="319" spans="14:29">
      <c r="N319" s="523"/>
      <c r="O319" s="523"/>
      <c r="P319" s="523"/>
      <c r="Q319" s="523"/>
      <c r="R319" s="523"/>
      <c r="S319" s="523"/>
      <c r="T319" s="523"/>
      <c r="U319" s="523"/>
      <c r="V319" s="523"/>
      <c r="W319" s="523"/>
      <c r="X319" s="523"/>
      <c r="Y319" s="523"/>
      <c r="Z319" s="523"/>
      <c r="AA319" s="523"/>
      <c r="AB319" s="523"/>
      <c r="AC319" s="523"/>
    </row>
    <row r="320" spans="29:29">
      <c r="AC320" s="523"/>
    </row>
    <row r="321" spans="29:29">
      <c r="AC321" s="523"/>
    </row>
    <row r="322" spans="29:29">
      <c r="AC322" s="523"/>
    </row>
    <row r="323" spans="29:29">
      <c r="AC323" s="523"/>
    </row>
    <row r="324" spans="29:29">
      <c r="AC324" s="523"/>
    </row>
    <row r="325" spans="29:29">
      <c r="AC325" s="523"/>
    </row>
    <row r="326" spans="29:29">
      <c r="AC326" s="523"/>
    </row>
    <row r="327" spans="29:29">
      <c r="AC327" s="523"/>
    </row>
    <row r="328" spans="29:29">
      <c r="AC328" s="523"/>
    </row>
    <row r="329" spans="29:29">
      <c r="AC329" s="523"/>
    </row>
    <row r="330" spans="29:29">
      <c r="AC330" s="523"/>
    </row>
    <row r="331" spans="29:29">
      <c r="AC331" s="523"/>
    </row>
    <row r="332" spans="29:29">
      <c r="AC332" s="523"/>
    </row>
    <row r="333" spans="29:29">
      <c r="AC333" s="523"/>
    </row>
    <row r="334" spans="29:29">
      <c r="AC334" s="523"/>
    </row>
    <row r="335" spans="29:29">
      <c r="AC335" s="523"/>
    </row>
    <row r="336" spans="29:29">
      <c r="AC336" s="523"/>
    </row>
    <row r="337" spans="29:29">
      <c r="AC337" s="523"/>
    </row>
    <row r="338" spans="29:29">
      <c r="AC338" s="523"/>
    </row>
    <row r="339" spans="29:29">
      <c r="AC339" s="523"/>
    </row>
    <row r="340" spans="29:29">
      <c r="AC340" s="523"/>
    </row>
    <row r="341" spans="29:29">
      <c r="AC341" s="523"/>
    </row>
    <row r="342" spans="29:29">
      <c r="AC342" s="523"/>
    </row>
    <row r="343" spans="29:29">
      <c r="AC343" s="523"/>
    </row>
    <row r="344" spans="29:29">
      <c r="AC344" s="523"/>
    </row>
    <row r="345" spans="29:29">
      <c r="AC345" s="523"/>
    </row>
    <row r="346" spans="29:29">
      <c r="AC346" s="523"/>
    </row>
    <row r="347" spans="29:29">
      <c r="AC347" s="523"/>
    </row>
    <row r="348" spans="29:29">
      <c r="AC348" s="523"/>
    </row>
    <row r="349" spans="29:29">
      <c r="AC349" s="523"/>
    </row>
    <row r="350" spans="29:29">
      <c r="AC350" s="523"/>
    </row>
    <row r="351" spans="29:29">
      <c r="AC351" s="523"/>
    </row>
    <row r="352" spans="29:29">
      <c r="AC352" s="523"/>
    </row>
    <row r="353" spans="29:29">
      <c r="AC353" s="523"/>
    </row>
    <row r="354" spans="29:29">
      <c r="AC354" s="523"/>
    </row>
    <row r="355" spans="29:29">
      <c r="AC355" s="523"/>
    </row>
    <row r="356" spans="29:29">
      <c r="AC356" s="523"/>
    </row>
    <row r="357" spans="29:29">
      <c r="AC357" s="523"/>
    </row>
    <row r="358" spans="29:29">
      <c r="AC358" s="523"/>
    </row>
    <row r="359" spans="29:29">
      <c r="AC359" s="523"/>
    </row>
    <row r="360" spans="29:29">
      <c r="AC360" s="523"/>
    </row>
    <row r="361" spans="29:29">
      <c r="AC361" s="523"/>
    </row>
    <row r="362" spans="29:29">
      <c r="AC362" s="523"/>
    </row>
    <row r="363" spans="29:29">
      <c r="AC363" s="523"/>
    </row>
    <row r="364" spans="29:29">
      <c r="AC364" s="523"/>
    </row>
    <row r="365" spans="29:29">
      <c r="AC365" s="523"/>
    </row>
    <row r="366" spans="29:29">
      <c r="AC366" s="523"/>
    </row>
    <row r="367" spans="29:29">
      <c r="AC367" s="523"/>
    </row>
    <row r="368" spans="29:29">
      <c r="AC368" s="523"/>
    </row>
    <row r="369" spans="29:29">
      <c r="AC369" s="523"/>
    </row>
    <row r="370" spans="29:29">
      <c r="AC370" s="523"/>
    </row>
    <row r="371" spans="29:29">
      <c r="AC371" s="523"/>
    </row>
    <row r="372" spans="29:29">
      <c r="AC372" s="523"/>
    </row>
    <row r="373" spans="29:29">
      <c r="AC373" s="523"/>
    </row>
    <row r="374" spans="29:29">
      <c r="AC374" s="523"/>
    </row>
    <row r="375" spans="29:29">
      <c r="AC375" s="523"/>
    </row>
    <row r="376" spans="29:29">
      <c r="AC376" s="523"/>
    </row>
    <row r="377" spans="29:29">
      <c r="AC377" s="523"/>
    </row>
    <row r="378" spans="29:29">
      <c r="AC378" s="523"/>
    </row>
    <row r="379" spans="29:29">
      <c r="AC379" s="523"/>
    </row>
    <row r="380" spans="29:29">
      <c r="AC380" s="523"/>
    </row>
    <row r="381" spans="29:29">
      <c r="AC381" s="523"/>
    </row>
    <row r="382" spans="29:29">
      <c r="AC382" s="523"/>
    </row>
    <row r="383" spans="29:29">
      <c r="AC383" s="523"/>
    </row>
    <row r="384" spans="29:29">
      <c r="AC384" s="523"/>
    </row>
    <row r="385" spans="29:29">
      <c r="AC385" s="523"/>
    </row>
    <row r="386" spans="29:29">
      <c r="AC386" s="523"/>
    </row>
    <row r="387" spans="29:29">
      <c r="AC387" s="523"/>
    </row>
    <row r="388" spans="29:29">
      <c r="AC388" s="523"/>
    </row>
    <row r="389" spans="29:29">
      <c r="AC389" s="523"/>
    </row>
    <row r="390" spans="29:29">
      <c r="AC390" s="523"/>
    </row>
    <row r="391" spans="29:29">
      <c r="AC391" s="523"/>
    </row>
    <row r="392" spans="29:29">
      <c r="AC392" s="523"/>
    </row>
    <row r="393" spans="29:29">
      <c r="AC393" s="523"/>
    </row>
    <row r="394" spans="29:29">
      <c r="AC394" s="523"/>
    </row>
    <row r="395" spans="29:29">
      <c r="AC395" s="523"/>
    </row>
    <row r="396" spans="29:29">
      <c r="AC396" s="523"/>
    </row>
    <row r="397" spans="29:29">
      <c r="AC397" s="523"/>
    </row>
    <row r="398" spans="29:29">
      <c r="AC398" s="523"/>
    </row>
    <row r="399" spans="29:29">
      <c r="AC399" s="523"/>
    </row>
    <row r="400" spans="29:29">
      <c r="AC400" s="523"/>
    </row>
    <row r="401" spans="29:29">
      <c r="AC401" s="523"/>
    </row>
    <row r="402" spans="29:29">
      <c r="AC402" s="523"/>
    </row>
    <row r="403" spans="29:29">
      <c r="AC403" s="523"/>
    </row>
    <row r="404" spans="29:29">
      <c r="AC404" s="523"/>
    </row>
    <row r="405" spans="29:29">
      <c r="AC405" s="523"/>
    </row>
    <row r="406" spans="29:29">
      <c r="AC406" s="523"/>
    </row>
    <row r="407" spans="29:29">
      <c r="AC407" s="523"/>
    </row>
    <row r="408" spans="29:29">
      <c r="AC408" s="523"/>
    </row>
    <row r="409" spans="29:29">
      <c r="AC409" s="523"/>
    </row>
    <row r="410" spans="29:29">
      <c r="AC410" s="523"/>
    </row>
    <row r="411" spans="29:29">
      <c r="AC411" s="523"/>
    </row>
    <row r="412" spans="29:29">
      <c r="AC412" s="523"/>
    </row>
    <row r="413" spans="29:29">
      <c r="AC413" s="523"/>
    </row>
    <row r="414" spans="29:29">
      <c r="AC414" s="523"/>
    </row>
    <row r="415" spans="29:29">
      <c r="AC415" s="523"/>
    </row>
    <row r="416" spans="29:29">
      <c r="AC416" s="523"/>
    </row>
    <row r="417" spans="29:29">
      <c r="AC417" s="523"/>
    </row>
    <row r="418" spans="29:29">
      <c r="AC418" s="523"/>
    </row>
    <row r="419" spans="29:29">
      <c r="AC419" s="523"/>
    </row>
    <row r="420" spans="29:29">
      <c r="AC420" s="523"/>
    </row>
    <row r="421" spans="29:29">
      <c r="AC421" s="523"/>
    </row>
    <row r="422" spans="29:29">
      <c r="AC422" s="523"/>
    </row>
    <row r="423" spans="29:29">
      <c r="AC423" s="523"/>
    </row>
    <row r="424" spans="29:29">
      <c r="AC424" s="523"/>
    </row>
    <row r="425" spans="29:29">
      <c r="AC425" s="523"/>
    </row>
    <row r="426" spans="29:29">
      <c r="AC426" s="523"/>
    </row>
    <row r="427" spans="29:29">
      <c r="AC427" s="523"/>
    </row>
    <row r="428" spans="29:29">
      <c r="AC428" s="523"/>
    </row>
    <row r="429" spans="29:29">
      <c r="AC429" s="523"/>
    </row>
    <row r="430" spans="29:29">
      <c r="AC430" s="523"/>
    </row>
    <row r="431" spans="29:29">
      <c r="AC431" s="523"/>
    </row>
    <row r="432" spans="29:29">
      <c r="AC432" s="523"/>
    </row>
    <row r="433" spans="29:29">
      <c r="AC433" s="523"/>
    </row>
    <row r="434" spans="29:29">
      <c r="AC434" s="523"/>
    </row>
    <row r="435" spans="29:29">
      <c r="AC435" s="523"/>
    </row>
    <row r="436" spans="29:29">
      <c r="AC436" s="523"/>
    </row>
    <row r="437" spans="29:29">
      <c r="AC437" s="523"/>
    </row>
    <row r="438" spans="29:29">
      <c r="AC438" s="523"/>
    </row>
    <row r="439" spans="29:29">
      <c r="AC439" s="523"/>
    </row>
    <row r="440" spans="29:29">
      <c r="AC440" s="523"/>
    </row>
    <row r="441" spans="29:29">
      <c r="AC441" s="523"/>
    </row>
    <row r="442" spans="29:29">
      <c r="AC442" s="523"/>
    </row>
    <row r="443" spans="29:29">
      <c r="AC443" s="523"/>
    </row>
    <row r="444" spans="29:29">
      <c r="AC444" s="523"/>
    </row>
    <row r="445" spans="29:29">
      <c r="AC445" s="523"/>
    </row>
    <row r="446" spans="29:29">
      <c r="AC446" s="523"/>
    </row>
    <row r="447" spans="29:29">
      <c r="AC447" s="523"/>
    </row>
    <row r="448" spans="29:29">
      <c r="AC448" s="523"/>
    </row>
    <row r="449" spans="29:29">
      <c r="AC449" s="523"/>
    </row>
    <row r="450" spans="29:29">
      <c r="AC450" s="523"/>
    </row>
    <row r="451" spans="29:29">
      <c r="AC451" s="523"/>
    </row>
    <row r="452" spans="29:29">
      <c r="AC452" s="523"/>
    </row>
    <row r="453" spans="29:29">
      <c r="AC453" s="523"/>
    </row>
    <row r="454" spans="29:29">
      <c r="AC454" s="523"/>
    </row>
    <row r="455" spans="29:29">
      <c r="AC455" s="523"/>
    </row>
    <row r="456" spans="29:29">
      <c r="AC456" s="523"/>
    </row>
    <row r="457" spans="29:29">
      <c r="AC457" s="523"/>
    </row>
    <row r="458" spans="29:29">
      <c r="AC458" s="523"/>
    </row>
    <row r="459" spans="29:29">
      <c r="AC459" s="523"/>
    </row>
    <row r="460" spans="29:29">
      <c r="AC460" s="523"/>
    </row>
    <row r="461" spans="29:29">
      <c r="AC461" s="523"/>
    </row>
    <row r="462" spans="29:29">
      <c r="AC462" s="523"/>
    </row>
    <row r="463" spans="29:29">
      <c r="AC463" s="523"/>
    </row>
    <row r="464" spans="29:29">
      <c r="AC464" s="523"/>
    </row>
    <row r="465" spans="29:29">
      <c r="AC465" s="523"/>
    </row>
    <row r="466" spans="29:29">
      <c r="AC466" s="523"/>
    </row>
    <row r="467" spans="29:29">
      <c r="AC467" s="523"/>
    </row>
    <row r="468" spans="29:29">
      <c r="AC468" s="523"/>
    </row>
    <row r="469" spans="29:29">
      <c r="AC469" s="523"/>
    </row>
    <row r="470" spans="29:29">
      <c r="AC470" s="523"/>
    </row>
    <row r="471" spans="29:29">
      <c r="AC471" s="523"/>
    </row>
    <row r="472" spans="29:29">
      <c r="AC472" s="523"/>
    </row>
    <row r="473" spans="29:29">
      <c r="AC473" s="523"/>
    </row>
    <row r="474" spans="29:29">
      <c r="AC474" s="523"/>
    </row>
    <row r="475" spans="29:29">
      <c r="AC475" s="523"/>
    </row>
    <row r="476" spans="29:29">
      <c r="AC476" s="523"/>
    </row>
    <row r="477" spans="29:29">
      <c r="AC477" s="523"/>
    </row>
    <row r="478" spans="29:29">
      <c r="AC478" s="523"/>
    </row>
    <row r="479" spans="29:29">
      <c r="AC479" s="523"/>
    </row>
    <row r="480" spans="29:29">
      <c r="AC480" s="523"/>
    </row>
    <row r="481" spans="29:29">
      <c r="AC481" s="523"/>
    </row>
    <row r="482" spans="29:29">
      <c r="AC482" s="523"/>
    </row>
    <row r="483" spans="29:29">
      <c r="AC483" s="523"/>
    </row>
    <row r="484" spans="29:29">
      <c r="AC484" s="523"/>
    </row>
    <row r="485" spans="29:29">
      <c r="AC485" s="523"/>
    </row>
    <row r="486" spans="29:29">
      <c r="AC486" s="523"/>
    </row>
    <row r="487" spans="29:29">
      <c r="AC487" s="523"/>
    </row>
    <row r="488" spans="29:29">
      <c r="AC488" s="523"/>
    </row>
    <row r="489" spans="29:29">
      <c r="AC489" s="523"/>
    </row>
    <row r="490" spans="29:29">
      <c r="AC490" s="523"/>
    </row>
    <row r="491" spans="29:29">
      <c r="AC491" s="523"/>
    </row>
    <row r="492" spans="29:29">
      <c r="AC492" s="523"/>
    </row>
    <row r="493" spans="29:29">
      <c r="AC493" s="523"/>
    </row>
    <row r="494" spans="29:29">
      <c r="AC494" s="523"/>
    </row>
    <row r="495" spans="29:29">
      <c r="AC495" s="523"/>
    </row>
    <row r="496" spans="29:29">
      <c r="AC496" s="523"/>
    </row>
    <row r="497" spans="29:29">
      <c r="AC497" s="523"/>
    </row>
    <row r="498" spans="29:29">
      <c r="AC498" s="523"/>
    </row>
    <row r="499" spans="29:29">
      <c r="AC499" s="523"/>
    </row>
    <row r="500" spans="29:29">
      <c r="AC500" s="523"/>
    </row>
    <row r="501" spans="29:29">
      <c r="AC501" s="523"/>
    </row>
    <row r="502" spans="29:29">
      <c r="AC502" s="523"/>
    </row>
    <row r="503" spans="29:29">
      <c r="AC503" s="523"/>
    </row>
    <row r="504" spans="29:29">
      <c r="AC504" s="523"/>
    </row>
    <row r="505" spans="29:29">
      <c r="AC505" s="523"/>
    </row>
    <row r="506" spans="29:29">
      <c r="AC506" s="523"/>
    </row>
    <row r="507" spans="29:29">
      <c r="AC507" s="523"/>
    </row>
    <row r="508" spans="29:29">
      <c r="AC508" s="523"/>
    </row>
    <row r="509" spans="29:29">
      <c r="AC509" s="523"/>
    </row>
    <row r="510" spans="29:29">
      <c r="AC510" s="523"/>
    </row>
    <row r="511" spans="29:29">
      <c r="AC511" s="523"/>
    </row>
    <row r="512" spans="29:29">
      <c r="AC512" s="523"/>
    </row>
    <row r="513" spans="29:29">
      <c r="AC513" s="523"/>
    </row>
    <row r="514" spans="29:29">
      <c r="AC514" s="523"/>
    </row>
    <row r="515" spans="29:29">
      <c r="AC515" s="523"/>
    </row>
    <row r="516" spans="29:29">
      <c r="AC516" s="523"/>
    </row>
    <row r="517" spans="29:29">
      <c r="AC517" s="523"/>
    </row>
    <row r="518" spans="29:29">
      <c r="AC518" s="523"/>
    </row>
    <row r="519" spans="29:29">
      <c r="AC519" s="523"/>
    </row>
    <row r="520" spans="29:29">
      <c r="AC520" s="523"/>
    </row>
    <row r="521" spans="29:29">
      <c r="AC521" s="523"/>
    </row>
    <row r="522" spans="29:29">
      <c r="AC522" s="523"/>
    </row>
    <row r="523" spans="29:29">
      <c r="AC523" s="523"/>
    </row>
    <row r="524" spans="29:29">
      <c r="AC524" s="523"/>
    </row>
    <row r="525" spans="29:29">
      <c r="AC525" s="523"/>
    </row>
    <row r="526" spans="29:29">
      <c r="AC526" s="523"/>
    </row>
    <row r="527" spans="29:29">
      <c r="AC527" s="523"/>
    </row>
    <row r="528" spans="29:29">
      <c r="AC528" s="523"/>
    </row>
    <row r="529" spans="29:29">
      <c r="AC529" s="523"/>
    </row>
    <row r="530" spans="29:29">
      <c r="AC530" s="523"/>
    </row>
    <row r="531" spans="29:29">
      <c r="AC531" s="523"/>
    </row>
    <row r="532" spans="29:29">
      <c r="AC532" s="523"/>
    </row>
    <row r="533" spans="29:29">
      <c r="AC533" s="523"/>
    </row>
    <row r="534" spans="29:29">
      <c r="AC534" s="523"/>
    </row>
    <row r="535" spans="29:29">
      <c r="AC535" s="523"/>
    </row>
    <row r="536" spans="29:29">
      <c r="AC536" s="523"/>
    </row>
    <row r="537" spans="29:29">
      <c r="AC537" s="523"/>
    </row>
    <row r="538" spans="29:29">
      <c r="AC538" s="523"/>
    </row>
    <row r="539" spans="29:29">
      <c r="AC539" s="523"/>
    </row>
    <row r="540" spans="29:29">
      <c r="AC540" s="523"/>
    </row>
    <row r="541" spans="29:29">
      <c r="AC541" s="523"/>
    </row>
    <row r="542" spans="29:29">
      <c r="AC542" s="523"/>
    </row>
    <row r="543" spans="29:29">
      <c r="AC543" s="523"/>
    </row>
    <row r="544" spans="29:29">
      <c r="AC544" s="523"/>
    </row>
    <row r="545" spans="29:29">
      <c r="AC545" s="523"/>
    </row>
    <row r="546" spans="29:29">
      <c r="AC546" s="523"/>
    </row>
    <row r="547" spans="29:29">
      <c r="AC547" s="523"/>
    </row>
    <row r="548" spans="29:29">
      <c r="AC548" s="523"/>
    </row>
    <row r="549" spans="29:29">
      <c r="AC549" s="523"/>
    </row>
    <row r="550" spans="29:29">
      <c r="AC550" s="523"/>
    </row>
    <row r="551" spans="29:29">
      <c r="AC551" s="523"/>
    </row>
    <row r="552" spans="29:29">
      <c r="AC552" s="523"/>
    </row>
    <row r="553" spans="29:29">
      <c r="AC553" s="523"/>
    </row>
    <row r="554" spans="29:29">
      <c r="AC554" s="523"/>
    </row>
    <row r="555" spans="29:29">
      <c r="AC555" s="523"/>
    </row>
    <row r="556" spans="29:29">
      <c r="AC556" s="523"/>
    </row>
    <row r="557" spans="29:29">
      <c r="AC557" s="523"/>
    </row>
    <row r="558" spans="29:29">
      <c r="AC558" s="523"/>
    </row>
    <row r="559" spans="29:29">
      <c r="AC559" s="523"/>
    </row>
    <row r="560" spans="29:29">
      <c r="AC560" s="523"/>
    </row>
    <row r="561" spans="29:29">
      <c r="AC561" s="523"/>
    </row>
    <row r="562" spans="29:29">
      <c r="AC562" s="523"/>
    </row>
    <row r="563" spans="29:29">
      <c r="AC563" s="523"/>
    </row>
    <row r="564" spans="29:29">
      <c r="AC564" s="523"/>
    </row>
    <row r="565" spans="29:29">
      <c r="AC565" s="523"/>
    </row>
    <row r="566" spans="29:29">
      <c r="AC566" s="523"/>
    </row>
    <row r="567" spans="29:29">
      <c r="AC567" s="523"/>
    </row>
    <row r="568" spans="29:29">
      <c r="AC568" s="523"/>
    </row>
    <row r="569" spans="29:29">
      <c r="AC569" s="523"/>
    </row>
    <row r="570" spans="29:29">
      <c r="AC570" s="523"/>
    </row>
    <row r="571" spans="29:29">
      <c r="AC571" s="523"/>
    </row>
    <row r="572" spans="29:29">
      <c r="AC572" s="523"/>
    </row>
    <row r="573" spans="29:29">
      <c r="AC573" s="523"/>
    </row>
    <row r="574" spans="29:29">
      <c r="AC574" s="523"/>
    </row>
    <row r="575" spans="29:29">
      <c r="AC575" s="523"/>
    </row>
    <row r="576" spans="29:29">
      <c r="AC576" s="523"/>
    </row>
    <row r="577" spans="29:29">
      <c r="AC577" s="523"/>
    </row>
    <row r="578" spans="29:29">
      <c r="AC578" s="523"/>
    </row>
    <row r="579" spans="29:29">
      <c r="AC579" s="523"/>
    </row>
    <row r="580" spans="29:29">
      <c r="AC580" s="523"/>
    </row>
    <row r="581" spans="29:29">
      <c r="AC581" s="523"/>
    </row>
    <row r="582" spans="29:29">
      <c r="AC582" s="523"/>
    </row>
    <row r="583" spans="29:29">
      <c r="AC583" s="523"/>
    </row>
    <row r="584" spans="29:29">
      <c r="AC584" s="523"/>
    </row>
    <row r="585" spans="29:29">
      <c r="AC585" s="523"/>
    </row>
    <row r="586" spans="29:29">
      <c r="AC586" s="523"/>
    </row>
    <row r="587" spans="29:29">
      <c r="AC587" s="523"/>
    </row>
    <row r="588" spans="29:29">
      <c r="AC588" s="523"/>
    </row>
    <row r="589" spans="29:29">
      <c r="AC589" s="523"/>
    </row>
    <row r="590" spans="29:29">
      <c r="AC590" s="523"/>
    </row>
    <row r="591" spans="29:29">
      <c r="AC591" s="523"/>
    </row>
    <row r="592" spans="29:29">
      <c r="AC592" s="523"/>
    </row>
    <row r="593" spans="29:29">
      <c r="AC593" s="523"/>
    </row>
    <row r="594" spans="29:29">
      <c r="AC594" s="523"/>
    </row>
    <row r="595" spans="29:29">
      <c r="AC595" s="523"/>
    </row>
    <row r="596" spans="29:29">
      <c r="AC596" s="523"/>
    </row>
    <row r="597" spans="29:29">
      <c r="AC597" s="523"/>
    </row>
    <row r="598" spans="29:29">
      <c r="AC598" s="523"/>
    </row>
    <row r="599" spans="29:29">
      <c r="AC599" s="523"/>
    </row>
    <row r="600" spans="29:29">
      <c r="AC600" s="523"/>
    </row>
    <row r="601" spans="29:29">
      <c r="AC601" s="523"/>
    </row>
    <row r="602" spans="29:29">
      <c r="AC602" s="523"/>
    </row>
    <row r="603" spans="29:29">
      <c r="AC603" s="523"/>
    </row>
    <row r="604" spans="29:29">
      <c r="AC604" s="523"/>
    </row>
    <row r="605" spans="29:29">
      <c r="AC605" s="523"/>
    </row>
    <row r="606" spans="29:29">
      <c r="AC606" s="523"/>
    </row>
    <row r="607" spans="29:29">
      <c r="AC607" s="523"/>
    </row>
    <row r="608" spans="29:29">
      <c r="AC608" s="523"/>
    </row>
    <row r="609" spans="29:29">
      <c r="AC609" s="523"/>
    </row>
    <row r="610" spans="29:29">
      <c r="AC610" s="523"/>
    </row>
    <row r="611" spans="29:29">
      <c r="AC611" s="523"/>
    </row>
    <row r="612" spans="29:29">
      <c r="AC612" s="523"/>
    </row>
    <row r="613" spans="29:29">
      <c r="AC613" s="523"/>
    </row>
    <row r="614" spans="29:29">
      <c r="AC614" s="523"/>
    </row>
    <row r="615" spans="29:29">
      <c r="AC615" s="523"/>
    </row>
    <row r="616" spans="29:29">
      <c r="AC616" s="523"/>
    </row>
    <row r="617" spans="29:29">
      <c r="AC617" s="523"/>
    </row>
    <row r="618" spans="29:29">
      <c r="AC618" s="523"/>
    </row>
    <row r="619" spans="29:29">
      <c r="AC619" s="523"/>
    </row>
    <row r="620" spans="29:29">
      <c r="AC620" s="523"/>
    </row>
    <row r="621" spans="29:29">
      <c r="AC621" s="523"/>
    </row>
    <row r="622" spans="29:29">
      <c r="AC622" s="523"/>
    </row>
    <row r="623" spans="29:29">
      <c r="AC623" s="523"/>
    </row>
    <row r="624" spans="29:29">
      <c r="AC624" s="523"/>
    </row>
    <row r="625" spans="29:29">
      <c r="AC625" s="523"/>
    </row>
    <row r="626" spans="29:29">
      <c r="AC626" s="523"/>
    </row>
    <row r="627" spans="29:29">
      <c r="AC627" s="523"/>
    </row>
    <row r="628" spans="29:29">
      <c r="AC628" s="523"/>
    </row>
    <row r="629" spans="29:29">
      <c r="AC629" s="523"/>
    </row>
    <row r="630" spans="29:29">
      <c r="AC630" s="523"/>
    </row>
    <row r="631" spans="29:29">
      <c r="AC631" s="523"/>
    </row>
    <row r="632" spans="29:29">
      <c r="AC632" s="523"/>
    </row>
    <row r="633" spans="29:29">
      <c r="AC633" s="523"/>
    </row>
    <row r="634" spans="29:29">
      <c r="AC634" s="523"/>
    </row>
    <row r="635" spans="29:29">
      <c r="AC635" s="523"/>
    </row>
    <row r="636" spans="29:29">
      <c r="AC636" s="523"/>
    </row>
    <row r="637" spans="29:29">
      <c r="AC637" s="523"/>
    </row>
    <row r="638" spans="29:29">
      <c r="AC638" s="523"/>
    </row>
    <row r="639" spans="29:29">
      <c r="AC639" s="523"/>
    </row>
    <row r="640" spans="29:29">
      <c r="AC640" s="523"/>
    </row>
    <row r="641" spans="29:29">
      <c r="AC641" s="523"/>
    </row>
    <row r="642" spans="29:29">
      <c r="AC642" s="523"/>
    </row>
    <row r="643" spans="29:29">
      <c r="AC643" s="523"/>
    </row>
    <row r="644" spans="29:29">
      <c r="AC644" s="523"/>
    </row>
    <row r="645" spans="29:29">
      <c r="AC645" s="523"/>
    </row>
    <row r="646" spans="29:29">
      <c r="AC646" s="523"/>
    </row>
    <row r="647" spans="29:29">
      <c r="AC647" s="523"/>
    </row>
    <row r="648" spans="29:29">
      <c r="AC648" s="523"/>
    </row>
    <row r="649" spans="29:29">
      <c r="AC649" s="523"/>
    </row>
    <row r="650" spans="29:29">
      <c r="AC650" s="523"/>
    </row>
    <row r="651" spans="29:29">
      <c r="AC651" s="523"/>
    </row>
    <row r="652" spans="29:29">
      <c r="AC652" s="523"/>
    </row>
    <row r="653" spans="29:29">
      <c r="AC653" s="523"/>
    </row>
    <row r="654" spans="29:29">
      <c r="AC654" s="523"/>
    </row>
    <row r="655" spans="29:29">
      <c r="AC655" s="523"/>
    </row>
    <row r="656" spans="29:29">
      <c r="AC656" s="523"/>
    </row>
    <row r="657" spans="29:29">
      <c r="AC657" s="523"/>
    </row>
    <row r="658" spans="29:29">
      <c r="AC658" s="523"/>
    </row>
    <row r="659" spans="29:29">
      <c r="AC659" s="523"/>
    </row>
    <row r="660" spans="29:29">
      <c r="AC660" s="523"/>
    </row>
    <row r="661" spans="29:29">
      <c r="AC661" s="523"/>
    </row>
    <row r="662" spans="29:29">
      <c r="AC662" s="523"/>
    </row>
    <row r="663" spans="29:29">
      <c r="AC663" s="523"/>
    </row>
    <row r="664" spans="29:29">
      <c r="AC664" s="523"/>
    </row>
    <row r="665" spans="29:29">
      <c r="AC665" s="523"/>
    </row>
    <row r="666" spans="29:29">
      <c r="AC666" s="523"/>
    </row>
    <row r="667" spans="29:29">
      <c r="AC667" s="523"/>
    </row>
    <row r="668" spans="29:29">
      <c r="AC668" s="523"/>
    </row>
    <row r="669" spans="29:29">
      <c r="AC669" s="523"/>
    </row>
    <row r="670" spans="29:29">
      <c r="AC670" s="523"/>
    </row>
    <row r="671" spans="29:29">
      <c r="AC671" s="523"/>
    </row>
    <row r="672" spans="29:29">
      <c r="AC672" s="523"/>
    </row>
    <row r="673" spans="29:29">
      <c r="AC673" s="523"/>
    </row>
    <row r="674" spans="29:29">
      <c r="AC674" s="523"/>
    </row>
    <row r="675" spans="29:29">
      <c r="AC675" s="523"/>
    </row>
    <row r="676" spans="29:29">
      <c r="AC676" s="523"/>
    </row>
    <row r="677" spans="29:29">
      <c r="AC677" s="523"/>
    </row>
    <row r="678" spans="29:29">
      <c r="AC678" s="523"/>
    </row>
    <row r="679" spans="29:29">
      <c r="AC679" s="523"/>
    </row>
    <row r="680" spans="29:29">
      <c r="AC680" s="523"/>
    </row>
    <row r="681" spans="29:29">
      <c r="AC681" s="523"/>
    </row>
    <row r="682" spans="29:29">
      <c r="AC682" s="523"/>
    </row>
    <row r="683" spans="29:29">
      <c r="AC683" s="523"/>
    </row>
    <row r="684" spans="29:29">
      <c r="AC684" s="523"/>
    </row>
    <row r="685" spans="29:29">
      <c r="AC685" s="523"/>
    </row>
    <row r="686" spans="29:29">
      <c r="AC686" s="523"/>
    </row>
    <row r="687" spans="29:29">
      <c r="AC687" s="523"/>
    </row>
    <row r="688" spans="29:29">
      <c r="AC688" s="523"/>
    </row>
    <row r="689" spans="29:29">
      <c r="AC689" s="523"/>
    </row>
    <row r="690" spans="29:29">
      <c r="AC690" s="523"/>
    </row>
    <row r="691" spans="29:29">
      <c r="AC691" s="523"/>
    </row>
    <row r="692" spans="29:29">
      <c r="AC692" s="523"/>
    </row>
    <row r="693" spans="29:29">
      <c r="AC693" s="523"/>
    </row>
    <row r="694" spans="29:29">
      <c r="AC694" s="523"/>
    </row>
    <row r="695" spans="29:29">
      <c r="AC695" s="523"/>
    </row>
    <row r="696" spans="29:29">
      <c r="AC696" s="523"/>
    </row>
    <row r="697" spans="29:29">
      <c r="AC697" s="523"/>
    </row>
    <row r="698" spans="29:29">
      <c r="AC698" s="523"/>
    </row>
    <row r="699" spans="29:29">
      <c r="AC699" s="523"/>
    </row>
    <row r="700" spans="29:29">
      <c r="AC700" s="523"/>
    </row>
    <row r="701" spans="29:29">
      <c r="AC701" s="523"/>
    </row>
    <row r="702" spans="29:29">
      <c r="AC702" s="523"/>
    </row>
    <row r="703" spans="29:29">
      <c r="AC703" s="523"/>
    </row>
    <row r="704" spans="29:29">
      <c r="AC704" s="523"/>
    </row>
    <row r="705" spans="29:29">
      <c r="AC705" s="523"/>
    </row>
    <row r="706" spans="29:29">
      <c r="AC706" s="523"/>
    </row>
    <row r="707" spans="29:29">
      <c r="AC707" s="523"/>
    </row>
    <row r="708" spans="29:29">
      <c r="AC708" s="523"/>
    </row>
    <row r="709" spans="29:29">
      <c r="AC709" s="523"/>
    </row>
    <row r="710" spans="29:29">
      <c r="AC710" s="523"/>
    </row>
    <row r="711" spans="29:29">
      <c r="AC711" s="523"/>
    </row>
    <row r="712" spans="29:29">
      <c r="AC712" s="523"/>
    </row>
    <row r="713" spans="29:29">
      <c r="AC713" s="523"/>
    </row>
    <row r="714" spans="29:29">
      <c r="AC714" s="523"/>
    </row>
    <row r="715" spans="29:29">
      <c r="AC715" s="523"/>
    </row>
    <row r="716" spans="29:29">
      <c r="AC716" s="523"/>
    </row>
    <row r="717" spans="29:29">
      <c r="AC717" s="523"/>
    </row>
    <row r="718" spans="29:29">
      <c r="AC718" s="523"/>
    </row>
    <row r="719" spans="29:29">
      <c r="AC719" s="523"/>
    </row>
    <row r="720" spans="29:29">
      <c r="AC720" s="523"/>
    </row>
    <row r="721" spans="29:29">
      <c r="AC721" s="523"/>
    </row>
    <row r="722" spans="29:29">
      <c r="AC722" s="523"/>
    </row>
    <row r="723" spans="29:29">
      <c r="AC723" s="523"/>
    </row>
    <row r="724" spans="29:29">
      <c r="AC724" s="523"/>
    </row>
    <row r="725" spans="29:29">
      <c r="AC725" s="523"/>
    </row>
    <row r="726" spans="29:29">
      <c r="AC726" s="523"/>
    </row>
    <row r="727" spans="29:29">
      <c r="AC727" s="523"/>
    </row>
    <row r="728" spans="29:29">
      <c r="AC728" s="523"/>
    </row>
    <row r="729" spans="29:29">
      <c r="AC729" s="523"/>
    </row>
    <row r="730" spans="29:29">
      <c r="AC730" s="523"/>
    </row>
    <row r="731" spans="29:29">
      <c r="AC731" s="523"/>
    </row>
    <row r="732" spans="29:29">
      <c r="AC732" s="523"/>
    </row>
    <row r="733" spans="29:29">
      <c r="AC733" s="523"/>
    </row>
    <row r="734" spans="29:29">
      <c r="AC734" s="523"/>
    </row>
    <row r="735" spans="29:29">
      <c r="AC735" s="523"/>
    </row>
    <row r="736" spans="29:29">
      <c r="AC736" s="523"/>
    </row>
    <row r="737" spans="29:29">
      <c r="AC737" s="523"/>
    </row>
    <row r="738" spans="29:29">
      <c r="AC738" s="523"/>
    </row>
    <row r="739" spans="29:29">
      <c r="AC739" s="523"/>
    </row>
    <row r="740" spans="29:29">
      <c r="AC740" s="523"/>
    </row>
    <row r="741" spans="29:29">
      <c r="AC741" s="523"/>
    </row>
    <row r="742" spans="29:29">
      <c r="AC742" s="523"/>
    </row>
    <row r="743" spans="29:29">
      <c r="AC743" s="523"/>
    </row>
    <row r="744" spans="29:29">
      <c r="AC744" s="523"/>
    </row>
    <row r="745" spans="29:29">
      <c r="AC745" s="523"/>
    </row>
    <row r="746" spans="29:29">
      <c r="AC746" s="523"/>
    </row>
    <row r="747" spans="29:29">
      <c r="AC747" s="523"/>
    </row>
    <row r="748" spans="29:29">
      <c r="AC748" s="523"/>
    </row>
    <row r="749" spans="29:29">
      <c r="AC749" s="523"/>
    </row>
    <row r="750" spans="29:29">
      <c r="AC750" s="523"/>
    </row>
    <row r="751" spans="29:29">
      <c r="AC751" s="523"/>
    </row>
    <row r="752" spans="29:29">
      <c r="AC752" s="523"/>
    </row>
    <row r="753" spans="29:29">
      <c r="AC753" s="523"/>
    </row>
    <row r="754" spans="29:29">
      <c r="AC754" s="523"/>
    </row>
    <row r="755" spans="29:29">
      <c r="AC755" s="523"/>
    </row>
    <row r="756" spans="29:29">
      <c r="AC756" s="523"/>
    </row>
    <row r="757" spans="29:29">
      <c r="AC757" s="523"/>
    </row>
    <row r="758" spans="29:29">
      <c r="AC758" s="523"/>
    </row>
    <row r="759" spans="29:29">
      <c r="AC759" s="523"/>
    </row>
    <row r="760" spans="29:29">
      <c r="AC760" s="523"/>
    </row>
    <row r="761" spans="29:29">
      <c r="AC761" s="523"/>
    </row>
    <row r="762" spans="29:29">
      <c r="AC762" s="523"/>
    </row>
    <row r="763" spans="29:29">
      <c r="AC763" s="523"/>
    </row>
    <row r="764" spans="29:29">
      <c r="AC764" s="523"/>
    </row>
    <row r="765" spans="29:29">
      <c r="AC765" s="523"/>
    </row>
    <row r="766" spans="29:29">
      <c r="AC766" s="523"/>
    </row>
    <row r="767" spans="29:29">
      <c r="AC767" s="523"/>
    </row>
    <row r="768" spans="29:29">
      <c r="AC768" s="523"/>
    </row>
    <row r="769" spans="29:29">
      <c r="AC769" s="523"/>
    </row>
    <row r="770" spans="29:29">
      <c r="AC770" s="523"/>
    </row>
    <row r="771" spans="29:29">
      <c r="AC771" s="523"/>
    </row>
    <row r="772" spans="29:29">
      <c r="AC772" s="523"/>
    </row>
    <row r="773" spans="29:29">
      <c r="AC773" s="523"/>
    </row>
    <row r="774" spans="29:29">
      <c r="AC774" s="523"/>
    </row>
    <row r="775" spans="29:29">
      <c r="AC775" s="523"/>
    </row>
    <row r="776" spans="29:29">
      <c r="AC776" s="523"/>
    </row>
    <row r="777" spans="29:29">
      <c r="AC777" s="523"/>
    </row>
    <row r="778" spans="29:29">
      <c r="AC778" s="523"/>
    </row>
    <row r="779" spans="29:29">
      <c r="AC779" s="523"/>
    </row>
    <row r="780" spans="29:29">
      <c r="AC780" s="523"/>
    </row>
    <row r="781" spans="29:29">
      <c r="AC781" s="523"/>
    </row>
    <row r="782" spans="29:29">
      <c r="AC782" s="523"/>
    </row>
    <row r="783" spans="29:29">
      <c r="AC783" s="523"/>
    </row>
    <row r="784" spans="29:29">
      <c r="AC784" s="523"/>
    </row>
    <row r="785" spans="29:29">
      <c r="AC785" s="523"/>
    </row>
    <row r="786" spans="29:29">
      <c r="AC786" s="523"/>
    </row>
    <row r="787" spans="29:29">
      <c r="AC787" s="523"/>
    </row>
    <row r="788" spans="29:29">
      <c r="AC788" s="523"/>
    </row>
    <row r="789" spans="29:29">
      <c r="AC789" s="523"/>
    </row>
    <row r="790" spans="29:29">
      <c r="AC790" s="523"/>
    </row>
    <row r="791" spans="29:29">
      <c r="AC791" s="523"/>
    </row>
    <row r="792" spans="29:29">
      <c r="AC792" s="523"/>
    </row>
    <row r="793" spans="29:29">
      <c r="AC793" s="523"/>
    </row>
    <row r="794" spans="29:29">
      <c r="AC794"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7" priority="4">
      <formula>$D$48="简单平均"</formula>
    </cfRule>
  </conditionalFormatting>
  <conditionalFormatting sqref="H48">
    <cfRule type="expression" dxfId="7" priority="3">
      <formula>$D$48="简单平均"</formula>
    </cfRule>
  </conditionalFormatting>
  <conditionalFormatting sqref="J48">
    <cfRule type="expression" dxfId="7"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8"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C39 E39 G39 I39">
      <formula1>商业层高</formula1>
    </dataValidation>
    <dataValidation type="list" allowBlank="1" showInputMessage="1" showErrorMessage="1" sqref="F1">
      <formula1>"售价,租金"</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E34 G34 I34">
      <formula1>住宅建筑结构</formula1>
    </dataValidation>
    <dataValidation type="list" allowBlank="1" showInputMessage="1" showErrorMessage="1" sqref="C20 E20 G20 I20">
      <formula1>公共配套设施</formula1>
    </dataValidation>
    <dataValidation type="list" allowBlank="1" showInputMessage="1" showErrorMessage="1" sqref="D48">
      <formula1>"简单平均,加权平均"</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42 E42 G42 I42">
      <formula1>商业内部装修</formula1>
    </dataValidation>
    <dataValidation type="list" allowBlank="1" showInputMessage="1" showErrorMessage="1" sqref="C35 E35 G35 I35">
      <formula1>商业公共部分装修</formula1>
    </dataValidation>
    <dataValidation type="list" allowBlank="1" showInputMessage="1" showErrorMessage="1" sqref="C43 E43 G43 I43">
      <formula1>内部装修维护情况</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236"/>
  <sheetViews>
    <sheetView view="pageBreakPreview" zoomScale="60" zoomScaleNormal="60" workbookViewId="0">
      <selection activeCell="D31" sqref="D31"/>
    </sheetView>
  </sheetViews>
  <sheetFormatPr defaultColWidth="9" defaultRowHeight="14.25"/>
  <cols>
    <col min="1" max="1" width="10.5" style="201" customWidth="1"/>
    <col min="2" max="2" width="15.75" style="201" customWidth="1"/>
    <col min="3" max="3" width="14.375" style="201" customWidth="1"/>
    <col min="4" max="4" width="12.25" style="201" customWidth="1"/>
    <col min="5" max="5" width="14.375" style="201" customWidth="1"/>
    <col min="6" max="6" width="12.25" style="201" customWidth="1"/>
    <col min="7" max="7" width="14.5" style="201" customWidth="1"/>
    <col min="8" max="8" width="12.25" style="201" customWidth="1"/>
    <col min="9" max="9" width="14.5" style="201" customWidth="1"/>
    <col min="10" max="10" width="12.25" style="201" customWidth="1"/>
    <col min="11" max="11" width="12.25" style="202" customWidth="1"/>
    <col min="12" max="12" width="12.25" style="203" customWidth="1"/>
    <col min="13" max="15" width="12.25" style="201" customWidth="1"/>
    <col min="16" max="16" width="4.75" style="201" customWidth="1"/>
    <col min="17" max="17" width="19.5" style="201" customWidth="1"/>
    <col min="18" max="22" width="6.125" style="201" customWidth="1"/>
    <col min="23" max="23" width="5.75" style="201" customWidth="1"/>
    <col min="24" max="24" width="4.25" style="201" customWidth="1"/>
    <col min="25" max="25" width="3.5" style="201" customWidth="1"/>
    <col min="26" max="26" width="19.75" style="201" customWidth="1"/>
    <col min="27" max="28" width="9.375" style="201" customWidth="1"/>
    <col min="29" max="16384" width="9" style="201"/>
  </cols>
  <sheetData>
    <row r="1" s="195" customFormat="1" ht="28.5" customHeight="1" spans="1:29">
      <c r="A1" s="204" t="s">
        <v>1556</v>
      </c>
      <c r="B1" s="576" t="s">
        <v>1363</v>
      </c>
      <c r="C1" s="206" t="s">
        <v>1558</v>
      </c>
      <c r="D1" s="207"/>
      <c r="E1" s="208"/>
      <c r="F1" s="209"/>
      <c r="G1" s="210" t="s">
        <v>1559</v>
      </c>
      <c r="H1" s="208"/>
      <c r="I1" s="208"/>
      <c r="J1" s="208"/>
      <c r="K1" s="390"/>
      <c r="L1" s="391"/>
      <c r="M1" s="392"/>
      <c r="N1" s="392"/>
      <c r="O1" s="392"/>
      <c r="P1" s="393"/>
      <c r="Q1" s="393"/>
      <c r="R1" s="393"/>
      <c r="S1" s="393"/>
      <c r="T1" s="393"/>
      <c r="U1" s="393"/>
      <c r="V1" s="393"/>
      <c r="W1" s="393"/>
      <c r="X1" s="393"/>
      <c r="Y1" s="393"/>
      <c r="Z1" s="393"/>
      <c r="AA1" s="393"/>
      <c r="AB1" s="393"/>
      <c r="AC1" s="505"/>
    </row>
    <row r="2" s="195" customFormat="1" ht="28.5" customHeight="1" spans="1:29">
      <c r="A2" s="211" t="s">
        <v>1202</v>
      </c>
      <c r="B2" s="212" t="e">
        <f>ROUND(B3*D3/10000,0)</f>
        <v>#DIV/0!</v>
      </c>
      <c r="C2" s="213"/>
      <c r="D2" s="213"/>
      <c r="E2" s="214"/>
      <c r="F2" s="215"/>
      <c r="G2" s="214"/>
      <c r="H2" s="214"/>
      <c r="I2" s="214"/>
      <c r="J2" s="214"/>
      <c r="K2" s="214"/>
      <c r="L2" s="395"/>
      <c r="M2" s="393"/>
      <c r="N2" s="393"/>
      <c r="O2" s="393"/>
      <c r="P2" s="393"/>
      <c r="Q2" s="393"/>
      <c r="R2" s="393"/>
      <c r="S2" s="393"/>
      <c r="T2" s="393"/>
      <c r="U2" s="393"/>
      <c r="V2" s="393"/>
      <c r="W2" s="393"/>
      <c r="X2" s="393"/>
      <c r="Y2" s="393"/>
      <c r="Z2" s="393"/>
      <c r="AA2" s="393"/>
      <c r="AB2" s="393"/>
      <c r="AC2" s="505"/>
    </row>
    <row r="3" s="195" customFormat="1" ht="28.5" customHeight="1" spans="1:29">
      <c r="A3" s="216" t="s">
        <v>1368</v>
      </c>
      <c r="B3" s="217" t="e">
        <f>C43</f>
        <v>#DIV/0!</v>
      </c>
      <c r="C3" s="218" t="s">
        <v>1560</v>
      </c>
      <c r="D3" s="219">
        <f>SUMIF('数据-汇总表'!$C19:$C33,D1,'数据-汇总表'!$E19:$E33)</f>
        <v>0</v>
      </c>
      <c r="E3" s="214"/>
      <c r="F3" s="215"/>
      <c r="G3" s="214"/>
      <c r="H3" s="214"/>
      <c r="I3" s="214"/>
      <c r="J3" s="214"/>
      <c r="K3" s="394"/>
      <c r="L3" s="395"/>
      <c r="M3" s="393"/>
      <c r="N3" s="393"/>
      <c r="O3" s="393"/>
      <c r="P3" s="393"/>
      <c r="Q3" s="393"/>
      <c r="R3" s="393"/>
      <c r="S3" s="393"/>
      <c r="T3" s="393"/>
      <c r="U3" s="393"/>
      <c r="V3" s="393"/>
      <c r="W3" s="393"/>
      <c r="X3" s="393"/>
      <c r="Y3" s="393"/>
      <c r="Z3" s="393"/>
      <c r="AA3" s="393"/>
      <c r="AB3" s="504"/>
      <c r="AC3" s="505"/>
    </row>
    <row r="4" ht="15" spans="1:29">
      <c r="A4" s="220" t="s">
        <v>1284</v>
      </c>
      <c r="B4" s="221"/>
      <c r="C4" s="222" t="s">
        <v>1285</v>
      </c>
      <c r="D4" s="223"/>
      <c r="E4" s="224" t="s">
        <v>1286</v>
      </c>
      <c r="F4" s="225"/>
      <c r="G4" s="222" t="s">
        <v>1287</v>
      </c>
      <c r="H4" s="223"/>
      <c r="I4" s="222" t="s">
        <v>1288</v>
      </c>
      <c r="J4" s="223"/>
      <c r="K4" s="396" t="s">
        <v>1289</v>
      </c>
      <c r="L4" s="397"/>
      <c r="M4" s="398"/>
      <c r="N4" s="398"/>
      <c r="O4" s="398"/>
      <c r="P4" s="399" t="s">
        <v>1290</v>
      </c>
      <c r="Q4" s="472"/>
      <c r="R4" s="473" t="s">
        <v>1286</v>
      </c>
      <c r="S4" s="474"/>
      <c r="T4" s="473" t="s">
        <v>1287</v>
      </c>
      <c r="U4" s="474"/>
      <c r="V4" s="475" t="s">
        <v>1288</v>
      </c>
      <c r="W4" s="475"/>
      <c r="X4" s="476"/>
      <c r="Y4" s="473" t="s">
        <v>1290</v>
      </c>
      <c r="Z4" s="474"/>
      <c r="AA4" s="506" t="s">
        <v>1286</v>
      </c>
      <c r="AB4" s="476" t="s">
        <v>1287</v>
      </c>
      <c r="AC4" s="506" t="s">
        <v>1288</v>
      </c>
    </row>
    <row r="5" ht="15" spans="1:29">
      <c r="A5" s="226"/>
      <c r="B5" s="227"/>
      <c r="C5" s="228" t="s">
        <v>1291</v>
      </c>
      <c r="D5" s="229"/>
      <c r="E5" s="230" t="s">
        <v>1292</v>
      </c>
      <c r="F5" s="231"/>
      <c r="G5" s="228" t="s">
        <v>1293</v>
      </c>
      <c r="H5" s="229"/>
      <c r="I5" s="228" t="s">
        <v>1294</v>
      </c>
      <c r="J5" s="229"/>
      <c r="K5" s="396"/>
      <c r="L5" s="397"/>
      <c r="M5" s="398"/>
      <c r="N5" s="398"/>
      <c r="O5" s="398"/>
      <c r="P5" s="400"/>
      <c r="Q5" s="477"/>
      <c r="R5" s="478"/>
      <c r="S5" s="479"/>
      <c r="T5" s="478"/>
      <c r="U5" s="479"/>
      <c r="V5" s="475"/>
      <c r="W5" s="475"/>
      <c r="X5" s="476"/>
      <c r="Y5" s="478"/>
      <c r="Z5" s="479"/>
      <c r="AA5" s="476"/>
      <c r="AB5" s="476"/>
      <c r="AC5" s="476"/>
    </row>
    <row r="6" ht="15.75" spans="1:29">
      <c r="A6" s="232"/>
      <c r="B6" s="233"/>
      <c r="C6" s="234" t="s">
        <v>1295</v>
      </c>
      <c r="D6" s="235"/>
      <c r="E6" s="236" t="s">
        <v>1295</v>
      </c>
      <c r="F6" s="237"/>
      <c r="G6" s="234" t="s">
        <v>1295</v>
      </c>
      <c r="H6" s="235"/>
      <c r="I6" s="234" t="s">
        <v>1295</v>
      </c>
      <c r="J6" s="235"/>
      <c r="K6" s="396" t="s">
        <v>1296</v>
      </c>
      <c r="L6" s="397"/>
      <c r="M6" s="398"/>
      <c r="N6" s="398"/>
      <c r="O6" s="398"/>
      <c r="P6" s="401"/>
      <c r="Q6" s="480"/>
      <c r="R6" s="478"/>
      <c r="S6" s="479"/>
      <c r="T6" s="481"/>
      <c r="U6" s="482"/>
      <c r="V6" s="475"/>
      <c r="W6" s="475"/>
      <c r="X6" s="476"/>
      <c r="Y6" s="481"/>
      <c r="Z6" s="482"/>
      <c r="AA6" s="507"/>
      <c r="AB6" s="507"/>
      <c r="AC6" s="507"/>
    </row>
    <row r="7" s="196" customFormat="1" ht="15.75" spans="1:29">
      <c r="A7" s="238"/>
      <c r="B7" s="239" t="s">
        <v>1297</v>
      </c>
      <c r="C7" s="240">
        <f>'数据-取费表'!B2</f>
        <v>44519</v>
      </c>
      <c r="D7" s="241">
        <v>100</v>
      </c>
      <c r="E7" s="242"/>
      <c r="F7" s="243">
        <f>SUMIF(52:52,YEAR(E7)&amp;"-"&amp;MONTH(E7),53:53)</f>
        <v>0</v>
      </c>
      <c r="G7" s="242"/>
      <c r="H7" s="241">
        <f>SUMIF(52:52,YEAR(G7)&amp;"-"&amp;MONTH(G7),53:53)</f>
        <v>0</v>
      </c>
      <c r="I7" s="242"/>
      <c r="J7" s="241">
        <f>SUMIF(52:52,YEAR(I7)&amp;"-"&amp;MONTH(I7),53:53)</f>
        <v>0</v>
      </c>
      <c r="K7" s="402"/>
      <c r="L7" s="403"/>
      <c r="M7" s="404"/>
      <c r="N7" s="404"/>
      <c r="O7" s="404"/>
      <c r="P7" s="405" t="s">
        <v>1298</v>
      </c>
      <c r="Q7" s="483"/>
      <c r="R7" s="484" t="s">
        <v>1299</v>
      </c>
      <c r="S7" s="485">
        <f t="shared" ref="S7:S15" si="0">F7</f>
        <v>0</v>
      </c>
      <c r="T7" s="484" t="s">
        <v>1299</v>
      </c>
      <c r="U7" s="485">
        <f t="shared" ref="U7:U15" si="1">H7</f>
        <v>0</v>
      </c>
      <c r="V7" s="484" t="s">
        <v>1299</v>
      </c>
      <c r="W7" s="485">
        <f t="shared" ref="W7:W15" si="2">J7</f>
        <v>0</v>
      </c>
      <c r="X7" s="486"/>
      <c r="Y7" s="405" t="s">
        <v>1298</v>
      </c>
      <c r="Z7" s="487"/>
      <c r="AA7" s="508" t="e">
        <f>D7/F7</f>
        <v>#DIV/0!</v>
      </c>
      <c r="AB7" s="508" t="e">
        <f>D7/H7</f>
        <v>#DIV/0!</v>
      </c>
      <c r="AC7" s="508" t="e">
        <f>D7/J7</f>
        <v>#DIV/0!</v>
      </c>
    </row>
    <row r="8" s="196" customFormat="1" ht="15.75" spans="1:29">
      <c r="A8" s="245"/>
      <c r="B8" s="246" t="s">
        <v>1300</v>
      </c>
      <c r="C8" s="247" t="s">
        <v>1301</v>
      </c>
      <c r="D8" s="241">
        <v>100</v>
      </c>
      <c r="E8" s="247"/>
      <c r="F8" s="243">
        <f>SUMIF(55:55,E8,56:56)-SUMIF(55:55,C8,56:56)+100</f>
        <v>0</v>
      </c>
      <c r="G8" s="247"/>
      <c r="H8" s="241">
        <f>SUMIF(55:55,G8,56:56)-SUMIF(55:55,C8,56:56)+100</f>
        <v>0</v>
      </c>
      <c r="I8" s="247"/>
      <c r="J8" s="241">
        <f>SUMIF(55:55,I8,56:56)-SUMIF(55:55,C8,56:56)+100</f>
        <v>0</v>
      </c>
      <c r="K8" s="402"/>
      <c r="L8" s="403"/>
      <c r="M8" s="404"/>
      <c r="N8" s="404"/>
      <c r="O8" s="404"/>
      <c r="P8" s="405" t="s">
        <v>1302</v>
      </c>
      <c r="Q8" s="487"/>
      <c r="R8" s="484" t="s">
        <v>1299</v>
      </c>
      <c r="S8" s="485">
        <f t="shared" si="0"/>
        <v>0</v>
      </c>
      <c r="T8" s="484" t="s">
        <v>1299</v>
      </c>
      <c r="U8" s="485">
        <f t="shared" si="1"/>
        <v>0</v>
      </c>
      <c r="V8" s="484" t="s">
        <v>1299</v>
      </c>
      <c r="W8" s="485">
        <f t="shared" si="2"/>
        <v>0</v>
      </c>
      <c r="X8" s="486"/>
      <c r="Y8" s="405" t="s">
        <v>1302</v>
      </c>
      <c r="Z8" s="487"/>
      <c r="AA8" s="508" t="e">
        <f t="shared" ref="AA8:AA40" si="3">D8/F8</f>
        <v>#DIV/0!</v>
      </c>
      <c r="AB8" s="508" t="e">
        <f t="shared" ref="AB8:AB40" si="4">D8/H8</f>
        <v>#DIV/0!</v>
      </c>
      <c r="AC8" s="508" t="e">
        <f t="shared" ref="AC8:AC40" si="5">D8/J8</f>
        <v>#DIV/0!</v>
      </c>
    </row>
    <row r="9" s="196" customFormat="1" ht="15" spans="1:29">
      <c r="A9" s="248"/>
      <c r="B9" s="249" t="s">
        <v>1303</v>
      </c>
      <c r="C9" s="250"/>
      <c r="D9" s="251">
        <v>100</v>
      </c>
      <c r="E9" s="252"/>
      <c r="F9" s="251">
        <f>SUMIF(57:57,E9,58:58)-SUMIF(57:57,C9,58:58)+100</f>
        <v>100</v>
      </c>
      <c r="G9" s="544"/>
      <c r="H9" s="251">
        <f>SUMIF(57:57,G9,58:58)-SUMIF(57:57,C9,58:58)+100</f>
        <v>100</v>
      </c>
      <c r="I9" s="544"/>
      <c r="J9" s="251">
        <f>SUMIF(57:57,I9,58:58)-SUMIF(57:57,C9,58:58)+100</f>
        <v>100</v>
      </c>
      <c r="K9" s="402"/>
      <c r="L9" s="403"/>
      <c r="M9" s="404"/>
      <c r="N9" s="404"/>
      <c r="O9" s="406"/>
      <c r="P9" s="407" t="s">
        <v>1304</v>
      </c>
      <c r="Q9" s="488" t="str">
        <f t="shared" ref="Q9:Q15" si="6">B9</f>
        <v>用途</v>
      </c>
      <c r="R9" s="484" t="s">
        <v>1299</v>
      </c>
      <c r="S9" s="485">
        <f t="shared" si="0"/>
        <v>100</v>
      </c>
      <c r="T9" s="484" t="s">
        <v>1299</v>
      </c>
      <c r="U9" s="485">
        <f t="shared" si="1"/>
        <v>100</v>
      </c>
      <c r="V9" s="484" t="s">
        <v>1299</v>
      </c>
      <c r="W9" s="485">
        <f t="shared" si="2"/>
        <v>100</v>
      </c>
      <c r="X9" s="486"/>
      <c r="Y9" s="488" t="s">
        <v>1305</v>
      </c>
      <c r="Z9" s="509" t="str">
        <f t="shared" ref="Z9:Z15" si="7">Q9</f>
        <v>用途</v>
      </c>
      <c r="AA9" s="508">
        <f t="shared" si="3"/>
        <v>1</v>
      </c>
      <c r="AB9" s="508">
        <f t="shared" si="4"/>
        <v>1</v>
      </c>
      <c r="AC9" s="508">
        <f t="shared" si="5"/>
        <v>1</v>
      </c>
    </row>
    <row r="10" s="197" customFormat="1" ht="27" spans="1:29">
      <c r="A10" s="253"/>
      <c r="B10" s="246" t="s">
        <v>1306</v>
      </c>
      <c r="C10" s="254"/>
      <c r="D10" s="255">
        <v>100</v>
      </c>
      <c r="E10" s="254"/>
      <c r="F10" s="255">
        <f>SUMIF(59:59,E10,60:60)-SUMIF(59:59,C10,60:60)+100</f>
        <v>100</v>
      </c>
      <c r="G10" s="256"/>
      <c r="H10" s="255">
        <f>SUMIF(59:59,G10,60:60)-SUMIF(59:59,C10,60:60)+100</f>
        <v>100</v>
      </c>
      <c r="I10" s="254"/>
      <c r="J10" s="255">
        <f>SUMIF(59:59,I10,60:60)-SUMIF(59:59,C10,60:60)+100</f>
        <v>100</v>
      </c>
      <c r="K10" s="408"/>
      <c r="L10" s="409"/>
      <c r="M10" s="410"/>
      <c r="N10" s="410"/>
      <c r="O10" s="411"/>
      <c r="P10" s="407"/>
      <c r="Q10" s="488" t="str">
        <f t="shared" si="6"/>
        <v>土地使用年限（年）</v>
      </c>
      <c r="R10" s="484" t="s">
        <v>1299</v>
      </c>
      <c r="S10" s="485">
        <f t="shared" si="0"/>
        <v>100</v>
      </c>
      <c r="T10" s="484" t="s">
        <v>1299</v>
      </c>
      <c r="U10" s="485">
        <f t="shared" si="1"/>
        <v>100</v>
      </c>
      <c r="V10" s="484" t="s">
        <v>1299</v>
      </c>
      <c r="W10" s="485">
        <f t="shared" si="2"/>
        <v>100</v>
      </c>
      <c r="X10" s="486"/>
      <c r="Y10" s="488"/>
      <c r="Z10" s="509" t="str">
        <f t="shared" si="7"/>
        <v>土地使用年限（年）</v>
      </c>
      <c r="AA10" s="508">
        <f t="shared" si="3"/>
        <v>1</v>
      </c>
      <c r="AB10" s="508">
        <f t="shared" si="4"/>
        <v>1</v>
      </c>
      <c r="AC10" s="508">
        <f t="shared" si="5"/>
        <v>1</v>
      </c>
    </row>
    <row r="11" ht="15" spans="1:29">
      <c r="A11" s="577"/>
      <c r="B11" s="246" t="s">
        <v>1307</v>
      </c>
      <c r="C11" s="578"/>
      <c r="D11" s="255">
        <v>100</v>
      </c>
      <c r="E11" s="578"/>
      <c r="F11" s="255" t="e">
        <f>LOOKUP(E11,62:62,63:63)-LOOKUP(C11,62:62,63:63)+100</f>
        <v>#N/A</v>
      </c>
      <c r="G11" s="579"/>
      <c r="H11" s="255" t="e">
        <f>LOOKUP(G11,62:62,63:63)-LOOKUP(C11,62:62,63:63)+100</f>
        <v>#N/A</v>
      </c>
      <c r="I11" s="578"/>
      <c r="J11" s="255" t="e">
        <f>LOOKUP(I11,62:62,63:63)-LOOKUP(C11,62:62,63:63)+100</f>
        <v>#N/A</v>
      </c>
      <c r="K11" s="408"/>
      <c r="L11" s="413"/>
      <c r="M11" s="398"/>
      <c r="N11" s="398"/>
      <c r="O11" s="414"/>
      <c r="P11" s="407"/>
      <c r="Q11" s="488" t="str">
        <f t="shared" si="6"/>
        <v>容积率</v>
      </c>
      <c r="R11" s="484" t="s">
        <v>1299</v>
      </c>
      <c r="S11" s="485" t="e">
        <f t="shared" si="0"/>
        <v>#N/A</v>
      </c>
      <c r="T11" s="484" t="s">
        <v>1299</v>
      </c>
      <c r="U11" s="485" t="e">
        <f t="shared" si="1"/>
        <v>#N/A</v>
      </c>
      <c r="V11" s="484" t="s">
        <v>1299</v>
      </c>
      <c r="W11" s="485" t="e">
        <f t="shared" si="2"/>
        <v>#N/A</v>
      </c>
      <c r="X11" s="486"/>
      <c r="Y11" s="488"/>
      <c r="Z11" s="509" t="str">
        <f t="shared" si="7"/>
        <v>容积率</v>
      </c>
      <c r="AA11" s="508" t="e">
        <f t="shared" si="3"/>
        <v>#N/A</v>
      </c>
      <c r="AB11" s="508" t="e">
        <f t="shared" si="4"/>
        <v>#N/A</v>
      </c>
      <c r="AC11" s="508" t="e">
        <f t="shared" si="5"/>
        <v>#N/A</v>
      </c>
    </row>
    <row r="12" s="196" customFormat="1" ht="15" spans="1:29">
      <c r="A12" s="257"/>
      <c r="B12" s="258">
        <v>111</v>
      </c>
      <c r="C12" s="259"/>
      <c r="D12" s="261">
        <v>100</v>
      </c>
      <c r="E12" s="264"/>
      <c r="F12" s="255">
        <f>SUMIF(64:64,E12,65:65)-SUMIF(64:64,C12,65:65)+100</f>
        <v>100</v>
      </c>
      <c r="G12" s="580"/>
      <c r="H12" s="255">
        <f>SUMIF(64:64,G12,65:65)-SUMIF(64:64,C12,65:65)+100</f>
        <v>100</v>
      </c>
      <c r="I12" s="260"/>
      <c r="J12" s="255">
        <f>SUMIF(64:64,I12,65:65)-SUMIF(64:64,C12,65:65)+100</f>
        <v>100</v>
      </c>
      <c r="K12" s="412"/>
      <c r="L12" s="403"/>
      <c r="M12" s="404"/>
      <c r="N12" s="404"/>
      <c r="O12" s="406"/>
      <c r="P12" s="407"/>
      <c r="Q12" s="488">
        <f t="shared" si="6"/>
        <v>111</v>
      </c>
      <c r="R12" s="484" t="s">
        <v>1299</v>
      </c>
      <c r="S12" s="485">
        <f t="shared" si="0"/>
        <v>100</v>
      </c>
      <c r="T12" s="484" t="s">
        <v>1299</v>
      </c>
      <c r="U12" s="485">
        <f t="shared" si="1"/>
        <v>100</v>
      </c>
      <c r="V12" s="484" t="s">
        <v>1299</v>
      </c>
      <c r="W12" s="485">
        <f t="shared" si="2"/>
        <v>100</v>
      </c>
      <c r="X12" s="486"/>
      <c r="Y12" s="488"/>
      <c r="Z12" s="509">
        <f t="shared" si="7"/>
        <v>111</v>
      </c>
      <c r="AA12" s="508">
        <f t="shared" si="3"/>
        <v>1</v>
      </c>
      <c r="AB12" s="508">
        <f t="shared" si="4"/>
        <v>1</v>
      </c>
      <c r="AC12" s="508">
        <f t="shared" si="5"/>
        <v>1</v>
      </c>
    </row>
    <row r="13" ht="15" spans="1:29">
      <c r="A13" s="257"/>
      <c r="B13" s="258">
        <v>111</v>
      </c>
      <c r="C13" s="264"/>
      <c r="D13" s="265">
        <v>100</v>
      </c>
      <c r="E13" s="264"/>
      <c r="F13" s="255">
        <f>SUMIF(66:66,E13,67:67)-SUMIF(66:66,C13,67:67)+100</f>
        <v>100</v>
      </c>
      <c r="G13" s="580"/>
      <c r="H13" s="265">
        <f>SUMIF(66:66,G13,67:67)-SUMIF(66:66,C13,67:67)+100</f>
        <v>100</v>
      </c>
      <c r="I13" s="260"/>
      <c r="J13" s="265">
        <f>SUMIF(66:66,I13,67:67)-SUMIF(66:66,C13,67:67)+100</f>
        <v>100</v>
      </c>
      <c r="K13" s="412"/>
      <c r="L13" s="415"/>
      <c r="M13" s="398"/>
      <c r="N13" s="398"/>
      <c r="O13" s="414"/>
      <c r="P13" s="407"/>
      <c r="Q13" s="488">
        <f t="shared" si="6"/>
        <v>111</v>
      </c>
      <c r="R13" s="484" t="s">
        <v>1299</v>
      </c>
      <c r="S13" s="485">
        <f t="shared" si="0"/>
        <v>100</v>
      </c>
      <c r="T13" s="484" t="s">
        <v>1299</v>
      </c>
      <c r="U13" s="485">
        <f t="shared" si="1"/>
        <v>100</v>
      </c>
      <c r="V13" s="484" t="s">
        <v>1299</v>
      </c>
      <c r="W13" s="485">
        <f t="shared" si="2"/>
        <v>100</v>
      </c>
      <c r="X13" s="486"/>
      <c r="Y13" s="488"/>
      <c r="Z13" s="509">
        <f t="shared" si="7"/>
        <v>111</v>
      </c>
      <c r="AA13" s="508">
        <f t="shared" si="3"/>
        <v>1</v>
      </c>
      <c r="AB13" s="508">
        <f t="shared" si="4"/>
        <v>1</v>
      </c>
      <c r="AC13" s="508">
        <f t="shared" si="5"/>
        <v>1</v>
      </c>
    </row>
    <row r="14" ht="15.75" spans="1:29">
      <c r="A14" s="262"/>
      <c r="B14" s="263">
        <v>111</v>
      </c>
      <c r="C14" s="317"/>
      <c r="D14" s="318">
        <v>100</v>
      </c>
      <c r="E14" s="317"/>
      <c r="F14" s="318">
        <f>SUMIF(68:68,E14,69:69)-SUMIF(68:68,C14,69:69)+100</f>
        <v>100</v>
      </c>
      <c r="G14" s="580"/>
      <c r="H14" s="318">
        <f>SUMIF(68:68,G14,69:69)-SUMIF(68:68,C14,69:69)+100</f>
        <v>100</v>
      </c>
      <c r="I14" s="260"/>
      <c r="J14" s="318">
        <f>SUMIF(68:68,I14,69:69)-SUMIF(68:68,C14,69:69)+100</f>
        <v>100</v>
      </c>
      <c r="K14" s="412"/>
      <c r="L14" s="415"/>
      <c r="M14" s="398"/>
      <c r="N14" s="398"/>
      <c r="O14" s="414"/>
      <c r="P14" s="407"/>
      <c r="Q14" s="488">
        <f t="shared" si="6"/>
        <v>111</v>
      </c>
      <c r="R14" s="484" t="s">
        <v>1299</v>
      </c>
      <c r="S14" s="485">
        <f t="shared" si="0"/>
        <v>100</v>
      </c>
      <c r="T14" s="484" t="s">
        <v>1299</v>
      </c>
      <c r="U14" s="485">
        <f t="shared" si="1"/>
        <v>100</v>
      </c>
      <c r="V14" s="484" t="s">
        <v>1299</v>
      </c>
      <c r="W14" s="485">
        <f t="shared" si="2"/>
        <v>100</v>
      </c>
      <c r="X14" s="486"/>
      <c r="Y14" s="488"/>
      <c r="Z14" s="509">
        <f t="shared" si="7"/>
        <v>111</v>
      </c>
      <c r="AA14" s="508">
        <f t="shared" si="3"/>
        <v>1</v>
      </c>
      <c r="AB14" s="508">
        <f t="shared" si="4"/>
        <v>1</v>
      </c>
      <c r="AC14" s="508">
        <f t="shared" si="5"/>
        <v>1</v>
      </c>
    </row>
    <row r="15" ht="56.25" spans="1:29">
      <c r="A15" s="266" t="s">
        <v>1309</v>
      </c>
      <c r="B15" s="267" t="s">
        <v>228</v>
      </c>
      <c r="C15" s="268" t="str">
        <f>估价对象房地状况!G3</f>
        <v>估价对象位于XX开发区，园区建设成熟度XX，产业集聚程度XX</v>
      </c>
      <c r="D15" s="269">
        <v>100</v>
      </c>
      <c r="E15" s="270"/>
      <c r="F15" s="271">
        <f>SUMIF(70:70,E16,71:71)-SUMIF(70:70,C16,71:71)+100</f>
        <v>100</v>
      </c>
      <c r="G15" s="272"/>
      <c r="H15" s="269">
        <f>SUMIF(70:70,G16,71:71)-SUMIF(70:70,C16,71:71)+100</f>
        <v>100</v>
      </c>
      <c r="I15" s="270"/>
      <c r="J15" s="269">
        <f>SUMIF(70:70,I16,71:71)-SUMIF(70:70,C16,71:71)+100</f>
        <v>100</v>
      </c>
      <c r="K15" s="416"/>
      <c r="L15" s="415"/>
      <c r="M15" s="398"/>
      <c r="N15" s="398"/>
      <c r="O15" s="414"/>
      <c r="P15" s="417" t="s">
        <v>1310</v>
      </c>
      <c r="Q15" s="407" t="str">
        <f t="shared" si="6"/>
        <v>产业集聚程度</v>
      </c>
      <c r="R15" s="489" t="s">
        <v>1299</v>
      </c>
      <c r="S15" s="490">
        <f t="shared" si="0"/>
        <v>100</v>
      </c>
      <c r="T15" s="489" t="s">
        <v>1299</v>
      </c>
      <c r="U15" s="490">
        <f t="shared" si="1"/>
        <v>100</v>
      </c>
      <c r="V15" s="489" t="s">
        <v>1299</v>
      </c>
      <c r="W15" s="490">
        <f t="shared" si="2"/>
        <v>100</v>
      </c>
      <c r="X15" s="476"/>
      <c r="Y15" s="417" t="s">
        <v>1310</v>
      </c>
      <c r="Z15" s="475" t="str">
        <f t="shared" si="7"/>
        <v>产业集聚程度</v>
      </c>
      <c r="AA15" s="495">
        <f t="shared" si="3"/>
        <v>1</v>
      </c>
      <c r="AB15" s="495">
        <f t="shared" si="4"/>
        <v>1</v>
      </c>
      <c r="AC15" s="495">
        <f t="shared" si="5"/>
        <v>1</v>
      </c>
    </row>
    <row r="16" ht="15" spans="1:29">
      <c r="A16" s="273"/>
      <c r="B16" s="274"/>
      <c r="C16" s="275"/>
      <c r="D16" s="276"/>
      <c r="E16" s="275"/>
      <c r="F16" s="277"/>
      <c r="G16" s="275"/>
      <c r="H16" s="278"/>
      <c r="I16" s="275"/>
      <c r="J16" s="276"/>
      <c r="K16" s="418"/>
      <c r="L16" s="415"/>
      <c r="M16" s="398"/>
      <c r="N16" s="398"/>
      <c r="O16" s="414"/>
      <c r="P16" s="419"/>
      <c r="Q16" s="407"/>
      <c r="R16" s="489"/>
      <c r="S16" s="490"/>
      <c r="T16" s="489"/>
      <c r="U16" s="490"/>
      <c r="V16" s="489"/>
      <c r="W16" s="490"/>
      <c r="X16" s="476"/>
      <c r="Y16" s="419"/>
      <c r="Z16" s="475"/>
      <c r="AA16" s="495">
        <v>1</v>
      </c>
      <c r="AB16" s="495">
        <v>1</v>
      </c>
      <c r="AC16" s="495">
        <v>1</v>
      </c>
    </row>
    <row r="17" ht="81" spans="1:29">
      <c r="A17" s="273"/>
      <c r="B17" s="292" t="s">
        <v>229</v>
      </c>
      <c r="C17" s="280" t="str">
        <f>估价对象房地状况!G4</f>
        <v>估价对象周边道路状况、公共交通通达情况、停车便捷程度，综合评价交通便捷度较好</v>
      </c>
      <c r="D17" s="278">
        <v>100</v>
      </c>
      <c r="E17" s="288"/>
      <c r="F17" s="289">
        <f>SUMIF(72:72,E18,73:73)-SUMIF(72:72,C18,73:73)+100</f>
        <v>100</v>
      </c>
      <c r="G17" s="290"/>
      <c r="H17" s="281">
        <f>SUMIF(72:72,G18,73:73)-SUMIF(72:72,C18,73:73)+100</f>
        <v>100</v>
      </c>
      <c r="I17" s="288"/>
      <c r="J17" s="281">
        <f>SUMIF(72:72,I18,73:73)-SUMIF(72:72,C18,73:73)+100</f>
        <v>100</v>
      </c>
      <c r="K17" s="416"/>
      <c r="L17" s="415"/>
      <c r="M17" s="398"/>
      <c r="N17" s="398"/>
      <c r="O17" s="414"/>
      <c r="P17" s="419"/>
      <c r="Q17" s="407" t="str">
        <f>B17</f>
        <v>交通便捷度</v>
      </c>
      <c r="R17" s="489" t="s">
        <v>1299</v>
      </c>
      <c r="S17" s="490">
        <f>F17</f>
        <v>100</v>
      </c>
      <c r="T17" s="489" t="s">
        <v>1299</v>
      </c>
      <c r="U17" s="490">
        <f>H17</f>
        <v>100</v>
      </c>
      <c r="V17" s="489" t="s">
        <v>1299</v>
      </c>
      <c r="W17" s="490">
        <f>J17</f>
        <v>100</v>
      </c>
      <c r="X17" s="476"/>
      <c r="Y17" s="419"/>
      <c r="Z17" s="475" t="str">
        <f>Q17</f>
        <v>交通便捷度</v>
      </c>
      <c r="AA17" s="495">
        <f t="shared" si="3"/>
        <v>1</v>
      </c>
      <c r="AB17" s="495">
        <f t="shared" si="4"/>
        <v>1</v>
      </c>
      <c r="AC17" s="495">
        <f t="shared" si="5"/>
        <v>1</v>
      </c>
    </row>
    <row r="18" ht="15" spans="1:29">
      <c r="A18" s="273"/>
      <c r="B18" s="293"/>
      <c r="C18" s="286"/>
      <c r="D18" s="278"/>
      <c r="E18" s="581"/>
      <c r="F18" s="289"/>
      <c r="G18" s="582"/>
      <c r="H18" s="276"/>
      <c r="I18" s="581"/>
      <c r="J18" s="276"/>
      <c r="K18" s="418"/>
      <c r="L18" s="415"/>
      <c r="M18" s="398"/>
      <c r="N18" s="398"/>
      <c r="O18" s="414"/>
      <c r="P18" s="419"/>
      <c r="Q18" s="407"/>
      <c r="R18" s="489"/>
      <c r="S18" s="490"/>
      <c r="T18" s="489"/>
      <c r="U18" s="490"/>
      <c r="V18" s="489"/>
      <c r="W18" s="490"/>
      <c r="X18" s="476"/>
      <c r="Y18" s="419"/>
      <c r="Z18" s="475"/>
      <c r="AA18" s="495">
        <v>1</v>
      </c>
      <c r="AB18" s="495">
        <v>1</v>
      </c>
      <c r="AC18" s="495">
        <v>1</v>
      </c>
    </row>
    <row r="19" ht="40.5" spans="1:29">
      <c r="A19" s="273"/>
      <c r="B19" s="279" t="s">
        <v>231</v>
      </c>
      <c r="C19" s="280" t="str">
        <f>估价对象房地状况!G5</f>
        <v>估价对象所在区域公共配套设施齐备情况</v>
      </c>
      <c r="D19" s="281">
        <v>100</v>
      </c>
      <c r="E19" s="282"/>
      <c r="F19" s="283">
        <f>SUMIF(74:74,E20,75:75)-SUMIF(74:74,C20,75:75)+100</f>
        <v>100</v>
      </c>
      <c r="G19" s="284"/>
      <c r="H19" s="278">
        <f>SUMIF(74:74,G20,75:75)-SUMIF(74:74,C20,75:75)+100</f>
        <v>100</v>
      </c>
      <c r="I19" s="282"/>
      <c r="J19" s="278">
        <f>SUMIF(74:74,I20,75:75)-SUMIF(74:74,C20,75:75)+100</f>
        <v>100</v>
      </c>
      <c r="K19" s="416"/>
      <c r="L19" s="415"/>
      <c r="M19" s="398"/>
      <c r="N19" s="398"/>
      <c r="O19" s="414"/>
      <c r="P19" s="419"/>
      <c r="Q19" s="407" t="str">
        <f>B19</f>
        <v>公共配套设施</v>
      </c>
      <c r="R19" s="489" t="s">
        <v>1299</v>
      </c>
      <c r="S19" s="490">
        <f>F19</f>
        <v>100</v>
      </c>
      <c r="T19" s="489" t="s">
        <v>1299</v>
      </c>
      <c r="U19" s="490">
        <f>H19</f>
        <v>100</v>
      </c>
      <c r="V19" s="489" t="s">
        <v>1299</v>
      </c>
      <c r="W19" s="490">
        <f>J19</f>
        <v>100</v>
      </c>
      <c r="X19" s="476"/>
      <c r="Y19" s="419"/>
      <c r="Z19" s="475" t="str">
        <f>Q19</f>
        <v>公共配套设施</v>
      </c>
      <c r="AA19" s="495">
        <f t="shared" si="3"/>
        <v>1</v>
      </c>
      <c r="AB19" s="495">
        <f t="shared" si="4"/>
        <v>1</v>
      </c>
      <c r="AC19" s="495">
        <f t="shared" si="5"/>
        <v>1</v>
      </c>
    </row>
    <row r="20" ht="15" spans="1:29">
      <c r="A20" s="273"/>
      <c r="B20" s="285"/>
      <c r="C20" s="275"/>
      <c r="D20" s="276"/>
      <c r="E20" s="583"/>
      <c r="F20" s="277"/>
      <c r="G20" s="584"/>
      <c r="H20" s="276"/>
      <c r="I20" s="583"/>
      <c r="J20" s="276"/>
      <c r="K20" s="418"/>
      <c r="L20" s="415"/>
      <c r="M20" s="398"/>
      <c r="N20" s="398"/>
      <c r="O20" s="414"/>
      <c r="P20" s="419"/>
      <c r="Q20" s="407"/>
      <c r="R20" s="489"/>
      <c r="S20" s="490"/>
      <c r="T20" s="489"/>
      <c r="U20" s="490"/>
      <c r="V20" s="489"/>
      <c r="W20" s="490"/>
      <c r="X20" s="476"/>
      <c r="Y20" s="419"/>
      <c r="Z20" s="475"/>
      <c r="AA20" s="495">
        <v>1</v>
      </c>
      <c r="AB20" s="495">
        <v>1</v>
      </c>
      <c r="AC20" s="495">
        <v>1</v>
      </c>
    </row>
    <row r="21" ht="27" spans="1:29">
      <c r="A21" s="273"/>
      <c r="B21" s="287" t="s">
        <v>232</v>
      </c>
      <c r="C21" s="280" t="str">
        <f>估价对象房地状况!G6</f>
        <v>估价对象所在区域基础设施水平</v>
      </c>
      <c r="D21" s="281">
        <v>100</v>
      </c>
      <c r="E21" s="284"/>
      <c r="F21" s="283">
        <f>SUMIF(76:76,E22,77:77)-SUMIF(76:76,C22,77:77)+100</f>
        <v>100</v>
      </c>
      <c r="G21" s="284"/>
      <c r="H21" s="281">
        <f>SUMIF(76:76,G22,77:77)-SUMIF(76:76,C22,77:77)+100</f>
        <v>100</v>
      </c>
      <c r="I21" s="282"/>
      <c r="J21" s="281">
        <f>SUMIF(76:76,I22,77:77)-SUMIF(76:76,C22,77:77)+100</f>
        <v>100</v>
      </c>
      <c r="K21" s="416"/>
      <c r="L21" s="415"/>
      <c r="M21" s="398"/>
      <c r="N21" s="398"/>
      <c r="O21" s="414"/>
      <c r="P21" s="419"/>
      <c r="Q21" s="407" t="str">
        <f>B21</f>
        <v>基础设施水平</v>
      </c>
      <c r="R21" s="489" t="s">
        <v>1299</v>
      </c>
      <c r="S21" s="490">
        <f>F21</f>
        <v>100</v>
      </c>
      <c r="T21" s="489" t="s">
        <v>1299</v>
      </c>
      <c r="U21" s="490">
        <f>H21</f>
        <v>100</v>
      </c>
      <c r="V21" s="489" t="s">
        <v>1299</v>
      </c>
      <c r="W21" s="490">
        <f>J21</f>
        <v>100</v>
      </c>
      <c r="X21" s="476"/>
      <c r="Y21" s="419"/>
      <c r="Z21" s="475" t="str">
        <f>Q21</f>
        <v>基础设施水平</v>
      </c>
      <c r="AA21" s="495">
        <f t="shared" ref="AA21" si="8">D21/F21</f>
        <v>1</v>
      </c>
      <c r="AB21" s="495">
        <f t="shared" ref="AB21" si="9">D21/H21</f>
        <v>1</v>
      </c>
      <c r="AC21" s="495">
        <f t="shared" ref="AC21" si="10">D21/J21</f>
        <v>1</v>
      </c>
    </row>
    <row r="22" ht="15" spans="1:29">
      <c r="A22" s="273"/>
      <c r="B22" s="291"/>
      <c r="C22" s="286"/>
      <c r="D22" s="276"/>
      <c r="E22" s="275"/>
      <c r="F22" s="277"/>
      <c r="G22" s="275"/>
      <c r="H22" s="276"/>
      <c r="I22" s="275"/>
      <c r="J22" s="276"/>
      <c r="K22" s="420"/>
      <c r="L22" s="415"/>
      <c r="M22" s="398"/>
      <c r="N22" s="398"/>
      <c r="O22" s="414"/>
      <c r="P22" s="419"/>
      <c r="Q22" s="407"/>
      <c r="R22" s="489"/>
      <c r="S22" s="490"/>
      <c r="T22" s="489"/>
      <c r="U22" s="490"/>
      <c r="V22" s="489"/>
      <c r="W22" s="490"/>
      <c r="X22" s="476"/>
      <c r="Y22" s="419"/>
      <c r="Z22" s="475"/>
      <c r="AA22" s="495">
        <v>1</v>
      </c>
      <c r="AB22" s="495">
        <v>1</v>
      </c>
      <c r="AC22" s="495">
        <v>1</v>
      </c>
    </row>
    <row r="23" ht="67.5" spans="1:29">
      <c r="A23" s="273"/>
      <c r="B23" s="292" t="s">
        <v>233</v>
      </c>
      <c r="C23" s="280" t="str">
        <f>估价对象房地状况!G7</f>
        <v>该园区内是否有污染型企业，绿化情况，卫生条件，整体环境状况判断</v>
      </c>
      <c r="D23" s="278">
        <v>100</v>
      </c>
      <c r="E23" s="288"/>
      <c r="F23" s="289">
        <f>SUMIF(78:78,E24,79:79)-SUMIF(78:78,C24,79:79)+100</f>
        <v>100</v>
      </c>
      <c r="G23" s="290"/>
      <c r="H23" s="278">
        <f>SUMIF(78:78,G24,79:79)-SUMIF(78:78,C24,79:79)+100</f>
        <v>100</v>
      </c>
      <c r="I23" s="288"/>
      <c r="J23" s="278">
        <f>SUMIF(78:78,I24,79:79)-SUMIF(78:78,C24,79:79)+100</f>
        <v>100</v>
      </c>
      <c r="K23" s="416"/>
      <c r="L23" s="415"/>
      <c r="M23" s="398"/>
      <c r="N23" s="398"/>
      <c r="O23" s="414"/>
      <c r="P23" s="419"/>
      <c r="Q23" s="407" t="str">
        <f>B23</f>
        <v>环境质量</v>
      </c>
      <c r="R23" s="489" t="s">
        <v>1299</v>
      </c>
      <c r="S23" s="490">
        <f>F23</f>
        <v>100</v>
      </c>
      <c r="T23" s="489" t="s">
        <v>1299</v>
      </c>
      <c r="U23" s="490">
        <f>H23</f>
        <v>100</v>
      </c>
      <c r="V23" s="489" t="s">
        <v>1299</v>
      </c>
      <c r="W23" s="490">
        <f>J23</f>
        <v>100</v>
      </c>
      <c r="X23" s="476"/>
      <c r="Y23" s="419"/>
      <c r="Z23" s="475" t="str">
        <f>Q23</f>
        <v>环境质量</v>
      </c>
      <c r="AA23" s="495">
        <f t="shared" si="3"/>
        <v>1</v>
      </c>
      <c r="AB23" s="495">
        <f t="shared" si="4"/>
        <v>1</v>
      </c>
      <c r="AC23" s="495">
        <f t="shared" si="5"/>
        <v>1</v>
      </c>
    </row>
    <row r="24" ht="15" spans="1:29">
      <c r="A24" s="273"/>
      <c r="B24" s="585"/>
      <c r="C24" s="275"/>
      <c r="D24" s="276"/>
      <c r="E24" s="583"/>
      <c r="F24" s="277"/>
      <c r="G24" s="584"/>
      <c r="H24" s="276"/>
      <c r="I24" s="583"/>
      <c r="J24" s="276"/>
      <c r="K24" s="418"/>
      <c r="L24" s="415"/>
      <c r="M24" s="398"/>
      <c r="N24" s="398"/>
      <c r="O24" s="414"/>
      <c r="P24" s="419"/>
      <c r="Q24" s="407"/>
      <c r="R24" s="489"/>
      <c r="S24" s="490"/>
      <c r="T24" s="489"/>
      <c r="U24" s="490"/>
      <c r="V24" s="489"/>
      <c r="W24" s="490"/>
      <c r="X24" s="476"/>
      <c r="Y24" s="419"/>
      <c r="Z24" s="475"/>
      <c r="AA24" s="495">
        <v>1</v>
      </c>
      <c r="AB24" s="495">
        <v>1</v>
      </c>
      <c r="AC24" s="495">
        <v>1</v>
      </c>
    </row>
    <row r="25" ht="15" spans="1:29">
      <c r="A25" s="226"/>
      <c r="B25" s="586">
        <v>111</v>
      </c>
      <c r="C25" s="264"/>
      <c r="D25" s="265">
        <v>100</v>
      </c>
      <c r="E25" s="264"/>
      <c r="F25" s="295">
        <f>SUMIF(80:80,E25,81:81)-SUMIF(80:80,C25,81:81)+100</f>
        <v>100</v>
      </c>
      <c r="G25" s="264"/>
      <c r="H25" s="265">
        <f>SUMIF(80:80,G25,81:81)-SUMIF(80:80,C25,81:81)+100</f>
        <v>100</v>
      </c>
      <c r="I25" s="264"/>
      <c r="J25" s="265">
        <f>SUMIF(80:80,I25,81:81)-SUMIF(80:80,C25,81:81)+100</f>
        <v>100</v>
      </c>
      <c r="K25" s="412"/>
      <c r="L25" s="415"/>
      <c r="M25" s="398"/>
      <c r="N25" s="398"/>
      <c r="O25" s="414"/>
      <c r="P25" s="419"/>
      <c r="Q25" s="407">
        <f>B25</f>
        <v>111</v>
      </c>
      <c r="R25" s="489" t="s">
        <v>1299</v>
      </c>
      <c r="S25" s="490">
        <f>F25</f>
        <v>100</v>
      </c>
      <c r="T25" s="489" t="s">
        <v>1299</v>
      </c>
      <c r="U25" s="490">
        <f>H25</f>
        <v>100</v>
      </c>
      <c r="V25" s="489" t="s">
        <v>1299</v>
      </c>
      <c r="W25" s="490">
        <f>J25</f>
        <v>100</v>
      </c>
      <c r="X25" s="476"/>
      <c r="Y25" s="419"/>
      <c r="Z25" s="475">
        <f>Q25</f>
        <v>111</v>
      </c>
      <c r="AA25" s="495">
        <f t="shared" si="3"/>
        <v>1</v>
      </c>
      <c r="AB25" s="495">
        <f t="shared" si="4"/>
        <v>1</v>
      </c>
      <c r="AC25" s="495">
        <f t="shared" si="5"/>
        <v>1</v>
      </c>
    </row>
    <row r="26" ht="15" spans="1:29">
      <c r="A26" s="273"/>
      <c r="B26" s="586">
        <v>111</v>
      </c>
      <c r="C26" s="264"/>
      <c r="D26" s="265">
        <v>100</v>
      </c>
      <c r="E26" s="264"/>
      <c r="F26" s="295">
        <f>SUMIF(82:82,E26,83:83)-SUMIF(82:82,C26,83:83)+100</f>
        <v>100</v>
      </c>
      <c r="G26" s="264"/>
      <c r="H26" s="265">
        <f>SUMIF(82:82,G26,83:83)-SUMIF(82:82,C26,83:83)+100</f>
        <v>100</v>
      </c>
      <c r="I26" s="264"/>
      <c r="J26" s="265">
        <f>SUMIF(82:82,I26,83:83)-SUMIF(82:82,C26,83:83)+100</f>
        <v>100</v>
      </c>
      <c r="K26" s="412"/>
      <c r="L26" s="415"/>
      <c r="M26" s="398"/>
      <c r="N26" s="398"/>
      <c r="O26" s="414"/>
      <c r="P26" s="419"/>
      <c r="Q26" s="407">
        <f t="shared" ref="Q26:Q40" si="11">B26</f>
        <v>111</v>
      </c>
      <c r="R26" s="489" t="s">
        <v>1299</v>
      </c>
      <c r="S26" s="490">
        <f>F26</f>
        <v>100</v>
      </c>
      <c r="T26" s="489" t="s">
        <v>1299</v>
      </c>
      <c r="U26" s="490">
        <f>H26</f>
        <v>100</v>
      </c>
      <c r="V26" s="489" t="s">
        <v>1299</v>
      </c>
      <c r="W26" s="490">
        <f>J26</f>
        <v>100</v>
      </c>
      <c r="X26" s="476"/>
      <c r="Y26" s="419"/>
      <c r="Z26" s="475">
        <f>Q26</f>
        <v>111</v>
      </c>
      <c r="AA26" s="495">
        <f t="shared" si="3"/>
        <v>1</v>
      </c>
      <c r="AB26" s="495">
        <f t="shared" si="4"/>
        <v>1</v>
      </c>
      <c r="AC26" s="495">
        <f t="shared" si="5"/>
        <v>1</v>
      </c>
    </row>
    <row r="27" s="196" customFormat="1" ht="15" spans="1:29">
      <c r="A27" s="297"/>
      <c r="B27" s="586">
        <v>111</v>
      </c>
      <c r="C27" s="264"/>
      <c r="D27" s="587">
        <v>100</v>
      </c>
      <c r="E27" s="264"/>
      <c r="F27" s="588">
        <f>SUMIF(84:84,E27,85:85)-SUMIF(84:84,C27,85:85)+100</f>
        <v>100</v>
      </c>
      <c r="G27" s="264"/>
      <c r="H27" s="587">
        <f>SUMIF(84:84,G27,85:85)-SUMIF(84:84,C27,85:85)+100</f>
        <v>100</v>
      </c>
      <c r="I27" s="264"/>
      <c r="J27" s="587">
        <f>SUMIF(84:84,I27,85:85)-SUMIF(84:84,C27,85:85)+100</f>
        <v>100</v>
      </c>
      <c r="K27" s="412"/>
      <c r="L27" s="403"/>
      <c r="M27" s="404"/>
      <c r="N27" s="404"/>
      <c r="O27" s="406"/>
      <c r="P27" s="419"/>
      <c r="Q27" s="488">
        <f t="shared" si="11"/>
        <v>111</v>
      </c>
      <c r="R27" s="484" t="s">
        <v>1299</v>
      </c>
      <c r="S27" s="485">
        <f>F27</f>
        <v>100</v>
      </c>
      <c r="T27" s="484" t="s">
        <v>1299</v>
      </c>
      <c r="U27" s="485">
        <f>H27</f>
        <v>100</v>
      </c>
      <c r="V27" s="484" t="s">
        <v>1299</v>
      </c>
      <c r="W27" s="485">
        <f>J27</f>
        <v>100</v>
      </c>
      <c r="X27" s="486"/>
      <c r="Y27" s="419"/>
      <c r="Z27" s="509">
        <f>Q27</f>
        <v>111</v>
      </c>
      <c r="AA27" s="495">
        <f t="shared" si="3"/>
        <v>1</v>
      </c>
      <c r="AB27" s="495">
        <f t="shared" si="4"/>
        <v>1</v>
      </c>
      <c r="AC27" s="495">
        <f t="shared" si="5"/>
        <v>1</v>
      </c>
    </row>
    <row r="28" ht="15.75" spans="1:29">
      <c r="A28" s="589"/>
      <c r="B28" s="586">
        <v>111</v>
      </c>
      <c r="C28" s="317"/>
      <c r="D28" s="318">
        <v>100</v>
      </c>
      <c r="E28" s="264"/>
      <c r="F28" s="320">
        <f>SUMIF(86:86,E28,87:87)-SUMIF(86:86,C28,87:87)+100</f>
        <v>100</v>
      </c>
      <c r="G28" s="260"/>
      <c r="H28" s="318">
        <f>SUMIF(86:86,G28,87:87)-SUMIF(86:86,C28,87:87)+100</f>
        <v>100</v>
      </c>
      <c r="I28" s="260"/>
      <c r="J28" s="318">
        <f>SUMIF(86:86,I28,87:87)-SUMIF(86:86,C28,87:87)+100</f>
        <v>100</v>
      </c>
      <c r="K28" s="412"/>
      <c r="L28" s="415"/>
      <c r="M28" s="398"/>
      <c r="N28" s="398"/>
      <c r="O28" s="414"/>
      <c r="P28" s="419"/>
      <c r="Q28" s="407">
        <f t="shared" si="11"/>
        <v>111</v>
      </c>
      <c r="R28" s="489" t="s">
        <v>1299</v>
      </c>
      <c r="S28" s="490">
        <f t="shared" ref="S28:S40" si="12">F28</f>
        <v>100</v>
      </c>
      <c r="T28" s="489" t="s">
        <v>1299</v>
      </c>
      <c r="U28" s="490">
        <f t="shared" ref="U28:U40" si="13">H28</f>
        <v>100</v>
      </c>
      <c r="V28" s="489" t="s">
        <v>1299</v>
      </c>
      <c r="W28" s="490">
        <f t="shared" ref="W28:W40" si="14">J28</f>
        <v>100</v>
      </c>
      <c r="X28" s="476"/>
      <c r="Y28" s="419"/>
      <c r="Z28" s="475">
        <f t="shared" ref="Z28:Z40" si="15">Q28</f>
        <v>111</v>
      </c>
      <c r="AA28" s="495">
        <f t="shared" si="3"/>
        <v>1</v>
      </c>
      <c r="AB28" s="495">
        <f t="shared" si="4"/>
        <v>1</v>
      </c>
      <c r="AC28" s="495">
        <f t="shared" si="5"/>
        <v>1</v>
      </c>
    </row>
    <row r="29" ht="15" spans="1:29">
      <c r="A29" s="301" t="s">
        <v>1315</v>
      </c>
      <c r="B29" s="302" t="s">
        <v>1569</v>
      </c>
      <c r="C29" s="303"/>
      <c r="D29" s="304">
        <v>100</v>
      </c>
      <c r="E29" s="303"/>
      <c r="F29" s="295">
        <f>SUMIF(88:88,E29,89:89)-SUMIF(88:88,C29,89:89)+100</f>
        <v>100</v>
      </c>
      <c r="G29" s="303"/>
      <c r="H29" s="265">
        <f>SUMIF(88:88,G29,89:89)-SUMIF(88:88,C29,89:89)+100</f>
        <v>100</v>
      </c>
      <c r="I29" s="303"/>
      <c r="J29" s="304">
        <f>SUMIF(88:88,I29,89:89)-SUMIF(88:88,C29,89:89)+100</f>
        <v>100</v>
      </c>
      <c r="K29" s="408"/>
      <c r="L29" s="415"/>
      <c r="M29" s="398"/>
      <c r="N29" s="398"/>
      <c r="O29" s="414"/>
      <c r="P29" s="421" t="s">
        <v>1314</v>
      </c>
      <c r="Q29" s="407" t="str">
        <f t="shared" si="11"/>
        <v>建筑类型</v>
      </c>
      <c r="R29" s="489" t="s">
        <v>1299</v>
      </c>
      <c r="S29" s="490">
        <f t="shared" si="12"/>
        <v>100</v>
      </c>
      <c r="T29" s="489" t="s">
        <v>1299</v>
      </c>
      <c r="U29" s="490">
        <f t="shared" si="13"/>
        <v>100</v>
      </c>
      <c r="V29" s="489" t="s">
        <v>1299</v>
      </c>
      <c r="W29" s="490">
        <f t="shared" si="14"/>
        <v>100</v>
      </c>
      <c r="X29" s="476"/>
      <c r="Y29" s="424" t="s">
        <v>1314</v>
      </c>
      <c r="Z29" s="475" t="str">
        <f t="shared" si="15"/>
        <v>建筑类型</v>
      </c>
      <c r="AA29" s="495">
        <f t="shared" si="3"/>
        <v>1</v>
      </c>
      <c r="AB29" s="495">
        <f t="shared" si="4"/>
        <v>1</v>
      </c>
      <c r="AC29" s="495">
        <f t="shared" si="5"/>
        <v>1</v>
      </c>
    </row>
    <row r="30" s="198" customFormat="1" ht="15" spans="1:29">
      <c r="A30" s="306"/>
      <c r="B30" s="307" t="s">
        <v>1571</v>
      </c>
      <c r="C30" s="260"/>
      <c r="D30" s="255">
        <v>100</v>
      </c>
      <c r="E30" s="579"/>
      <c r="F30" s="590" t="e">
        <f>LOOKUP(E30,91:91,92:92)-LOOKUP(C30,91:91,92:92)+100</f>
        <v>#N/A</v>
      </c>
      <c r="G30" s="578"/>
      <c r="H30" s="255" t="e">
        <f>LOOKUP(G30,91:91,92:92)-LOOKUP(C30,91:91,92:92)+100</f>
        <v>#N/A</v>
      </c>
      <c r="I30" s="578"/>
      <c r="J30" s="255" t="e">
        <f>LOOKUP(I30,91:91,92:92)-LOOKUP(C30,91:91,92:92)+100</f>
        <v>#N/A</v>
      </c>
      <c r="K30" s="412"/>
      <c r="L30" s="413"/>
      <c r="M30" s="422"/>
      <c r="N30" s="422"/>
      <c r="O30" s="423"/>
      <c r="P30" s="424"/>
      <c r="Q30" s="491" t="str">
        <f t="shared" si="11"/>
        <v>项目建筑规模</v>
      </c>
      <c r="R30" s="492" t="s">
        <v>1299</v>
      </c>
      <c r="S30" s="493" t="e">
        <f t="shared" si="12"/>
        <v>#N/A</v>
      </c>
      <c r="T30" s="492" t="s">
        <v>1299</v>
      </c>
      <c r="U30" s="493" t="e">
        <f t="shared" si="13"/>
        <v>#N/A</v>
      </c>
      <c r="V30" s="492" t="s">
        <v>1299</v>
      </c>
      <c r="W30" s="493" t="e">
        <f t="shared" si="14"/>
        <v>#N/A</v>
      </c>
      <c r="X30" s="494"/>
      <c r="Y30" s="424"/>
      <c r="Z30" s="510" t="str">
        <f t="shared" si="15"/>
        <v>项目建筑规模</v>
      </c>
      <c r="AA30" s="495" t="e">
        <f t="shared" si="3"/>
        <v>#N/A</v>
      </c>
      <c r="AB30" s="495" t="e">
        <f t="shared" si="4"/>
        <v>#N/A</v>
      </c>
      <c r="AC30" s="495" t="e">
        <f t="shared" si="5"/>
        <v>#N/A</v>
      </c>
    </row>
    <row r="31" ht="15" spans="1:29">
      <c r="A31" s="311"/>
      <c r="B31" s="307" t="s">
        <v>1572</v>
      </c>
      <c r="C31" s="312"/>
      <c r="D31" s="265">
        <v>100</v>
      </c>
      <c r="E31" s="312"/>
      <c r="F31" s="295">
        <f>SUMIF(93:93,E31,94:94)-SUMIF(93:93,C31,94:94)+100</f>
        <v>100</v>
      </c>
      <c r="G31" s="312"/>
      <c r="H31" s="265">
        <f>SUMIF(93:93,G31,94:94)-SUMIF(93:93,C31,94:94)+100</f>
        <v>100</v>
      </c>
      <c r="I31" s="312"/>
      <c r="J31" s="265">
        <f>SUMIF(93:93,I31,94:94)-SUMIF(93:93,C31,94:94)+100</f>
        <v>100</v>
      </c>
      <c r="K31" s="408"/>
      <c r="L31" s="415"/>
      <c r="M31" s="398"/>
      <c r="N31" s="398"/>
      <c r="O31" s="414"/>
      <c r="P31" s="424"/>
      <c r="Q31" s="407" t="str">
        <f t="shared" si="11"/>
        <v>建筑结构</v>
      </c>
      <c r="R31" s="489" t="s">
        <v>1299</v>
      </c>
      <c r="S31" s="490">
        <f t="shared" si="12"/>
        <v>100</v>
      </c>
      <c r="T31" s="489" t="s">
        <v>1299</v>
      </c>
      <c r="U31" s="490">
        <f t="shared" si="13"/>
        <v>100</v>
      </c>
      <c r="V31" s="489" t="s">
        <v>1299</v>
      </c>
      <c r="W31" s="490">
        <f t="shared" si="14"/>
        <v>100</v>
      </c>
      <c r="X31" s="476"/>
      <c r="Y31" s="424"/>
      <c r="Z31" s="475" t="str">
        <f t="shared" si="15"/>
        <v>建筑结构</v>
      </c>
      <c r="AA31" s="495">
        <f t="shared" si="3"/>
        <v>1</v>
      </c>
      <c r="AB31" s="495">
        <f t="shared" si="4"/>
        <v>1</v>
      </c>
      <c r="AC31" s="495">
        <f t="shared" si="5"/>
        <v>1</v>
      </c>
    </row>
    <row r="32" ht="15" spans="1:29">
      <c r="A32" s="311"/>
      <c r="B32" s="307" t="s">
        <v>1573</v>
      </c>
      <c r="C32" s="312"/>
      <c r="D32" s="265">
        <v>100</v>
      </c>
      <c r="E32" s="312"/>
      <c r="F32" s="295">
        <f>SUMIF(95:95,E32,96:96)-SUMIF(95:95,C32,96:96)+100</f>
        <v>100</v>
      </c>
      <c r="G32" s="312"/>
      <c r="H32" s="265">
        <f>SUMIF(95:95,G32,96:96)-SUMIF(95:95,C32,96:96)+100</f>
        <v>100</v>
      </c>
      <c r="I32" s="312"/>
      <c r="J32" s="265">
        <f>SUMIF(95:95,I32,96:96)-SUMIF(95:95,C32,96:96)+100</f>
        <v>100</v>
      </c>
      <c r="K32" s="408"/>
      <c r="L32" s="415"/>
      <c r="M32" s="398"/>
      <c r="N32" s="398"/>
      <c r="O32" s="414"/>
      <c r="P32" s="424"/>
      <c r="Q32" s="407" t="str">
        <f t="shared" si="11"/>
        <v>公共部分装修</v>
      </c>
      <c r="R32" s="489" t="s">
        <v>1299</v>
      </c>
      <c r="S32" s="490">
        <f t="shared" si="12"/>
        <v>100</v>
      </c>
      <c r="T32" s="489" t="s">
        <v>1299</v>
      </c>
      <c r="U32" s="490">
        <f t="shared" si="13"/>
        <v>100</v>
      </c>
      <c r="V32" s="489" t="s">
        <v>1299</v>
      </c>
      <c r="W32" s="490">
        <f t="shared" si="14"/>
        <v>100</v>
      </c>
      <c r="X32" s="476"/>
      <c r="Y32" s="424"/>
      <c r="Z32" s="475" t="str">
        <f t="shared" si="15"/>
        <v>公共部分装修</v>
      </c>
      <c r="AA32" s="495">
        <f t="shared" si="3"/>
        <v>1</v>
      </c>
      <c r="AB32" s="495">
        <f t="shared" si="4"/>
        <v>1</v>
      </c>
      <c r="AC32" s="495">
        <f t="shared" si="5"/>
        <v>1</v>
      </c>
    </row>
    <row r="33" ht="15" spans="1:29">
      <c r="A33" s="311"/>
      <c r="B33" s="307" t="s">
        <v>1575</v>
      </c>
      <c r="C33" s="260"/>
      <c r="D33" s="265">
        <v>100</v>
      </c>
      <c r="E33" s="308"/>
      <c r="F33" s="295" t="e">
        <f>LOOKUP(E33,98:98,99:99)-LOOKUP(C33,98:98,99:99)+100</f>
        <v>#N/A</v>
      </c>
      <c r="G33" s="308"/>
      <c r="H33" s="295" t="e">
        <f>LOOKUP(G33,98:98,99:99)-LOOKUP(C33,98:98,99:99)+100</f>
        <v>#N/A</v>
      </c>
      <c r="I33" s="308"/>
      <c r="J33" s="265" t="e">
        <f>LOOKUP(I33,98:98,99:99)-LOOKUP(C33,98:98,99:99)+100</f>
        <v>#N/A</v>
      </c>
      <c r="K33" s="408"/>
      <c r="L33" s="415"/>
      <c r="M33" s="398"/>
      <c r="N33" s="398"/>
      <c r="O33" s="414"/>
      <c r="P33" s="424"/>
      <c r="Q33" s="407" t="str">
        <f t="shared" si="11"/>
        <v>成新度</v>
      </c>
      <c r="R33" s="489" t="s">
        <v>1299</v>
      </c>
      <c r="S33" s="490" t="e">
        <f t="shared" si="12"/>
        <v>#N/A</v>
      </c>
      <c r="T33" s="489" t="s">
        <v>1299</v>
      </c>
      <c r="U33" s="490" t="e">
        <f t="shared" si="13"/>
        <v>#N/A</v>
      </c>
      <c r="V33" s="489" t="s">
        <v>1299</v>
      </c>
      <c r="W33" s="490" t="e">
        <f t="shared" si="14"/>
        <v>#N/A</v>
      </c>
      <c r="X33" s="476"/>
      <c r="Y33" s="424"/>
      <c r="Z33" s="475" t="str">
        <f t="shared" si="15"/>
        <v>成新度</v>
      </c>
      <c r="AA33" s="495" t="e">
        <f t="shared" si="3"/>
        <v>#N/A</v>
      </c>
      <c r="AB33" s="495" t="e">
        <f t="shared" si="4"/>
        <v>#N/A</v>
      </c>
      <c r="AC33" s="495" t="e">
        <f t="shared" si="5"/>
        <v>#N/A</v>
      </c>
    </row>
    <row r="34" s="196" customFormat="1" ht="15" spans="1:29">
      <c r="A34" s="314"/>
      <c r="B34" s="307" t="s">
        <v>1577</v>
      </c>
      <c r="C34" s="312"/>
      <c r="D34" s="255">
        <v>100</v>
      </c>
      <c r="E34" s="312"/>
      <c r="F34" s="295">
        <f>SUMIF(100:100,E34,101:101)-SUMIF(100:100,C34,101:101)+100</f>
        <v>100</v>
      </c>
      <c r="G34" s="312"/>
      <c r="H34" s="265">
        <f>SUMIF(100:100,G34,101:101)-SUMIF(100:100,C34,101:101)+100</f>
        <v>100</v>
      </c>
      <c r="I34" s="312"/>
      <c r="J34" s="265">
        <f>SUMIF(100:100,I34,101:101)-SUMIF(100:100,C34,101:101)+100</f>
        <v>100</v>
      </c>
      <c r="K34" s="408"/>
      <c r="L34" s="403"/>
      <c r="M34" s="404"/>
      <c r="N34" s="404"/>
      <c r="O34" s="406"/>
      <c r="P34" s="424"/>
      <c r="Q34" s="488" t="str">
        <f t="shared" si="11"/>
        <v>物业管理</v>
      </c>
      <c r="R34" s="484" t="s">
        <v>1299</v>
      </c>
      <c r="S34" s="485">
        <f t="shared" si="12"/>
        <v>100</v>
      </c>
      <c r="T34" s="484" t="s">
        <v>1299</v>
      </c>
      <c r="U34" s="485">
        <f t="shared" si="13"/>
        <v>100</v>
      </c>
      <c r="V34" s="484" t="s">
        <v>1299</v>
      </c>
      <c r="W34" s="485">
        <f t="shared" si="14"/>
        <v>100</v>
      </c>
      <c r="X34" s="486"/>
      <c r="Y34" s="424"/>
      <c r="Z34" s="509" t="str">
        <f t="shared" si="15"/>
        <v>物业管理</v>
      </c>
      <c r="AA34" s="508">
        <f t="shared" si="3"/>
        <v>1</v>
      </c>
      <c r="AB34" s="508">
        <f t="shared" si="4"/>
        <v>1</v>
      </c>
      <c r="AC34" s="508">
        <f t="shared" si="5"/>
        <v>1</v>
      </c>
    </row>
    <row r="35" ht="15" spans="1:29">
      <c r="A35" s="311"/>
      <c r="B35" s="591" t="s">
        <v>1578</v>
      </c>
      <c r="C35" s="312"/>
      <c r="D35" s="265">
        <v>100</v>
      </c>
      <c r="E35" s="312"/>
      <c r="F35" s="295">
        <f>SUMIF(102:102,E35,103:103)-SUMIF(102:102,C35,103:103)+100</f>
        <v>100</v>
      </c>
      <c r="G35" s="312"/>
      <c r="H35" s="265">
        <f>SUMIF(102:102,G35,103:103)-SUMIF(102:102,C35,103:103)+100</f>
        <v>100</v>
      </c>
      <c r="I35" s="312"/>
      <c r="J35" s="265">
        <f>SUMIF(102:102,I35,103:103)-SUMIF(102:102,C35,103:103)+100</f>
        <v>100</v>
      </c>
      <c r="K35" s="408"/>
      <c r="L35" s="415"/>
      <c r="M35" s="398"/>
      <c r="N35" s="398"/>
      <c r="O35" s="414"/>
      <c r="P35" s="424" t="s">
        <v>1314</v>
      </c>
      <c r="Q35" s="407" t="str">
        <f t="shared" si="11"/>
        <v>市政基础设施</v>
      </c>
      <c r="R35" s="489" t="s">
        <v>1299</v>
      </c>
      <c r="S35" s="490">
        <f t="shared" si="12"/>
        <v>100</v>
      </c>
      <c r="T35" s="489" t="s">
        <v>1299</v>
      </c>
      <c r="U35" s="490">
        <f t="shared" si="13"/>
        <v>100</v>
      </c>
      <c r="V35" s="489" t="s">
        <v>1299</v>
      </c>
      <c r="W35" s="490">
        <f t="shared" si="14"/>
        <v>100</v>
      </c>
      <c r="X35" s="476"/>
      <c r="Y35" s="424" t="s">
        <v>1314</v>
      </c>
      <c r="Z35" s="475" t="str">
        <f t="shared" si="15"/>
        <v>市政基础设施</v>
      </c>
      <c r="AA35" s="495">
        <f t="shared" si="3"/>
        <v>1</v>
      </c>
      <c r="AB35" s="495">
        <f t="shared" si="4"/>
        <v>1</v>
      </c>
      <c r="AC35" s="495">
        <f t="shared" si="5"/>
        <v>1</v>
      </c>
    </row>
    <row r="36" ht="15" spans="1:29">
      <c r="A36" s="311"/>
      <c r="B36" s="307" t="s">
        <v>1581</v>
      </c>
      <c r="C36" s="312"/>
      <c r="D36" s="265">
        <v>100</v>
      </c>
      <c r="E36" s="312"/>
      <c r="F36" s="295">
        <f>SUMIF(104:104,E36,105:105)-SUMIF(104:104,C36,105:105)+100</f>
        <v>100</v>
      </c>
      <c r="G36" s="312"/>
      <c r="H36" s="265">
        <f>SUMIF(104:104,G36,105:105)-SUMIF(104:104,C36,105:105)+100</f>
        <v>100</v>
      </c>
      <c r="I36" s="312"/>
      <c r="J36" s="265">
        <f>SUMIF(104:104,I36,105:105)-SUMIF(104:104,C36,105:105)+100</f>
        <v>100</v>
      </c>
      <c r="K36" s="408"/>
      <c r="L36" s="415"/>
      <c r="M36" s="398"/>
      <c r="N36" s="398"/>
      <c r="O36" s="414"/>
      <c r="P36" s="424"/>
      <c r="Q36" s="407" t="str">
        <f t="shared" si="11"/>
        <v>内部装修</v>
      </c>
      <c r="R36" s="489" t="s">
        <v>1299</v>
      </c>
      <c r="S36" s="490">
        <f t="shared" si="12"/>
        <v>100</v>
      </c>
      <c r="T36" s="489" t="s">
        <v>1299</v>
      </c>
      <c r="U36" s="490">
        <f t="shared" si="13"/>
        <v>100</v>
      </c>
      <c r="V36" s="489" t="s">
        <v>1299</v>
      </c>
      <c r="W36" s="490">
        <f t="shared" si="14"/>
        <v>100</v>
      </c>
      <c r="X36" s="476"/>
      <c r="Y36" s="424"/>
      <c r="Z36" s="475" t="str">
        <f t="shared" si="15"/>
        <v>内部装修</v>
      </c>
      <c r="AA36" s="495">
        <f t="shared" si="3"/>
        <v>1</v>
      </c>
      <c r="AB36" s="495">
        <f t="shared" si="4"/>
        <v>1</v>
      </c>
      <c r="AC36" s="495">
        <f t="shared" si="5"/>
        <v>1</v>
      </c>
    </row>
    <row r="37" ht="15" spans="1:29">
      <c r="A37" s="311"/>
      <c r="B37" s="307" t="s">
        <v>2385</v>
      </c>
      <c r="C37" s="294"/>
      <c r="D37" s="265">
        <v>100</v>
      </c>
      <c r="E37" s="294"/>
      <c r="F37" s="295">
        <f>SUMIF(106:106,E37,107:107)-SUMIF(106:106,C37,107:107)+100</f>
        <v>100</v>
      </c>
      <c r="G37" s="294"/>
      <c r="H37" s="265">
        <f>SUMIF(106:106,G37,107:107)-SUMIF(106:106,C37,107:107)+100</f>
        <v>100</v>
      </c>
      <c r="I37" s="294"/>
      <c r="J37" s="265">
        <f>SUMIF(106:106,I37,107:107)-SUMIF(106:106,C37,107:107)+100</f>
        <v>100</v>
      </c>
      <c r="K37" s="408"/>
      <c r="L37" s="415"/>
      <c r="M37" s="398"/>
      <c r="N37" s="398"/>
      <c r="O37" s="414"/>
      <c r="P37" s="424"/>
      <c r="Q37" s="407" t="str">
        <f t="shared" si="11"/>
        <v>内部装修状况</v>
      </c>
      <c r="R37" s="489" t="s">
        <v>1299</v>
      </c>
      <c r="S37" s="490">
        <f t="shared" si="12"/>
        <v>100</v>
      </c>
      <c r="T37" s="489" t="s">
        <v>1299</v>
      </c>
      <c r="U37" s="490">
        <f t="shared" si="13"/>
        <v>100</v>
      </c>
      <c r="V37" s="489" t="s">
        <v>1299</v>
      </c>
      <c r="W37" s="490">
        <f t="shared" si="14"/>
        <v>100</v>
      </c>
      <c r="X37" s="476"/>
      <c r="Y37" s="424"/>
      <c r="Z37" s="475" t="str">
        <f t="shared" si="15"/>
        <v>内部装修状况</v>
      </c>
      <c r="AA37" s="495">
        <f t="shared" si="3"/>
        <v>1</v>
      </c>
      <c r="AB37" s="495">
        <f t="shared" si="4"/>
        <v>1</v>
      </c>
      <c r="AC37" s="495">
        <f t="shared" si="5"/>
        <v>1</v>
      </c>
    </row>
    <row r="38" s="198" customFormat="1" ht="15" spans="1:29">
      <c r="A38" s="306"/>
      <c r="B38" s="586">
        <v>111</v>
      </c>
      <c r="C38" s="260"/>
      <c r="D38" s="265">
        <v>100</v>
      </c>
      <c r="E38" s="264"/>
      <c r="F38" s="295">
        <f>SUMIF(108:108,E38,109:109)-SUMIF(108:108,C38,109:109)+100</f>
        <v>100</v>
      </c>
      <c r="G38" s="260"/>
      <c r="H38" s="265">
        <f>SUMIF(108:108,G38,109:109)-SUMIF(108:108,C38,109:109)+100</f>
        <v>100</v>
      </c>
      <c r="I38" s="260"/>
      <c r="J38" s="265">
        <f>SUMIF(108:108,I38,109:1038)-SUMIF(108:108,C38,109:109)+100</f>
        <v>100</v>
      </c>
      <c r="K38" s="412"/>
      <c r="L38" s="413"/>
      <c r="M38" s="422"/>
      <c r="N38" s="422"/>
      <c r="O38" s="423"/>
      <c r="P38" s="424"/>
      <c r="Q38" s="491">
        <f t="shared" si="11"/>
        <v>111</v>
      </c>
      <c r="R38" s="492" t="s">
        <v>1299</v>
      </c>
      <c r="S38" s="493">
        <f t="shared" si="12"/>
        <v>100</v>
      </c>
      <c r="T38" s="492" t="s">
        <v>1299</v>
      </c>
      <c r="U38" s="493">
        <f t="shared" si="13"/>
        <v>100</v>
      </c>
      <c r="V38" s="492" t="s">
        <v>1299</v>
      </c>
      <c r="W38" s="493">
        <f t="shared" si="14"/>
        <v>100</v>
      </c>
      <c r="X38" s="494"/>
      <c r="Y38" s="424"/>
      <c r="Z38" s="510">
        <f t="shared" si="15"/>
        <v>111</v>
      </c>
      <c r="AA38" s="495">
        <f t="shared" si="3"/>
        <v>1</v>
      </c>
      <c r="AB38" s="495">
        <f t="shared" si="4"/>
        <v>1</v>
      </c>
      <c r="AC38" s="495">
        <f t="shared" si="5"/>
        <v>1</v>
      </c>
    </row>
    <row r="39" ht="15" spans="1:29">
      <c r="A39" s="311"/>
      <c r="B39" s="586">
        <v>111</v>
      </c>
      <c r="C39" s="260"/>
      <c r="D39" s="265">
        <v>100</v>
      </c>
      <c r="E39" s="264"/>
      <c r="F39" s="295">
        <f>SUMIF(110:110,E39,111:111)-SUMIF(110:110,C39,111:111)+100</f>
        <v>100</v>
      </c>
      <c r="G39" s="260"/>
      <c r="H39" s="265">
        <f>SUMIF(110:110,G39,111:111)-SUMIF(110:110,C39,111:111)+100</f>
        <v>100</v>
      </c>
      <c r="I39" s="260"/>
      <c r="J39" s="265">
        <f>SUMIF(110:110,I39,111:111)-SUMIF(110:110,C39,111:111)+100</f>
        <v>100</v>
      </c>
      <c r="K39" s="412"/>
      <c r="L39" s="415"/>
      <c r="M39" s="398"/>
      <c r="N39" s="398"/>
      <c r="O39" s="414"/>
      <c r="P39" s="424"/>
      <c r="Q39" s="407">
        <f t="shared" si="11"/>
        <v>111</v>
      </c>
      <c r="R39" s="489" t="s">
        <v>1299</v>
      </c>
      <c r="S39" s="490">
        <f t="shared" si="12"/>
        <v>100</v>
      </c>
      <c r="T39" s="489" t="s">
        <v>1299</v>
      </c>
      <c r="U39" s="490">
        <f t="shared" si="13"/>
        <v>100</v>
      </c>
      <c r="V39" s="489" t="s">
        <v>1299</v>
      </c>
      <c r="W39" s="490">
        <f t="shared" si="14"/>
        <v>100</v>
      </c>
      <c r="X39" s="476"/>
      <c r="Y39" s="424"/>
      <c r="Z39" s="475">
        <f t="shared" si="15"/>
        <v>111</v>
      </c>
      <c r="AA39" s="495">
        <f t="shared" si="3"/>
        <v>1</v>
      </c>
      <c r="AB39" s="495">
        <f t="shared" si="4"/>
        <v>1</v>
      </c>
      <c r="AC39" s="495">
        <f t="shared" si="5"/>
        <v>1</v>
      </c>
    </row>
    <row r="40" ht="15.75" spans="1:29">
      <c r="A40" s="315"/>
      <c r="B40" s="316">
        <v>111</v>
      </c>
      <c r="C40" s="317"/>
      <c r="D40" s="318">
        <v>100</v>
      </c>
      <c r="E40" s="264"/>
      <c r="F40" s="320">
        <f>SUMIF(112:112,E40,113:113)-SUMIF(112:112,C40,113:113)+100</f>
        <v>100</v>
      </c>
      <c r="G40" s="260"/>
      <c r="H40" s="318">
        <f>SUMIF(112:112,G40,113:113)-SUMIF(112:112,C40,113:113)+100</f>
        <v>100</v>
      </c>
      <c r="I40" s="260"/>
      <c r="J40" s="318">
        <f>SUMIF(112:112,I40,113:113)-SUMIF(112:112,C40,113:113)+100</f>
        <v>100</v>
      </c>
      <c r="K40" s="412"/>
      <c r="L40" s="415"/>
      <c r="M40" s="398"/>
      <c r="N40" s="398"/>
      <c r="O40" s="414"/>
      <c r="P40" s="594"/>
      <c r="Q40" s="407">
        <f t="shared" si="11"/>
        <v>111</v>
      </c>
      <c r="R40" s="489" t="s">
        <v>1299</v>
      </c>
      <c r="S40" s="490">
        <f t="shared" si="12"/>
        <v>100</v>
      </c>
      <c r="T40" s="489" t="s">
        <v>1299</v>
      </c>
      <c r="U40" s="490">
        <f t="shared" si="13"/>
        <v>100</v>
      </c>
      <c r="V40" s="489" t="s">
        <v>1299</v>
      </c>
      <c r="W40" s="490">
        <f t="shared" si="14"/>
        <v>100</v>
      </c>
      <c r="X40" s="476"/>
      <c r="Y40" s="594"/>
      <c r="Z40" s="475">
        <f t="shared" si="15"/>
        <v>111</v>
      </c>
      <c r="AA40" s="495">
        <f t="shared" si="3"/>
        <v>1</v>
      </c>
      <c r="AB40" s="495">
        <f t="shared" si="4"/>
        <v>1</v>
      </c>
      <c r="AC40" s="495">
        <f t="shared" si="5"/>
        <v>1</v>
      </c>
    </row>
    <row r="41" ht="15" spans="1:29">
      <c r="A41" s="321" t="s">
        <v>1584</v>
      </c>
      <c r="B41" s="322"/>
      <c r="C41" s="323" t="s">
        <v>138</v>
      </c>
      <c r="D41" s="324"/>
      <c r="E41" s="325"/>
      <c r="F41" s="326"/>
      <c r="G41" s="327"/>
      <c r="H41" s="328"/>
      <c r="I41" s="325"/>
      <c r="J41" s="328"/>
      <c r="K41" s="425"/>
      <c r="L41" s="426"/>
      <c r="M41" s="349"/>
      <c r="N41" s="398"/>
      <c r="O41" s="349"/>
      <c r="P41" s="407" t="str">
        <f>A41</f>
        <v>成交单价（元/平方米）</v>
      </c>
      <c r="Q41" s="407"/>
      <c r="R41" s="495">
        <f>E41</f>
        <v>0</v>
      </c>
      <c r="S41" s="495"/>
      <c r="T41" s="495">
        <f>G41</f>
        <v>0</v>
      </c>
      <c r="U41" s="495"/>
      <c r="V41" s="495">
        <f>I41</f>
        <v>0</v>
      </c>
      <c r="W41" s="495"/>
      <c r="X41" s="351"/>
      <c r="Y41" s="511"/>
      <c r="Z41" s="351"/>
      <c r="AA41" s="351"/>
      <c r="AB41" s="351"/>
      <c r="AC41" s="351"/>
    </row>
    <row r="42" ht="15.75" spans="1:29">
      <c r="A42" s="329" t="s">
        <v>1323</v>
      </c>
      <c r="B42" s="330"/>
      <c r="C42" s="331" t="e">
        <f>R43</f>
        <v>#DIV/0!</v>
      </c>
      <c r="D42" s="332" t="s">
        <v>1324</v>
      </c>
      <c r="E42" s="333" t="e">
        <f>R42</f>
        <v>#DIV/0!</v>
      </c>
      <c r="F42" s="334"/>
      <c r="G42" s="331" t="e">
        <f>T42</f>
        <v>#DIV/0!</v>
      </c>
      <c r="H42" s="334"/>
      <c r="I42" s="333" t="e">
        <f>V42</f>
        <v>#DIV/0!</v>
      </c>
      <c r="J42" s="334"/>
      <c r="K42" s="427">
        <f>F42+H42+J42</f>
        <v>0</v>
      </c>
      <c r="L42" s="426"/>
      <c r="M42" s="349"/>
      <c r="N42" s="398"/>
      <c r="O42" s="349"/>
      <c r="P42" s="407" t="str">
        <f>A42</f>
        <v>比较价格（元/平方米）</v>
      </c>
      <c r="Q42" s="407"/>
      <c r="R42" s="495" t="e">
        <f>IF(F1="售价",ROUND(PRODUCT(R41,AA7:AA40),0),ROUND(PRODUCT(R41,AA7:AA40),1))</f>
        <v>#DIV/0!</v>
      </c>
      <c r="S42" s="495"/>
      <c r="T42" s="495" t="e">
        <f>IF(F1="售价",ROUND(PRODUCT(T41,AB7:AB40),0),ROUND(PRODUCT(T41,AB7:AB40),1))</f>
        <v>#DIV/0!</v>
      </c>
      <c r="U42" s="495"/>
      <c r="V42" s="495" t="e">
        <f>IF(F1="售价",ROUND(PRODUCT(V41,AC7:AC40),0),ROUND(PRODUCT(V41,AC7:AC40),1))</f>
        <v>#DIV/0!</v>
      </c>
      <c r="W42" s="495"/>
      <c r="X42" s="351"/>
      <c r="Y42" s="351"/>
      <c r="Z42" s="351"/>
      <c r="AA42" s="351"/>
      <c r="AB42" s="351"/>
      <c r="AC42" s="351"/>
    </row>
    <row r="43" ht="15.75" spans="1:29">
      <c r="A43" s="335" t="s">
        <v>1325</v>
      </c>
      <c r="B43" s="336"/>
      <c r="C43" s="337" t="e">
        <f>R43</f>
        <v>#DIV/0!</v>
      </c>
      <c r="D43" s="337"/>
      <c r="E43" s="337"/>
      <c r="F43" s="337"/>
      <c r="G43" s="337"/>
      <c r="H43" s="337"/>
      <c r="I43" s="337"/>
      <c r="J43" s="337"/>
      <c r="K43" s="428"/>
      <c r="L43" s="426"/>
      <c r="M43" s="349"/>
      <c r="N43" s="349"/>
      <c r="O43" s="349"/>
      <c r="P43" s="429" t="str">
        <f>A43</f>
        <v>估价对象XX用房的比较价格（楼面单价，元/平方米）</v>
      </c>
      <c r="Q43" s="496"/>
      <c r="R43" s="497" t="e">
        <f>IF(F1="售价",ROUND(IF(D42="简单平均",AVERAGE(R42:V42),R42*F42+T42*H42+V42*J42),0),ROUND(IF(D42="简单平均",AVERAGE(R42:V42),R42*F42+T42*H42+V42*J42),1))</f>
        <v>#DIV/0!</v>
      </c>
      <c r="S43" s="497"/>
      <c r="T43" s="497"/>
      <c r="U43" s="497"/>
      <c r="V43" s="497"/>
      <c r="W43" s="497"/>
      <c r="X43" s="351"/>
      <c r="Y43" s="351"/>
      <c r="Z43" s="351"/>
      <c r="AA43" s="351"/>
      <c r="AB43" s="351"/>
      <c r="AC43" s="351"/>
    </row>
    <row r="44" spans="1:29">
      <c r="A44" s="338"/>
      <c r="B44" s="338"/>
      <c r="C44" s="338"/>
      <c r="D44" s="338"/>
      <c r="E44" s="338"/>
      <c r="F44" s="338"/>
      <c r="G44" s="339"/>
      <c r="H44" s="338"/>
      <c r="I44" s="338"/>
      <c r="J44" s="338"/>
      <c r="K44" s="430"/>
      <c r="L44" s="431"/>
      <c r="M44" s="349"/>
      <c r="N44" s="349"/>
      <c r="O44" s="349"/>
      <c r="P44" s="349"/>
      <c r="Q44" s="349"/>
      <c r="R44" s="349"/>
      <c r="S44" s="349"/>
      <c r="T44" s="349"/>
      <c r="U44" s="349"/>
      <c r="V44" s="349"/>
      <c r="W44" s="349"/>
      <c r="X44" s="349"/>
      <c r="Y44" s="349"/>
      <c r="Z44" s="349"/>
      <c r="AA44" s="349"/>
      <c r="AB44" s="349"/>
      <c r="AC44" s="349"/>
    </row>
    <row r="45" spans="1:29">
      <c r="A45" s="338"/>
      <c r="B45" s="338"/>
      <c r="C45" s="338"/>
      <c r="D45" s="338"/>
      <c r="E45" s="338"/>
      <c r="F45" s="338"/>
      <c r="G45" s="338"/>
      <c r="H45" s="338"/>
      <c r="I45" s="338"/>
      <c r="J45" s="338"/>
      <c r="K45" s="430"/>
      <c r="L45" s="431"/>
      <c r="M45" s="349"/>
      <c r="N45" s="349"/>
      <c r="O45" s="349"/>
      <c r="P45" s="349"/>
      <c r="Q45" s="349"/>
      <c r="R45" s="349"/>
      <c r="S45" s="349"/>
      <c r="T45" s="349"/>
      <c r="U45" s="349"/>
      <c r="V45" s="349"/>
      <c r="W45" s="349"/>
      <c r="X45" s="349"/>
      <c r="Y45" s="349"/>
      <c r="Z45" s="349"/>
      <c r="AA45" s="349"/>
      <c r="AB45" s="349"/>
      <c r="AC45" s="349"/>
    </row>
    <row r="46" ht="13.5" customHeight="1" spans="1:29">
      <c r="A46" s="338"/>
      <c r="B46" s="338"/>
      <c r="C46" s="340" t="s">
        <v>1326</v>
      </c>
      <c r="D46" s="341"/>
      <c r="E46" s="342" t="e">
        <f>IF(E41&lt;E42,E42/E41-1,E41/E42-1)</f>
        <v>#DIV/0!</v>
      </c>
      <c r="F46" s="343" t="e">
        <f>IF(OR(E46&gt;=0.3,E46&lt;=-0.3),"超过30%","")</f>
        <v>#DIV/0!</v>
      </c>
      <c r="G46" s="342" t="e">
        <f>IF(G41&lt;G42,G42/G41-1,G41/G42-1)</f>
        <v>#DIV/0!</v>
      </c>
      <c r="H46" s="343" t="e">
        <f>IF(OR(G46&gt;=0.3,G46&lt;=-0.3),"超过30%","")</f>
        <v>#DIV/0!</v>
      </c>
      <c r="I46" s="342" t="e">
        <f>IF(I41&lt;I42,I42/I41-1,I41/I42-1)</f>
        <v>#DIV/0!</v>
      </c>
      <c r="J46" s="343" t="e">
        <f>IF(OR(I46&gt;=0.3,I46&lt;=-0.3),"超过30%","")</f>
        <v>#DIV/0!</v>
      </c>
      <c r="K46" s="430"/>
      <c r="L46" s="431"/>
      <c r="M46" s="349"/>
      <c r="N46" s="349"/>
      <c r="O46" s="349"/>
      <c r="P46" s="349"/>
      <c r="Q46" s="349"/>
      <c r="R46" s="349"/>
      <c r="S46" s="349"/>
      <c r="T46" s="349"/>
      <c r="U46" s="349"/>
      <c r="V46" s="349"/>
      <c r="W46" s="349"/>
      <c r="X46" s="349"/>
      <c r="Y46" s="349"/>
      <c r="Z46" s="349"/>
      <c r="AA46" s="349"/>
      <c r="AB46" s="349"/>
      <c r="AC46" s="349"/>
    </row>
    <row r="47" ht="13.5" customHeight="1" spans="1:29">
      <c r="A47" s="338"/>
      <c r="B47" s="338"/>
      <c r="C47" s="340" t="s">
        <v>1327</v>
      </c>
      <c r="D47" s="344"/>
      <c r="E47" s="342" t="e">
        <f>IF(E42&lt;G42,G42/E42-1,E42/G42-1)</f>
        <v>#DIV/0!</v>
      </c>
      <c r="F47" s="343" t="e">
        <f>IF(OR(E47&gt;=0.2,E47&lt;=-0.2),"超过20%","")</f>
        <v>#DIV/0!</v>
      </c>
      <c r="G47" s="342" t="e">
        <f>IF(G42&lt;I42,I42/G42-1,G42/I42-1)</f>
        <v>#DIV/0!</v>
      </c>
      <c r="H47" s="343" t="e">
        <f>IF(OR(G47&gt;=0.2,G47&lt;=-0.2),"超过20%","")</f>
        <v>#DIV/0!</v>
      </c>
      <c r="I47" s="342" t="e">
        <f>IF(I42&lt;E42,E42/I42-1,I42/E42-1)</f>
        <v>#DIV/0!</v>
      </c>
      <c r="J47" s="343" t="e">
        <f>IF(OR(I47&gt;=0.2,I47&lt;=-0.2),"超过20%","")</f>
        <v>#DIV/0!</v>
      </c>
      <c r="K47" s="430"/>
      <c r="L47" s="431"/>
      <c r="M47" s="349"/>
      <c r="N47" s="349"/>
      <c r="O47" s="349"/>
      <c r="P47" s="349"/>
      <c r="Q47" s="349"/>
      <c r="R47" s="349"/>
      <c r="S47" s="349"/>
      <c r="T47" s="349"/>
      <c r="U47" s="349"/>
      <c r="V47" s="349"/>
      <c r="W47" s="349"/>
      <c r="X47" s="349"/>
      <c r="Y47" s="349"/>
      <c r="Z47" s="349"/>
      <c r="AA47" s="349"/>
      <c r="AB47" s="349"/>
      <c r="AC47" s="349"/>
    </row>
    <row r="48" s="199" customFormat="1" ht="13.5" customHeight="1" spans="1:29">
      <c r="A48" s="345"/>
      <c r="B48" s="345"/>
      <c r="C48" s="340" t="s">
        <v>1328</v>
      </c>
      <c r="D48" s="344"/>
      <c r="E48" s="342" t="e">
        <f>IF(E41&lt;G41,G41/E41-1,E41/G41-1)</f>
        <v>#DIV/0!</v>
      </c>
      <c r="F48" s="343" t="e">
        <f>IF(OR(E48&gt;=0.3,E48&lt;=-0.3),"超过30%","")</f>
        <v>#DIV/0!</v>
      </c>
      <c r="G48" s="342" t="e">
        <f>IF(G41&lt;I41,I41/G41-1,G41/I41-1)</f>
        <v>#DIV/0!</v>
      </c>
      <c r="H48" s="343" t="e">
        <f>IF(OR(G48&gt;=0.3,G48&lt;=-0.3),"超过30%","")</f>
        <v>#DIV/0!</v>
      </c>
      <c r="I48" s="342" t="e">
        <f>IF(I41&lt;E41,E41/I41-1,I41/E41-1)</f>
        <v>#DIV/0!</v>
      </c>
      <c r="J48" s="343" t="e">
        <f>IF(OR(I48&gt;=0.3,I48&lt;=-0.3),"超过30%","")</f>
        <v>#DIV/0!</v>
      </c>
      <c r="K48" s="432"/>
      <c r="L48" s="433"/>
      <c r="M48" s="346"/>
      <c r="N48" s="346"/>
      <c r="O48" s="346"/>
      <c r="P48" s="346"/>
      <c r="Q48" s="346"/>
      <c r="R48" s="346"/>
      <c r="S48" s="346"/>
      <c r="T48" s="346"/>
      <c r="U48" s="346"/>
      <c r="V48" s="346"/>
      <c r="W48" s="346"/>
      <c r="X48" s="346"/>
      <c r="Y48" s="346"/>
      <c r="Z48" s="346"/>
      <c r="AA48" s="346"/>
      <c r="AB48" s="346"/>
      <c r="AC48" s="346"/>
    </row>
    <row r="49" s="199" customFormat="1" spans="1:29">
      <c r="A49" s="346"/>
      <c r="B49" s="347"/>
      <c r="C49" s="348"/>
      <c r="D49" s="346"/>
      <c r="E49" s="346"/>
      <c r="F49" s="346"/>
      <c r="G49" s="346"/>
      <c r="H49" s="346"/>
      <c r="I49" s="346"/>
      <c r="J49" s="346"/>
      <c r="K49" s="434"/>
      <c r="L49" s="433"/>
      <c r="M49" s="346"/>
      <c r="N49" s="346"/>
      <c r="O49" s="346"/>
      <c r="P49" s="346"/>
      <c r="Q49" s="346"/>
      <c r="R49" s="346"/>
      <c r="S49" s="346"/>
      <c r="T49" s="346"/>
      <c r="U49" s="346"/>
      <c r="V49" s="346"/>
      <c r="W49" s="346"/>
      <c r="X49" s="346"/>
      <c r="Y49" s="346"/>
      <c r="Z49" s="346"/>
      <c r="AA49" s="346"/>
      <c r="AB49" s="346"/>
      <c r="AC49" s="346"/>
    </row>
    <row r="50" spans="1:29">
      <c r="A50" s="349"/>
      <c r="B50" s="347"/>
      <c r="C50" s="348"/>
      <c r="D50" s="349"/>
      <c r="E50" s="349"/>
      <c r="F50" s="349"/>
      <c r="G50" s="349"/>
      <c r="H50" s="349"/>
      <c r="I50" s="349"/>
      <c r="J50" s="349"/>
      <c r="K50" s="435"/>
      <c r="L50" s="431"/>
      <c r="M50" s="349"/>
      <c r="N50" s="349"/>
      <c r="O50" s="349"/>
      <c r="P50" s="349"/>
      <c r="Q50" s="349"/>
      <c r="R50" s="349"/>
      <c r="S50" s="349"/>
      <c r="T50" s="349"/>
      <c r="U50" s="349"/>
      <c r="V50" s="349"/>
      <c r="W50" s="349"/>
      <c r="X50" s="349"/>
      <c r="Y50" s="349"/>
      <c r="Z50" s="349"/>
      <c r="AA50" s="349"/>
      <c r="AB50" s="349"/>
      <c r="AC50" s="349"/>
    </row>
    <row r="51" ht="21" spans="1:29">
      <c r="A51" s="350" t="s">
        <v>1350</v>
      </c>
      <c r="B51" s="351"/>
      <c r="C51" s="352"/>
      <c r="D51" s="352"/>
      <c r="E51" s="352"/>
      <c r="F51" s="353"/>
      <c r="G51" s="353"/>
      <c r="H51" s="352"/>
      <c r="I51" s="352"/>
      <c r="J51" s="352"/>
      <c r="K51" s="436"/>
      <c r="L51" s="437"/>
      <c r="M51" s="352"/>
      <c r="N51" s="438"/>
      <c r="O51" s="438"/>
      <c r="P51" s="438"/>
      <c r="Q51" s="442"/>
      <c r="R51" s="349"/>
      <c r="S51" s="349"/>
      <c r="T51" s="349"/>
      <c r="U51" s="349"/>
      <c r="V51" s="349"/>
      <c r="W51" s="349"/>
      <c r="X51" s="349"/>
      <c r="Y51" s="349"/>
      <c r="Z51" s="349"/>
      <c r="AA51" s="349"/>
      <c r="AB51" s="349"/>
      <c r="AC51" s="349"/>
    </row>
    <row r="52" s="200" customFormat="1" ht="15" spans="1:29">
      <c r="A52" s="354" t="s">
        <v>1297</v>
      </c>
      <c r="B52" s="355"/>
      <c r="C52" s="356" t="str">
        <f>YEAR(C7)&amp;"-"&amp;MONTH(C7)</f>
        <v>2021-11</v>
      </c>
      <c r="D52" s="357">
        <f>EDATE(C52,-1)</f>
        <v>44470</v>
      </c>
      <c r="E52" s="357">
        <f t="shared" ref="E52:O52" si="16">EDATE(D52,-1)</f>
        <v>44440</v>
      </c>
      <c r="F52" s="357">
        <f t="shared" si="16"/>
        <v>44409</v>
      </c>
      <c r="G52" s="357">
        <f t="shared" si="16"/>
        <v>44378</v>
      </c>
      <c r="H52" s="357">
        <f t="shared" si="16"/>
        <v>44348</v>
      </c>
      <c r="I52" s="357">
        <f t="shared" si="16"/>
        <v>44317</v>
      </c>
      <c r="J52" s="357">
        <f t="shared" si="16"/>
        <v>44287</v>
      </c>
      <c r="K52" s="357">
        <f t="shared" si="16"/>
        <v>44256</v>
      </c>
      <c r="L52" s="357">
        <f t="shared" si="16"/>
        <v>44228</v>
      </c>
      <c r="M52" s="357">
        <f t="shared" si="16"/>
        <v>44197</v>
      </c>
      <c r="N52" s="357">
        <f t="shared" si="16"/>
        <v>44166</v>
      </c>
      <c r="O52" s="357">
        <f t="shared" si="16"/>
        <v>44136</v>
      </c>
      <c r="P52" s="439"/>
      <c r="Q52" s="498"/>
      <c r="R52" s="498"/>
      <c r="S52" s="498"/>
      <c r="T52" s="498"/>
      <c r="U52" s="498"/>
      <c r="V52" s="498"/>
      <c r="W52" s="498"/>
      <c r="X52" s="498"/>
      <c r="Y52" s="498"/>
      <c r="Z52" s="498"/>
      <c r="AA52" s="498"/>
      <c r="AB52" s="498"/>
      <c r="AC52" s="498"/>
    </row>
    <row r="53" s="196" customFormat="1" ht="15" spans="1:29">
      <c r="A53" s="358"/>
      <c r="B53" s="359"/>
      <c r="C53" s="360">
        <v>100</v>
      </c>
      <c r="D53" s="361"/>
      <c r="E53" s="361"/>
      <c r="F53" s="361"/>
      <c r="G53" s="361"/>
      <c r="H53" s="361"/>
      <c r="I53" s="361"/>
      <c r="J53" s="361"/>
      <c r="K53" s="361"/>
      <c r="L53" s="361"/>
      <c r="M53" s="440"/>
      <c r="N53" s="361"/>
      <c r="O53" s="441"/>
      <c r="P53" s="442"/>
      <c r="Q53" s="499"/>
      <c r="R53" s="499"/>
      <c r="S53" s="499"/>
      <c r="T53" s="499"/>
      <c r="U53" s="499"/>
      <c r="V53" s="499"/>
      <c r="W53" s="499"/>
      <c r="X53" s="499"/>
      <c r="Y53" s="499"/>
      <c r="Z53" s="499"/>
      <c r="AA53" s="499"/>
      <c r="AB53" s="499"/>
      <c r="AC53" s="499"/>
    </row>
    <row r="54" s="196" customFormat="1" ht="15.75" spans="1:29">
      <c r="A54" s="362" t="s">
        <v>1366</v>
      </c>
      <c r="B54" s="363"/>
      <c r="C54" s="364"/>
      <c r="D54" s="365"/>
      <c r="E54" s="365"/>
      <c r="F54" s="365"/>
      <c r="G54" s="365"/>
      <c r="H54" s="365"/>
      <c r="I54" s="365"/>
      <c r="J54" s="365"/>
      <c r="K54" s="365"/>
      <c r="L54" s="365"/>
      <c r="M54" s="443"/>
      <c r="N54" s="365"/>
      <c r="O54" s="444"/>
      <c r="P54" s="442"/>
      <c r="Q54" s="442"/>
      <c r="R54" s="499"/>
      <c r="S54" s="499"/>
      <c r="T54" s="499"/>
      <c r="U54" s="499"/>
      <c r="V54" s="499"/>
      <c r="W54" s="499"/>
      <c r="X54" s="499"/>
      <c r="Y54" s="499"/>
      <c r="Z54" s="499"/>
      <c r="AA54" s="499"/>
      <c r="AB54" s="499"/>
      <c r="AC54" s="499"/>
    </row>
    <row r="55" s="196" customFormat="1" ht="15" spans="1:29">
      <c r="A55" s="366" t="s">
        <v>1300</v>
      </c>
      <c r="B55" s="359"/>
      <c r="C55" s="367" t="s">
        <v>1301</v>
      </c>
      <c r="D55" s="368"/>
      <c r="E55" s="368"/>
      <c r="F55" s="368"/>
      <c r="G55" s="368"/>
      <c r="H55" s="368"/>
      <c r="I55" s="368"/>
      <c r="J55" s="368"/>
      <c r="K55" s="368"/>
      <c r="L55" s="445"/>
      <c r="M55" s="446"/>
      <c r="N55" s="447"/>
      <c r="O55" s="447"/>
      <c r="P55" s="448"/>
      <c r="Q55" s="442"/>
      <c r="R55" s="499"/>
      <c r="S55" s="499"/>
      <c r="T55" s="499"/>
      <c r="U55" s="499"/>
      <c r="V55" s="499"/>
      <c r="W55" s="499"/>
      <c r="X55" s="499"/>
      <c r="Y55" s="499"/>
      <c r="Z55" s="499"/>
      <c r="AA55" s="499"/>
      <c r="AB55" s="499"/>
      <c r="AC55" s="499"/>
    </row>
    <row r="56" s="196" customFormat="1" ht="15.75" spans="1:29">
      <c r="A56" s="366"/>
      <c r="B56" s="359"/>
      <c r="C56" s="360">
        <v>100</v>
      </c>
      <c r="D56" s="361"/>
      <c r="E56" s="361"/>
      <c r="F56" s="361"/>
      <c r="G56" s="361"/>
      <c r="H56" s="361"/>
      <c r="I56" s="361"/>
      <c r="J56" s="361"/>
      <c r="K56" s="361"/>
      <c r="L56" s="361"/>
      <c r="M56" s="441"/>
      <c r="N56" s="447"/>
      <c r="O56" s="447"/>
      <c r="P56" s="442"/>
      <c r="Q56" s="442"/>
      <c r="R56" s="499"/>
      <c r="S56" s="499"/>
      <c r="T56" s="499"/>
      <c r="U56" s="499"/>
      <c r="V56" s="499"/>
      <c r="W56" s="499"/>
      <c r="X56" s="499"/>
      <c r="Y56" s="499"/>
      <c r="Z56" s="499"/>
      <c r="AA56" s="499"/>
      <c r="AB56" s="499"/>
      <c r="AC56" s="499"/>
    </row>
    <row r="57" spans="1:29">
      <c r="A57" s="369" t="s">
        <v>1353</v>
      </c>
      <c r="B57" s="370" t="s">
        <v>1354</v>
      </c>
      <c r="C57" s="371">
        <f>C9</f>
        <v>0</v>
      </c>
      <c r="D57" s="372"/>
      <c r="E57" s="372"/>
      <c r="F57" s="372"/>
      <c r="G57" s="372"/>
      <c r="H57" s="372"/>
      <c r="I57" s="372"/>
      <c r="J57" s="372"/>
      <c r="K57" s="449"/>
      <c r="L57" s="450"/>
      <c r="M57" s="451"/>
      <c r="N57" s="452"/>
      <c r="O57" s="452"/>
      <c r="P57" s="453"/>
      <c r="Q57" s="442"/>
      <c r="R57" s="349"/>
      <c r="S57" s="349"/>
      <c r="T57" s="349"/>
      <c r="U57" s="349"/>
      <c r="V57" s="349"/>
      <c r="W57" s="349"/>
      <c r="X57" s="349"/>
      <c r="Y57" s="349"/>
      <c r="Z57" s="349"/>
      <c r="AA57" s="349"/>
      <c r="AB57" s="349"/>
      <c r="AC57" s="349"/>
    </row>
    <row r="58" ht="15.75" spans="1:29">
      <c r="A58" s="373"/>
      <c r="B58" s="374"/>
      <c r="C58" s="375"/>
      <c r="D58" s="375"/>
      <c r="E58" s="375"/>
      <c r="F58" s="375"/>
      <c r="G58" s="375"/>
      <c r="H58" s="375"/>
      <c r="I58" s="375"/>
      <c r="J58" s="375"/>
      <c r="K58" s="375"/>
      <c r="L58" s="375"/>
      <c r="M58" s="454"/>
      <c r="N58" s="455"/>
      <c r="O58" s="455"/>
      <c r="P58" s="453"/>
      <c r="Q58" s="442"/>
      <c r="R58" s="349"/>
      <c r="S58" s="349"/>
      <c r="T58" s="349"/>
      <c r="U58" s="349"/>
      <c r="V58" s="349"/>
      <c r="W58" s="349"/>
      <c r="X58" s="349"/>
      <c r="Y58" s="349"/>
      <c r="Z58" s="349"/>
      <c r="AA58" s="349"/>
      <c r="AB58" s="349"/>
      <c r="AC58" s="349"/>
    </row>
    <row r="59" ht="27.75" spans="1:29">
      <c r="A59" s="373"/>
      <c r="B59" s="376" t="s">
        <v>1355</v>
      </c>
      <c r="C59" s="377" t="s">
        <v>1585</v>
      </c>
      <c r="D59" s="377" t="s">
        <v>1586</v>
      </c>
      <c r="E59" s="377" t="s">
        <v>1587</v>
      </c>
      <c r="F59" s="377" t="s">
        <v>1588</v>
      </c>
      <c r="G59" s="377" t="s">
        <v>1589</v>
      </c>
      <c r="H59" s="377" t="s">
        <v>1590</v>
      </c>
      <c r="I59" s="377" t="s">
        <v>1591</v>
      </c>
      <c r="J59" s="377"/>
      <c r="K59" s="456"/>
      <c r="L59" s="457"/>
      <c r="M59" s="458"/>
      <c r="N59" s="452"/>
      <c r="O59" s="452"/>
      <c r="P59" s="453"/>
      <c r="Q59" s="442"/>
      <c r="R59" s="349"/>
      <c r="S59" s="349"/>
      <c r="T59" s="349"/>
      <c r="U59" s="349"/>
      <c r="V59" s="349"/>
      <c r="W59" s="349"/>
      <c r="X59" s="349"/>
      <c r="Y59" s="349"/>
      <c r="Z59" s="349"/>
      <c r="AA59" s="349"/>
      <c r="AB59" s="349"/>
      <c r="AC59" s="349"/>
    </row>
    <row r="60" ht="15.75" spans="1:29">
      <c r="A60" s="373"/>
      <c r="B60" s="378"/>
      <c r="C60" s="379" t="s">
        <v>1349</v>
      </c>
      <c r="D60" s="379" t="s">
        <v>1349</v>
      </c>
      <c r="E60" s="379">
        <v>100</v>
      </c>
      <c r="F60" s="379">
        <f>E60-$K10</f>
        <v>100</v>
      </c>
      <c r="G60" s="379">
        <f>F60-$K10</f>
        <v>100</v>
      </c>
      <c r="H60" s="379">
        <f>G60-$K10</f>
        <v>100</v>
      </c>
      <c r="I60" s="379">
        <f>H60-$K10</f>
        <v>100</v>
      </c>
      <c r="J60" s="379"/>
      <c r="K60" s="379"/>
      <c r="L60" s="379"/>
      <c r="M60" s="459"/>
      <c r="N60" s="455"/>
      <c r="O60" s="455"/>
      <c r="P60" s="453"/>
      <c r="Q60" s="442"/>
      <c r="R60" s="349"/>
      <c r="S60" s="349"/>
      <c r="T60" s="349"/>
      <c r="U60" s="349"/>
      <c r="V60" s="349"/>
      <c r="W60" s="349"/>
      <c r="X60" s="349"/>
      <c r="Y60" s="349"/>
      <c r="Z60" s="349"/>
      <c r="AA60" s="349"/>
      <c r="AB60" s="349"/>
      <c r="AC60" s="349"/>
    </row>
    <row r="61" ht="15.75" spans="1:29">
      <c r="A61" s="373"/>
      <c r="B61" s="514" t="s">
        <v>1356</v>
      </c>
      <c r="C61" s="592" t="str">
        <f>C62&amp;"（含）"&amp;"-"&amp;D62</f>
        <v>（含）-</v>
      </c>
      <c r="D61" s="592" t="str">
        <f t="shared" ref="D61:L61" si="17">D62&amp;"（含）"&amp;"-"&amp;E62</f>
        <v>（含）-</v>
      </c>
      <c r="E61" s="592" t="str">
        <f t="shared" si="17"/>
        <v>（含）-</v>
      </c>
      <c r="F61" s="592" t="str">
        <f t="shared" si="17"/>
        <v>（含）-</v>
      </c>
      <c r="G61" s="592" t="str">
        <f t="shared" si="17"/>
        <v>（含）-</v>
      </c>
      <c r="H61" s="592" t="str">
        <f t="shared" si="17"/>
        <v>（含）-</v>
      </c>
      <c r="I61" s="592" t="str">
        <f t="shared" si="17"/>
        <v>（含）-</v>
      </c>
      <c r="J61" s="592" t="str">
        <f t="shared" si="17"/>
        <v>（含）-</v>
      </c>
      <c r="K61" s="592" t="str">
        <f t="shared" si="17"/>
        <v>（含）-</v>
      </c>
      <c r="L61" s="592" t="str">
        <f t="shared" si="17"/>
        <v>（含）-</v>
      </c>
      <c r="M61" s="276" t="str">
        <f>M62&amp;"（含）"&amp;"-"&amp;P62</f>
        <v>（含）-</v>
      </c>
      <c r="N61" s="455"/>
      <c r="O61" s="455"/>
      <c r="P61" s="453"/>
      <c r="Q61" s="442"/>
      <c r="R61" s="349"/>
      <c r="S61" s="349"/>
      <c r="T61" s="349"/>
      <c r="U61" s="349"/>
      <c r="V61" s="349"/>
      <c r="W61" s="349"/>
      <c r="X61" s="349"/>
      <c r="Y61" s="349"/>
      <c r="Z61" s="349"/>
      <c r="AA61" s="349"/>
      <c r="AB61" s="349"/>
      <c r="AC61" s="349"/>
    </row>
    <row r="62" ht="15" spans="1:29">
      <c r="A62" s="373"/>
      <c r="B62" s="593"/>
      <c r="C62" s="381"/>
      <c r="D62" s="381"/>
      <c r="E62" s="381"/>
      <c r="F62" s="381"/>
      <c r="G62" s="381"/>
      <c r="H62" s="381"/>
      <c r="I62" s="381"/>
      <c r="J62" s="381"/>
      <c r="K62" s="460"/>
      <c r="L62" s="461"/>
      <c r="M62" s="462"/>
      <c r="N62" s="452"/>
      <c r="O62" s="452"/>
      <c r="P62" s="453"/>
      <c r="Q62" s="442"/>
      <c r="R62" s="349"/>
      <c r="S62" s="349"/>
      <c r="T62" s="349"/>
      <c r="U62" s="349"/>
      <c r="V62" s="349"/>
      <c r="W62" s="349"/>
      <c r="X62" s="349"/>
      <c r="Y62" s="349"/>
      <c r="Z62" s="349"/>
      <c r="AA62" s="349"/>
      <c r="AB62" s="349"/>
      <c r="AC62" s="349"/>
    </row>
    <row r="63" ht="15.75" spans="1:29">
      <c r="A63" s="373"/>
      <c r="B63" s="374"/>
      <c r="C63" s="379">
        <v>100</v>
      </c>
      <c r="D63" s="379">
        <f t="shared" ref="D63:M63" si="18">C63-$K11</f>
        <v>100</v>
      </c>
      <c r="E63" s="379">
        <f t="shared" si="18"/>
        <v>100</v>
      </c>
      <c r="F63" s="379">
        <f t="shared" si="18"/>
        <v>100</v>
      </c>
      <c r="G63" s="379">
        <f t="shared" si="18"/>
        <v>100</v>
      </c>
      <c r="H63" s="379">
        <f t="shared" si="18"/>
        <v>100</v>
      </c>
      <c r="I63" s="379">
        <f t="shared" si="18"/>
        <v>100</v>
      </c>
      <c r="J63" s="379">
        <f t="shared" si="18"/>
        <v>100</v>
      </c>
      <c r="K63" s="379">
        <f t="shared" si="18"/>
        <v>100</v>
      </c>
      <c r="L63" s="379">
        <f t="shared" si="18"/>
        <v>100</v>
      </c>
      <c r="M63" s="459">
        <f t="shared" si="18"/>
        <v>100</v>
      </c>
      <c r="N63" s="455"/>
      <c r="O63" s="455"/>
      <c r="P63" s="453"/>
      <c r="Q63" s="442"/>
      <c r="R63" s="349"/>
      <c r="S63" s="349"/>
      <c r="T63" s="349"/>
      <c r="U63" s="349"/>
      <c r="V63" s="349"/>
      <c r="W63" s="349"/>
      <c r="X63" s="349"/>
      <c r="Y63" s="349"/>
      <c r="Z63" s="349"/>
      <c r="AA63" s="349"/>
      <c r="AB63" s="349"/>
      <c r="AC63" s="349"/>
    </row>
    <row r="64" s="198" customFormat="1" ht="15.75" spans="1:29">
      <c r="A64" s="383"/>
      <c r="B64" s="376">
        <f>B12</f>
        <v>111</v>
      </c>
      <c r="C64" s="384"/>
      <c r="D64" s="384"/>
      <c r="E64" s="384"/>
      <c r="F64" s="384"/>
      <c r="G64" s="384"/>
      <c r="H64" s="385"/>
      <c r="I64" s="385"/>
      <c r="J64" s="385"/>
      <c r="K64" s="385"/>
      <c r="L64" s="463"/>
      <c r="M64" s="464"/>
      <c r="N64" s="465"/>
      <c r="O64" s="465"/>
      <c r="P64" s="466"/>
      <c r="Q64" s="500"/>
      <c r="R64" s="501"/>
      <c r="S64" s="501"/>
      <c r="T64" s="501"/>
      <c r="U64" s="501"/>
      <c r="V64" s="501"/>
      <c r="W64" s="501"/>
      <c r="X64" s="501"/>
      <c r="Y64" s="501"/>
      <c r="Z64" s="501"/>
      <c r="AA64" s="501"/>
      <c r="AB64" s="501"/>
      <c r="AC64" s="501"/>
    </row>
    <row r="65" s="198" customFormat="1" ht="15.75" spans="1:29">
      <c r="A65" s="383"/>
      <c r="B65" s="378"/>
      <c r="C65" s="382"/>
      <c r="D65" s="375"/>
      <c r="E65" s="375"/>
      <c r="F65" s="375"/>
      <c r="G65" s="375"/>
      <c r="H65" s="375"/>
      <c r="I65" s="375"/>
      <c r="J65" s="375"/>
      <c r="K65" s="375"/>
      <c r="L65" s="375"/>
      <c r="M65" s="454"/>
      <c r="N65" s="455"/>
      <c r="O65" s="455"/>
      <c r="P65" s="466"/>
      <c r="Q65" s="500"/>
      <c r="R65" s="501"/>
      <c r="S65" s="501"/>
      <c r="T65" s="501"/>
      <c r="U65" s="501"/>
      <c r="V65" s="501"/>
      <c r="W65" s="501"/>
      <c r="X65" s="501"/>
      <c r="Y65" s="501"/>
      <c r="Z65" s="501"/>
      <c r="AA65" s="501"/>
      <c r="AB65" s="501"/>
      <c r="AC65" s="501"/>
    </row>
    <row r="66" s="198" customFormat="1" ht="15.75" spans="1:29">
      <c r="A66" s="383"/>
      <c r="B66" s="376">
        <f>B13</f>
        <v>111</v>
      </c>
      <c r="C66" s="384"/>
      <c r="D66" s="384"/>
      <c r="E66" s="384"/>
      <c r="F66" s="384"/>
      <c r="G66" s="384"/>
      <c r="H66" s="385"/>
      <c r="I66" s="385"/>
      <c r="J66" s="385"/>
      <c r="K66" s="385"/>
      <c r="L66" s="463"/>
      <c r="M66" s="464"/>
      <c r="N66" s="465"/>
      <c r="O66" s="465"/>
      <c r="P66" s="422"/>
      <c r="Q66" s="502"/>
      <c r="R66" s="501"/>
      <c r="S66" s="501"/>
      <c r="T66" s="501"/>
      <c r="U66" s="501"/>
      <c r="V66" s="501"/>
      <c r="W66" s="501"/>
      <c r="X66" s="501"/>
      <c r="Y66" s="501"/>
      <c r="Z66" s="501"/>
      <c r="AA66" s="501"/>
      <c r="AB66" s="501"/>
      <c r="AC66" s="501"/>
    </row>
    <row r="67" s="198" customFormat="1" ht="15.75" spans="1:29">
      <c r="A67" s="383"/>
      <c r="B67" s="378"/>
      <c r="C67" s="382"/>
      <c r="D67" s="375"/>
      <c r="E67" s="375"/>
      <c r="F67" s="375"/>
      <c r="G67" s="382"/>
      <c r="H67" s="386"/>
      <c r="I67" s="386"/>
      <c r="J67" s="386"/>
      <c r="K67" s="386"/>
      <c r="L67" s="386"/>
      <c r="M67" s="467"/>
      <c r="N67" s="465"/>
      <c r="O67" s="465"/>
      <c r="P67" s="466"/>
      <c r="Q67" s="500"/>
      <c r="R67" s="501"/>
      <c r="S67" s="501"/>
      <c r="T67" s="501"/>
      <c r="U67" s="501"/>
      <c r="V67" s="501"/>
      <c r="W67" s="501"/>
      <c r="X67" s="501"/>
      <c r="Y67" s="501"/>
      <c r="Z67" s="501"/>
      <c r="AA67" s="501"/>
      <c r="AB67" s="501"/>
      <c r="AC67" s="501"/>
    </row>
    <row r="68" s="198" customFormat="1" ht="15.75" spans="1:29">
      <c r="A68" s="383"/>
      <c r="B68" s="514">
        <f>B14</f>
        <v>111</v>
      </c>
      <c r="C68" s="368"/>
      <c r="D68" s="368"/>
      <c r="E68" s="368"/>
      <c r="F68" s="368"/>
      <c r="G68" s="368"/>
      <c r="H68" s="595"/>
      <c r="I68" s="595"/>
      <c r="J68" s="595"/>
      <c r="K68" s="595"/>
      <c r="L68" s="604"/>
      <c r="M68" s="605"/>
      <c r="N68" s="465"/>
      <c r="O68" s="465"/>
      <c r="P68" s="606"/>
      <c r="Q68" s="500"/>
      <c r="R68" s="501"/>
      <c r="S68" s="501"/>
      <c r="T68" s="501"/>
      <c r="U68" s="501"/>
      <c r="V68" s="501"/>
      <c r="W68" s="501"/>
      <c r="X68" s="501"/>
      <c r="Y68" s="501"/>
      <c r="Z68" s="501"/>
      <c r="AA68" s="501"/>
      <c r="AB68" s="501"/>
      <c r="AC68" s="501"/>
    </row>
    <row r="69" s="198" customFormat="1" ht="15.75" spans="1:29">
      <c r="A69" s="596"/>
      <c r="B69" s="597"/>
      <c r="C69" s="598"/>
      <c r="D69" s="598"/>
      <c r="E69" s="598"/>
      <c r="F69" s="598"/>
      <c r="G69" s="598"/>
      <c r="H69" s="599"/>
      <c r="I69" s="599"/>
      <c r="J69" s="599"/>
      <c r="K69" s="599"/>
      <c r="L69" s="599"/>
      <c r="M69" s="607"/>
      <c r="N69" s="465"/>
      <c r="O69" s="465"/>
      <c r="P69" s="466"/>
      <c r="Q69" s="500"/>
      <c r="R69" s="501"/>
      <c r="S69" s="501"/>
      <c r="T69" s="501"/>
      <c r="U69" s="501"/>
      <c r="V69" s="501"/>
      <c r="W69" s="501"/>
      <c r="X69" s="501"/>
      <c r="Y69" s="501"/>
      <c r="Z69" s="501"/>
      <c r="AA69" s="501"/>
      <c r="AB69" s="501"/>
      <c r="AC69" s="501"/>
    </row>
    <row r="70" spans="1:29">
      <c r="A70" s="369" t="s">
        <v>1357</v>
      </c>
      <c r="B70" s="370" t="s">
        <v>227</v>
      </c>
      <c r="C70" s="387" t="s">
        <v>246</v>
      </c>
      <c r="D70" s="387" t="s">
        <v>258</v>
      </c>
      <c r="E70" s="387" t="s">
        <v>269</v>
      </c>
      <c r="F70" s="387" t="s">
        <v>279</v>
      </c>
      <c r="G70" s="387" t="s">
        <v>287</v>
      </c>
      <c r="H70" s="371"/>
      <c r="I70" s="371"/>
      <c r="J70" s="371"/>
      <c r="K70" s="468"/>
      <c r="L70" s="469"/>
      <c r="M70" s="470"/>
      <c r="N70" s="452"/>
      <c r="O70" s="452"/>
      <c r="P70" s="471"/>
      <c r="Q70" s="442"/>
      <c r="R70" s="349"/>
      <c r="S70" s="349"/>
      <c r="T70" s="349"/>
      <c r="U70" s="349"/>
      <c r="V70" s="349"/>
      <c r="W70" s="349"/>
      <c r="X70" s="349"/>
      <c r="Y70" s="349"/>
      <c r="Z70" s="349"/>
      <c r="AA70" s="349"/>
      <c r="AB70" s="349"/>
      <c r="AC70" s="349"/>
    </row>
    <row r="71" ht="15.75" spans="1:29">
      <c r="A71" s="373"/>
      <c r="B71" s="378"/>
      <c r="C71" s="379">
        <v>100</v>
      </c>
      <c r="D71" s="379">
        <f>C71-$K15</f>
        <v>100</v>
      </c>
      <c r="E71" s="379">
        <f>D71-$K15</f>
        <v>100</v>
      </c>
      <c r="F71" s="379">
        <f>E71-$K15</f>
        <v>100</v>
      </c>
      <c r="G71" s="379">
        <f>F71-$K15</f>
        <v>100</v>
      </c>
      <c r="H71" s="379"/>
      <c r="I71" s="379"/>
      <c r="J71" s="379"/>
      <c r="K71" s="379"/>
      <c r="L71" s="379"/>
      <c r="M71" s="459"/>
      <c r="N71" s="455"/>
      <c r="O71" s="455"/>
      <c r="P71" s="453"/>
      <c r="Q71" s="442"/>
      <c r="R71" s="349"/>
      <c r="S71" s="349"/>
      <c r="T71" s="349"/>
      <c r="U71" s="349"/>
      <c r="V71" s="349"/>
      <c r="W71" s="349"/>
      <c r="X71" s="349"/>
      <c r="Y71" s="349"/>
      <c r="Z71" s="349"/>
      <c r="AA71" s="349"/>
      <c r="AB71" s="349"/>
      <c r="AC71" s="349"/>
    </row>
    <row r="72" ht="15.75" spans="1:29">
      <c r="A72" s="373"/>
      <c r="B72" s="376" t="s">
        <v>229</v>
      </c>
      <c r="C72" s="389" t="s">
        <v>246</v>
      </c>
      <c r="D72" s="389" t="s">
        <v>258</v>
      </c>
      <c r="E72" s="389" t="s">
        <v>269</v>
      </c>
      <c r="F72" s="389" t="s">
        <v>279</v>
      </c>
      <c r="G72" s="389" t="s">
        <v>287</v>
      </c>
      <c r="H72" s="377"/>
      <c r="I72" s="377"/>
      <c r="J72" s="377"/>
      <c r="K72" s="456"/>
      <c r="L72" s="457"/>
      <c r="M72" s="458"/>
      <c r="N72" s="452"/>
      <c r="O72" s="452"/>
      <c r="P72" s="453"/>
      <c r="Q72" s="442"/>
      <c r="R72" s="349"/>
      <c r="S72" s="349"/>
      <c r="T72" s="349"/>
      <c r="U72" s="349"/>
      <c r="V72" s="349"/>
      <c r="W72" s="349"/>
      <c r="X72" s="349"/>
      <c r="Y72" s="349"/>
      <c r="Z72" s="349"/>
      <c r="AA72" s="349"/>
      <c r="AB72" s="349"/>
      <c r="AC72" s="349"/>
    </row>
    <row r="73" ht="15.75" spans="1:29">
      <c r="A73" s="373"/>
      <c r="B73" s="378"/>
      <c r="C73" s="379">
        <v>100</v>
      </c>
      <c r="D73" s="379">
        <f>C73-$K17</f>
        <v>100</v>
      </c>
      <c r="E73" s="379">
        <f>D73-$K17</f>
        <v>100</v>
      </c>
      <c r="F73" s="379">
        <f>E73-$K17</f>
        <v>100</v>
      </c>
      <c r="G73" s="379">
        <f>F73-$K17</f>
        <v>100</v>
      </c>
      <c r="H73" s="379"/>
      <c r="I73" s="379"/>
      <c r="J73" s="379"/>
      <c r="K73" s="379"/>
      <c r="L73" s="379"/>
      <c r="M73" s="459"/>
      <c r="N73" s="455"/>
      <c r="O73" s="455"/>
      <c r="P73" s="453"/>
      <c r="Q73" s="442"/>
      <c r="R73" s="349"/>
      <c r="S73" s="349"/>
      <c r="T73" s="349"/>
      <c r="U73" s="349"/>
      <c r="V73" s="349"/>
      <c r="W73" s="349"/>
      <c r="X73" s="349"/>
      <c r="Y73" s="349"/>
      <c r="Z73" s="349"/>
      <c r="AA73" s="349"/>
      <c r="AB73" s="349"/>
      <c r="AC73" s="349"/>
    </row>
    <row r="74" ht="15.75" spans="1:29">
      <c r="A74" s="373"/>
      <c r="B74" s="388" t="s">
        <v>231</v>
      </c>
      <c r="C74" s="389" t="s">
        <v>246</v>
      </c>
      <c r="D74" s="389" t="s">
        <v>258</v>
      </c>
      <c r="E74" s="389" t="s">
        <v>269</v>
      </c>
      <c r="F74" s="389" t="s">
        <v>279</v>
      </c>
      <c r="G74" s="389" t="s">
        <v>287</v>
      </c>
      <c r="H74" s="377"/>
      <c r="I74" s="377"/>
      <c r="J74" s="377"/>
      <c r="K74" s="456"/>
      <c r="L74" s="457"/>
      <c r="M74" s="458"/>
      <c r="N74" s="452"/>
      <c r="O74" s="452"/>
      <c r="P74" s="453"/>
      <c r="Q74" s="442"/>
      <c r="R74" s="349"/>
      <c r="S74" s="349"/>
      <c r="T74" s="349"/>
      <c r="U74" s="349"/>
      <c r="V74" s="349"/>
      <c r="W74" s="349"/>
      <c r="X74" s="349"/>
      <c r="Y74" s="349"/>
      <c r="Z74" s="349"/>
      <c r="AA74" s="349"/>
      <c r="AB74" s="349"/>
      <c r="AC74" s="349"/>
    </row>
    <row r="75" ht="15.75" spans="1:29">
      <c r="A75" s="373"/>
      <c r="B75" s="378"/>
      <c r="C75" s="379">
        <v>100</v>
      </c>
      <c r="D75" s="379">
        <f>C75-$K19</f>
        <v>100</v>
      </c>
      <c r="E75" s="379">
        <f>D75-$K19</f>
        <v>100</v>
      </c>
      <c r="F75" s="379">
        <f>E75-$K19</f>
        <v>100</v>
      </c>
      <c r="G75" s="379">
        <f>F75-$K19</f>
        <v>100</v>
      </c>
      <c r="H75" s="379"/>
      <c r="I75" s="379"/>
      <c r="J75" s="379"/>
      <c r="K75" s="379"/>
      <c r="L75" s="379"/>
      <c r="M75" s="459"/>
      <c r="N75" s="455"/>
      <c r="O75" s="455"/>
      <c r="P75" s="453"/>
      <c r="Q75" s="442"/>
      <c r="R75" s="349"/>
      <c r="S75" s="349"/>
      <c r="T75" s="349"/>
      <c r="U75" s="349"/>
      <c r="V75" s="349"/>
      <c r="W75" s="349"/>
      <c r="X75" s="349"/>
      <c r="Y75" s="349"/>
      <c r="Z75" s="349"/>
      <c r="AA75" s="349"/>
      <c r="AB75" s="349"/>
      <c r="AC75" s="349"/>
    </row>
    <row r="76" ht="15.75" spans="1:29">
      <c r="A76" s="373"/>
      <c r="B76" s="512" t="s">
        <v>232</v>
      </c>
      <c r="C76" s="513" t="s">
        <v>247</v>
      </c>
      <c r="D76" s="513" t="s">
        <v>259</v>
      </c>
      <c r="E76" s="513" t="s">
        <v>270</v>
      </c>
      <c r="F76" s="513" t="s">
        <v>280</v>
      </c>
      <c r="G76" s="513" t="s">
        <v>288</v>
      </c>
      <c r="H76" s="380"/>
      <c r="I76" s="380"/>
      <c r="J76" s="380"/>
      <c r="K76" s="380"/>
      <c r="L76" s="380"/>
      <c r="M76" s="278"/>
      <c r="N76" s="455"/>
      <c r="O76" s="455"/>
      <c r="P76" s="453"/>
      <c r="Q76" s="442"/>
      <c r="R76" s="349"/>
      <c r="S76" s="349"/>
      <c r="T76" s="349"/>
      <c r="U76" s="349"/>
      <c r="V76" s="349"/>
      <c r="W76" s="349"/>
      <c r="X76" s="349"/>
      <c r="Y76" s="349"/>
      <c r="Z76" s="349"/>
      <c r="AA76" s="349"/>
      <c r="AB76" s="349"/>
      <c r="AC76" s="349"/>
    </row>
    <row r="77" ht="15.75" spans="1:29">
      <c r="A77" s="373"/>
      <c r="B77" s="514"/>
      <c r="C77" s="379">
        <v>100</v>
      </c>
      <c r="D77" s="379">
        <f>C77-$K21</f>
        <v>100</v>
      </c>
      <c r="E77" s="379">
        <f>D77-$K21</f>
        <v>100</v>
      </c>
      <c r="F77" s="379">
        <f>E77-$K21</f>
        <v>100</v>
      </c>
      <c r="G77" s="379">
        <f>F77-$K21</f>
        <v>100</v>
      </c>
      <c r="H77" s="379"/>
      <c r="I77" s="379"/>
      <c r="J77" s="379"/>
      <c r="K77" s="379"/>
      <c r="L77" s="379"/>
      <c r="M77" s="459"/>
      <c r="N77" s="455"/>
      <c r="O77" s="455"/>
      <c r="P77" s="453"/>
      <c r="Q77" s="442"/>
      <c r="R77" s="349"/>
      <c r="S77" s="349"/>
      <c r="T77" s="349"/>
      <c r="U77" s="349"/>
      <c r="V77" s="349"/>
      <c r="W77" s="349"/>
      <c r="X77" s="349"/>
      <c r="Y77" s="349"/>
      <c r="Z77" s="349"/>
      <c r="AA77" s="349"/>
      <c r="AB77" s="349"/>
      <c r="AC77" s="349"/>
    </row>
    <row r="78" ht="15.75" spans="1:29">
      <c r="A78" s="373"/>
      <c r="B78" s="376" t="s">
        <v>233</v>
      </c>
      <c r="C78" s="389" t="s">
        <v>246</v>
      </c>
      <c r="D78" s="389" t="s">
        <v>258</v>
      </c>
      <c r="E78" s="389" t="s">
        <v>269</v>
      </c>
      <c r="F78" s="389" t="s">
        <v>279</v>
      </c>
      <c r="G78" s="389" t="s">
        <v>287</v>
      </c>
      <c r="H78" s="377"/>
      <c r="I78" s="377"/>
      <c r="J78" s="377"/>
      <c r="K78" s="456"/>
      <c r="L78" s="457"/>
      <c r="M78" s="458"/>
      <c r="N78" s="452"/>
      <c r="O78" s="452"/>
      <c r="P78" s="453"/>
      <c r="Q78" s="442"/>
      <c r="R78" s="349"/>
      <c r="S78" s="349"/>
      <c r="T78" s="349"/>
      <c r="U78" s="349"/>
      <c r="V78" s="349"/>
      <c r="W78" s="349"/>
      <c r="X78" s="349"/>
      <c r="Y78" s="349"/>
      <c r="Z78" s="349"/>
      <c r="AA78" s="349"/>
      <c r="AB78" s="349"/>
      <c r="AC78" s="349"/>
    </row>
    <row r="79" ht="15.75" spans="1:29">
      <c r="A79" s="373"/>
      <c r="B79" s="378"/>
      <c r="C79" s="379">
        <v>100</v>
      </c>
      <c r="D79" s="379">
        <f>C79-$K23</f>
        <v>100</v>
      </c>
      <c r="E79" s="379">
        <f>D79-$K23</f>
        <v>100</v>
      </c>
      <c r="F79" s="379">
        <f>E79-$K23</f>
        <v>100</v>
      </c>
      <c r="G79" s="379">
        <f>F79-$K23</f>
        <v>100</v>
      </c>
      <c r="H79" s="379"/>
      <c r="I79" s="379"/>
      <c r="J79" s="379"/>
      <c r="K79" s="379"/>
      <c r="L79" s="379"/>
      <c r="M79" s="459"/>
      <c r="N79" s="455"/>
      <c r="O79" s="455"/>
      <c r="P79" s="453"/>
      <c r="Q79" s="442"/>
      <c r="R79" s="349"/>
      <c r="S79" s="349"/>
      <c r="T79" s="349"/>
      <c r="U79" s="349"/>
      <c r="V79" s="349"/>
      <c r="W79" s="349"/>
      <c r="X79" s="349"/>
      <c r="Y79" s="349"/>
      <c r="Z79" s="349"/>
      <c r="AA79" s="349"/>
      <c r="AB79" s="349"/>
      <c r="AC79" s="349"/>
    </row>
    <row r="80" s="196" customFormat="1" ht="15.75" spans="1:29">
      <c r="A80" s="516"/>
      <c r="B80" s="376">
        <f>B25</f>
        <v>111</v>
      </c>
      <c r="C80" s="384"/>
      <c r="D80" s="384"/>
      <c r="E80" s="384"/>
      <c r="F80" s="384"/>
      <c r="G80" s="384"/>
      <c r="H80" s="384"/>
      <c r="I80" s="384"/>
      <c r="J80" s="384"/>
      <c r="K80" s="384"/>
      <c r="L80" s="528"/>
      <c r="M80" s="529"/>
      <c r="N80" s="447"/>
      <c r="O80" s="447"/>
      <c r="P80" s="453"/>
      <c r="Q80" s="442"/>
      <c r="R80" s="499"/>
      <c r="S80" s="499"/>
      <c r="T80" s="499"/>
      <c r="U80" s="499"/>
      <c r="V80" s="499"/>
      <c r="W80" s="499"/>
      <c r="X80" s="499"/>
      <c r="Y80" s="499"/>
      <c r="Z80" s="499"/>
      <c r="AA80" s="499"/>
      <c r="AB80" s="499"/>
      <c r="AC80" s="499"/>
    </row>
    <row r="81" s="196" customFormat="1" ht="15.75" spans="1:29">
      <c r="A81" s="516"/>
      <c r="B81" s="378"/>
      <c r="C81" s="382"/>
      <c r="D81" s="375"/>
      <c r="E81" s="375"/>
      <c r="F81" s="375"/>
      <c r="G81" s="375"/>
      <c r="H81" s="375"/>
      <c r="I81" s="375"/>
      <c r="J81" s="375"/>
      <c r="K81" s="375"/>
      <c r="L81" s="375"/>
      <c r="M81" s="454"/>
      <c r="N81" s="455"/>
      <c r="O81" s="455"/>
      <c r="P81" s="453"/>
      <c r="Q81" s="442"/>
      <c r="R81" s="499"/>
      <c r="S81" s="499"/>
      <c r="T81" s="499"/>
      <c r="U81" s="499"/>
      <c r="V81" s="499"/>
      <c r="W81" s="499"/>
      <c r="X81" s="499"/>
      <c r="Y81" s="499"/>
      <c r="Z81" s="499"/>
      <c r="AA81" s="499"/>
      <c r="AB81" s="499"/>
      <c r="AC81" s="499"/>
    </row>
    <row r="82" s="196" customFormat="1" ht="15.75" spans="1:29">
      <c r="A82" s="516"/>
      <c r="B82" s="376">
        <f>B26</f>
        <v>111</v>
      </c>
      <c r="C82" s="384"/>
      <c r="D82" s="384"/>
      <c r="E82" s="384"/>
      <c r="F82" s="384"/>
      <c r="G82" s="384"/>
      <c r="H82" s="384"/>
      <c r="I82" s="384"/>
      <c r="J82" s="384"/>
      <c r="K82" s="384"/>
      <c r="L82" s="528"/>
      <c r="M82" s="529"/>
      <c r="N82" s="447"/>
      <c r="O82" s="447"/>
      <c r="P82" s="453"/>
      <c r="Q82" s="442"/>
      <c r="R82" s="499"/>
      <c r="S82" s="499"/>
      <c r="T82" s="499"/>
      <c r="U82" s="499"/>
      <c r="V82" s="499"/>
      <c r="W82" s="499"/>
      <c r="X82" s="499"/>
      <c r="Y82" s="499"/>
      <c r="Z82" s="499"/>
      <c r="AA82" s="499"/>
      <c r="AB82" s="499"/>
      <c r="AC82" s="499"/>
    </row>
    <row r="83" s="196" customFormat="1" ht="15.75" spans="1:29">
      <c r="A83" s="516"/>
      <c r="B83" s="378"/>
      <c r="C83" s="382"/>
      <c r="D83" s="375"/>
      <c r="E83" s="375"/>
      <c r="F83" s="375"/>
      <c r="G83" s="375"/>
      <c r="H83" s="375"/>
      <c r="I83" s="375"/>
      <c r="J83" s="375"/>
      <c r="K83" s="375"/>
      <c r="L83" s="375"/>
      <c r="M83" s="454"/>
      <c r="N83" s="455"/>
      <c r="O83" s="455"/>
      <c r="P83" s="453"/>
      <c r="Q83" s="442"/>
      <c r="R83" s="499"/>
      <c r="S83" s="499"/>
      <c r="T83" s="499"/>
      <c r="U83" s="499"/>
      <c r="V83" s="499"/>
      <c r="W83" s="499"/>
      <c r="X83" s="499"/>
      <c r="Y83" s="499"/>
      <c r="Z83" s="499"/>
      <c r="AA83" s="499"/>
      <c r="AB83" s="499"/>
      <c r="AC83" s="499"/>
    </row>
    <row r="84" s="198" customFormat="1" ht="15.75" spans="1:29">
      <c r="A84" s="383"/>
      <c r="B84" s="376">
        <f>B27</f>
        <v>111</v>
      </c>
      <c r="C84" s="384"/>
      <c r="D84" s="384"/>
      <c r="E84" s="384"/>
      <c r="F84" s="384"/>
      <c r="G84" s="384"/>
      <c r="H84" s="384"/>
      <c r="I84" s="384"/>
      <c r="J84" s="384"/>
      <c r="K84" s="384"/>
      <c r="L84" s="528"/>
      <c r="M84" s="529"/>
      <c r="N84" s="465"/>
      <c r="O84" s="465"/>
      <c r="P84" s="466"/>
      <c r="Q84" s="500"/>
      <c r="R84" s="501"/>
      <c r="S84" s="501"/>
      <c r="T84" s="501"/>
      <c r="U84" s="501"/>
      <c r="V84" s="501"/>
      <c r="W84" s="501"/>
      <c r="X84" s="501"/>
      <c r="Y84" s="501"/>
      <c r="Z84" s="501"/>
      <c r="AA84" s="501"/>
      <c r="AB84" s="501"/>
      <c r="AC84" s="501"/>
    </row>
    <row r="85" s="198" customFormat="1" ht="15.75" spans="1:29">
      <c r="A85" s="383"/>
      <c r="B85" s="378"/>
      <c r="C85" s="382"/>
      <c r="D85" s="375"/>
      <c r="E85" s="375"/>
      <c r="F85" s="375"/>
      <c r="G85" s="375"/>
      <c r="H85" s="375"/>
      <c r="I85" s="375"/>
      <c r="J85" s="375"/>
      <c r="K85" s="375"/>
      <c r="L85" s="375"/>
      <c r="M85" s="454"/>
      <c r="N85" s="465"/>
      <c r="O85" s="465"/>
      <c r="P85" s="466"/>
      <c r="Q85" s="500"/>
      <c r="R85" s="501"/>
      <c r="S85" s="501"/>
      <c r="T85" s="501"/>
      <c r="U85" s="501"/>
      <c r="V85" s="501"/>
      <c r="W85" s="501"/>
      <c r="X85" s="501"/>
      <c r="Y85" s="501"/>
      <c r="Z85" s="501"/>
      <c r="AA85" s="501"/>
      <c r="AB85" s="501"/>
      <c r="AC85" s="501"/>
    </row>
    <row r="86" ht="15.75" spans="1:29">
      <c r="A86" s="373"/>
      <c r="B86" s="514">
        <f>B28</f>
        <v>111</v>
      </c>
      <c r="C86" s="368"/>
      <c r="D86" s="368"/>
      <c r="E86" s="368"/>
      <c r="F86" s="368"/>
      <c r="G86" s="600"/>
      <c r="H86" s="600"/>
      <c r="I86" s="600"/>
      <c r="J86" s="600"/>
      <c r="K86" s="608"/>
      <c r="L86" s="609"/>
      <c r="M86" s="610"/>
      <c r="N86" s="452"/>
      <c r="O86" s="452"/>
      <c r="P86" s="453"/>
      <c r="Q86" s="442"/>
      <c r="R86" s="349"/>
      <c r="S86" s="349"/>
      <c r="T86" s="349"/>
      <c r="U86" s="349"/>
      <c r="V86" s="349"/>
      <c r="W86" s="349"/>
      <c r="X86" s="349"/>
      <c r="Y86" s="349"/>
      <c r="Z86" s="349"/>
      <c r="AA86" s="349"/>
      <c r="AB86" s="349"/>
      <c r="AC86" s="349"/>
    </row>
    <row r="87" ht="15.75" spans="1:29">
      <c r="A87" s="601"/>
      <c r="B87" s="597"/>
      <c r="C87" s="598"/>
      <c r="D87" s="598"/>
      <c r="E87" s="598"/>
      <c r="F87" s="598"/>
      <c r="G87" s="602"/>
      <c r="H87" s="602"/>
      <c r="I87" s="602"/>
      <c r="J87" s="602"/>
      <c r="K87" s="602"/>
      <c r="L87" s="602"/>
      <c r="M87" s="611"/>
      <c r="N87" s="455"/>
      <c r="O87" s="455"/>
      <c r="P87" s="453"/>
      <c r="Q87" s="442"/>
      <c r="R87" s="349"/>
      <c r="S87" s="349"/>
      <c r="T87" s="349"/>
      <c r="U87" s="349"/>
      <c r="V87" s="349"/>
      <c r="W87" s="349"/>
      <c r="X87" s="349"/>
      <c r="Y87" s="349"/>
      <c r="Z87" s="349"/>
      <c r="AA87" s="349"/>
      <c r="AB87" s="349"/>
      <c r="AC87" s="349"/>
    </row>
    <row r="88" spans="1:29">
      <c r="A88" s="369" t="s">
        <v>1362</v>
      </c>
      <c r="B88" s="370" t="s">
        <v>1569</v>
      </c>
      <c r="C88" s="372"/>
      <c r="D88" s="372"/>
      <c r="E88" s="372"/>
      <c r="F88" s="372"/>
      <c r="G88" s="372"/>
      <c r="H88" s="372"/>
      <c r="I88" s="372"/>
      <c r="J88" s="372"/>
      <c r="K88" s="449"/>
      <c r="L88" s="450"/>
      <c r="M88" s="451"/>
      <c r="N88" s="452"/>
      <c r="O88" s="452"/>
      <c r="P88" s="453"/>
      <c r="Q88" s="442"/>
      <c r="R88" s="349"/>
      <c r="S88" s="349"/>
      <c r="T88" s="349"/>
      <c r="U88" s="349"/>
      <c r="V88" s="349"/>
      <c r="W88" s="349"/>
      <c r="X88" s="349"/>
      <c r="Y88" s="349"/>
      <c r="Z88" s="349"/>
      <c r="AA88" s="349"/>
      <c r="AB88" s="349"/>
      <c r="AC88" s="349"/>
    </row>
    <row r="89" ht="15.75" spans="1:29">
      <c r="A89" s="373"/>
      <c r="B89" s="378"/>
      <c r="C89" s="379">
        <v>100</v>
      </c>
      <c r="D89" s="379">
        <f t="shared" ref="D89:M89" si="19">C89-$K29</f>
        <v>100</v>
      </c>
      <c r="E89" s="379">
        <f t="shared" si="19"/>
        <v>100</v>
      </c>
      <c r="F89" s="379">
        <f t="shared" si="19"/>
        <v>100</v>
      </c>
      <c r="G89" s="379">
        <f t="shared" si="19"/>
        <v>100</v>
      </c>
      <c r="H89" s="379">
        <f t="shared" si="19"/>
        <v>100</v>
      </c>
      <c r="I89" s="379">
        <f t="shared" si="19"/>
        <v>100</v>
      </c>
      <c r="J89" s="379">
        <f t="shared" si="19"/>
        <v>100</v>
      </c>
      <c r="K89" s="379">
        <f t="shared" si="19"/>
        <v>100</v>
      </c>
      <c r="L89" s="379">
        <f t="shared" si="19"/>
        <v>100</v>
      </c>
      <c r="M89" s="459">
        <f t="shared" si="19"/>
        <v>100</v>
      </c>
      <c r="N89" s="455"/>
      <c r="O89" s="455"/>
      <c r="P89" s="453"/>
      <c r="Q89" s="442"/>
      <c r="R89" s="349"/>
      <c r="S89" s="349"/>
      <c r="T89" s="349"/>
      <c r="U89" s="349"/>
      <c r="V89" s="349"/>
      <c r="W89" s="349"/>
      <c r="X89" s="349"/>
      <c r="Y89" s="349"/>
      <c r="Z89" s="349"/>
      <c r="AA89" s="349"/>
      <c r="AB89" s="349"/>
      <c r="AC89" s="349"/>
    </row>
    <row r="90" ht="15.75" spans="1:29">
      <c r="A90" s="373"/>
      <c r="B90" s="376" t="s">
        <v>1571</v>
      </c>
      <c r="C90" s="389" t="str">
        <f>C91&amp;"(含)"&amp;"-"&amp;D91</f>
        <v>(含)-</v>
      </c>
      <c r="D90" s="389" t="str">
        <f t="shared" ref="D90:L90" si="20">D91&amp;"(含)"&amp;"-"&amp;E91</f>
        <v>(含)-</v>
      </c>
      <c r="E90" s="389" t="str">
        <f t="shared" si="20"/>
        <v>(含)-</v>
      </c>
      <c r="F90" s="389" t="str">
        <f t="shared" si="20"/>
        <v>(含)-</v>
      </c>
      <c r="G90" s="389" t="str">
        <f t="shared" si="20"/>
        <v>(含)-</v>
      </c>
      <c r="H90" s="389" t="str">
        <f t="shared" si="20"/>
        <v>(含)-</v>
      </c>
      <c r="I90" s="389" t="str">
        <f t="shared" si="20"/>
        <v>(含)-</v>
      </c>
      <c r="J90" s="389" t="str">
        <f t="shared" si="20"/>
        <v>(含)-</v>
      </c>
      <c r="K90" s="389" t="str">
        <f t="shared" si="20"/>
        <v>(含)-</v>
      </c>
      <c r="L90" s="389" t="str">
        <f t="shared" si="20"/>
        <v>(含)-</v>
      </c>
      <c r="M90" s="533" t="str">
        <f>M91&amp;"(含)"&amp;"-"&amp;P91</f>
        <v>(含)-</v>
      </c>
      <c r="N90" s="447"/>
      <c r="O90" s="447"/>
      <c r="P90" s="453"/>
      <c r="Q90" s="442"/>
      <c r="R90" s="349"/>
      <c r="S90" s="349"/>
      <c r="T90" s="349"/>
      <c r="U90" s="349"/>
      <c r="V90" s="349"/>
      <c r="W90" s="349"/>
      <c r="X90" s="349"/>
      <c r="Y90" s="349"/>
      <c r="Z90" s="349"/>
      <c r="AA90" s="349"/>
      <c r="AB90" s="349"/>
      <c r="AC90" s="349"/>
    </row>
    <row r="91" s="198" customFormat="1" ht="15" spans="1:29">
      <c r="A91" s="521"/>
      <c r="B91" s="603"/>
      <c r="C91" s="520"/>
      <c r="D91" s="520"/>
      <c r="E91" s="520"/>
      <c r="F91" s="520"/>
      <c r="G91" s="520"/>
      <c r="H91" s="520"/>
      <c r="I91" s="520"/>
      <c r="J91" s="534"/>
      <c r="K91" s="534"/>
      <c r="L91" s="535"/>
      <c r="M91" s="536"/>
      <c r="N91" s="465"/>
      <c r="O91" s="465"/>
      <c r="P91" s="466"/>
      <c r="Q91" s="500"/>
      <c r="R91" s="501"/>
      <c r="S91" s="501"/>
      <c r="T91" s="501"/>
      <c r="U91" s="501"/>
      <c r="V91" s="501"/>
      <c r="W91" s="501"/>
      <c r="X91" s="501"/>
      <c r="Y91" s="501"/>
      <c r="Z91" s="501"/>
      <c r="AA91" s="501"/>
      <c r="AB91" s="501"/>
      <c r="AC91" s="501"/>
    </row>
    <row r="92" s="198" customFormat="1" ht="15.75" spans="1:29">
      <c r="A92" s="383"/>
      <c r="B92" s="378"/>
      <c r="C92" s="382"/>
      <c r="D92" s="375"/>
      <c r="E92" s="375"/>
      <c r="F92" s="375"/>
      <c r="G92" s="375"/>
      <c r="H92" s="375"/>
      <c r="I92" s="375"/>
      <c r="J92" s="375"/>
      <c r="K92" s="375"/>
      <c r="L92" s="375"/>
      <c r="M92" s="454"/>
      <c r="N92" s="455"/>
      <c r="O92" s="455"/>
      <c r="P92" s="466"/>
      <c r="Q92" s="500"/>
      <c r="R92" s="501"/>
      <c r="S92" s="501"/>
      <c r="T92" s="501"/>
      <c r="U92" s="501"/>
      <c r="V92" s="501"/>
      <c r="W92" s="501"/>
      <c r="X92" s="501"/>
      <c r="Y92" s="501"/>
      <c r="Z92" s="501"/>
      <c r="AA92" s="501"/>
      <c r="AB92" s="501"/>
      <c r="AC92" s="501"/>
    </row>
    <row r="93" ht="15.75" spans="1:29">
      <c r="A93" s="519"/>
      <c r="B93" s="376" t="s">
        <v>1572</v>
      </c>
      <c r="C93" s="384"/>
      <c r="D93" s="384"/>
      <c r="E93" s="515"/>
      <c r="F93" s="515"/>
      <c r="G93" s="515"/>
      <c r="H93" s="515"/>
      <c r="I93" s="515"/>
      <c r="J93" s="515"/>
      <c r="K93" s="525"/>
      <c r="L93" s="526"/>
      <c r="M93" s="527"/>
      <c r="N93" s="452"/>
      <c r="O93" s="452"/>
      <c r="P93" s="453"/>
      <c r="Q93" s="442"/>
      <c r="R93" s="349"/>
      <c r="S93" s="349"/>
      <c r="T93" s="349"/>
      <c r="U93" s="349"/>
      <c r="V93" s="349"/>
      <c r="W93" s="349"/>
      <c r="X93" s="349"/>
      <c r="Y93" s="349"/>
      <c r="Z93" s="349"/>
      <c r="AA93" s="349"/>
      <c r="AB93" s="349"/>
      <c r="AC93" s="349"/>
    </row>
    <row r="94" ht="15.75" spans="1:29">
      <c r="A94" s="373"/>
      <c r="B94" s="378"/>
      <c r="C94" s="379">
        <v>100</v>
      </c>
      <c r="D94" s="379">
        <f t="shared" ref="D94:M94" si="21">C94-$K31</f>
        <v>100</v>
      </c>
      <c r="E94" s="379">
        <f t="shared" si="21"/>
        <v>100</v>
      </c>
      <c r="F94" s="379">
        <f t="shared" si="21"/>
        <v>100</v>
      </c>
      <c r="G94" s="379">
        <f t="shared" si="21"/>
        <v>100</v>
      </c>
      <c r="H94" s="379">
        <f t="shared" si="21"/>
        <v>100</v>
      </c>
      <c r="I94" s="379">
        <f t="shared" si="21"/>
        <v>100</v>
      </c>
      <c r="J94" s="379">
        <f t="shared" si="21"/>
        <v>100</v>
      </c>
      <c r="K94" s="379">
        <f t="shared" si="21"/>
        <v>100</v>
      </c>
      <c r="L94" s="379">
        <f t="shared" si="21"/>
        <v>100</v>
      </c>
      <c r="M94" s="459">
        <f t="shared" si="21"/>
        <v>100</v>
      </c>
      <c r="N94" s="455"/>
      <c r="O94" s="455"/>
      <c r="P94" s="453"/>
      <c r="Q94" s="442"/>
      <c r="R94" s="349"/>
      <c r="S94" s="349"/>
      <c r="T94" s="349"/>
      <c r="U94" s="349"/>
      <c r="V94" s="349"/>
      <c r="W94" s="349"/>
      <c r="X94" s="349"/>
      <c r="Y94" s="349"/>
      <c r="Z94" s="349"/>
      <c r="AA94" s="349"/>
      <c r="AB94" s="349"/>
      <c r="AC94" s="349"/>
    </row>
    <row r="95" ht="15.75" spans="1:29">
      <c r="A95" s="519"/>
      <c r="B95" s="376" t="s">
        <v>1573</v>
      </c>
      <c r="C95" s="384"/>
      <c r="D95" s="384"/>
      <c r="E95" s="384"/>
      <c r="F95" s="515"/>
      <c r="G95" s="515"/>
      <c r="H95" s="515"/>
      <c r="I95" s="515"/>
      <c r="J95" s="515"/>
      <c r="K95" s="525"/>
      <c r="L95" s="526"/>
      <c r="M95" s="527"/>
      <c r="N95" s="452"/>
      <c r="O95" s="452"/>
      <c r="P95" s="453"/>
      <c r="Q95" s="442"/>
      <c r="R95" s="349"/>
      <c r="S95" s="349"/>
      <c r="T95" s="349"/>
      <c r="U95" s="349"/>
      <c r="V95" s="349"/>
      <c r="W95" s="349"/>
      <c r="X95" s="349"/>
      <c r="Y95" s="349"/>
      <c r="Z95" s="349"/>
      <c r="AA95" s="349"/>
      <c r="AB95" s="349"/>
      <c r="AC95" s="349"/>
    </row>
    <row r="96" ht="15.75" spans="1:29">
      <c r="A96" s="373"/>
      <c r="B96" s="378"/>
      <c r="C96" s="379">
        <v>100</v>
      </c>
      <c r="D96" s="379">
        <f t="shared" ref="D96:M96" si="22">C96-$K32</f>
        <v>100</v>
      </c>
      <c r="E96" s="379">
        <f t="shared" si="22"/>
        <v>100</v>
      </c>
      <c r="F96" s="379">
        <f t="shared" si="22"/>
        <v>100</v>
      </c>
      <c r="G96" s="379">
        <f t="shared" si="22"/>
        <v>100</v>
      </c>
      <c r="H96" s="379">
        <f t="shared" si="22"/>
        <v>100</v>
      </c>
      <c r="I96" s="379">
        <f t="shared" si="22"/>
        <v>100</v>
      </c>
      <c r="J96" s="379">
        <f t="shared" si="22"/>
        <v>100</v>
      </c>
      <c r="K96" s="379">
        <f t="shared" si="22"/>
        <v>100</v>
      </c>
      <c r="L96" s="379">
        <f t="shared" si="22"/>
        <v>100</v>
      </c>
      <c r="M96" s="459">
        <f t="shared" si="22"/>
        <v>100</v>
      </c>
      <c r="N96" s="455"/>
      <c r="O96" s="455"/>
      <c r="P96" s="453"/>
      <c r="Q96" s="442"/>
      <c r="R96" s="349"/>
      <c r="S96" s="349"/>
      <c r="T96" s="349"/>
      <c r="U96" s="349"/>
      <c r="V96" s="349"/>
      <c r="W96" s="349"/>
      <c r="X96" s="349"/>
      <c r="Y96" s="349"/>
      <c r="Z96" s="349"/>
      <c r="AA96" s="349"/>
      <c r="AB96" s="349"/>
      <c r="AC96" s="349"/>
    </row>
    <row r="97" ht="15.75" spans="1:29">
      <c r="A97" s="519"/>
      <c r="B97" s="376" t="s">
        <v>1575</v>
      </c>
      <c r="C97" s="389" t="str">
        <f>C98&amp;"(含)"&amp;"-"&amp;D98</f>
        <v>0.5(含)-0.6</v>
      </c>
      <c r="D97" s="389" t="str">
        <f>D98&amp;"(含)"&amp;"-"&amp;E98</f>
        <v>0.6(含)-0.7</v>
      </c>
      <c r="E97" s="389" t="str">
        <f>E98&amp;"(含)"&amp;"-"&amp;F98</f>
        <v>0.7(含)-0.8</v>
      </c>
      <c r="F97" s="389" t="str">
        <f>F98&amp;"(含)"&amp;"-"&amp;G98</f>
        <v>0.8(含)-0.9</v>
      </c>
      <c r="G97" s="389" t="str">
        <f>G98&amp;"(含)"&amp;"-"&amp;ROUND(H98,0)</f>
        <v>0.9(含)-1</v>
      </c>
      <c r="H97" s="389"/>
      <c r="I97" s="515"/>
      <c r="J97" s="515"/>
      <c r="K97" s="525"/>
      <c r="L97" s="526"/>
      <c r="M97" s="527"/>
      <c r="N97" s="452"/>
      <c r="O97" s="452"/>
      <c r="P97" s="453"/>
      <c r="Q97" s="442"/>
      <c r="R97" s="349"/>
      <c r="S97" s="349"/>
      <c r="T97" s="349"/>
      <c r="U97" s="349"/>
      <c r="V97" s="349"/>
      <c r="W97" s="349"/>
      <c r="X97" s="349"/>
      <c r="Y97" s="349"/>
      <c r="Z97" s="349"/>
      <c r="AA97" s="349"/>
      <c r="AB97" s="349"/>
      <c r="AC97" s="349"/>
    </row>
    <row r="98" ht="15" spans="1:29">
      <c r="A98" s="519"/>
      <c r="B98" s="514"/>
      <c r="C98" s="517">
        <v>0.5</v>
      </c>
      <c r="D98" s="517">
        <v>0.6</v>
      </c>
      <c r="E98" s="517">
        <v>0.7</v>
      </c>
      <c r="F98" s="517">
        <v>0.8</v>
      </c>
      <c r="G98" s="517">
        <v>0.9</v>
      </c>
      <c r="H98" s="517">
        <v>1.0001</v>
      </c>
      <c r="I98" s="572"/>
      <c r="J98" s="572"/>
      <c r="K98" s="573"/>
      <c r="L98" s="574"/>
      <c r="M98" s="575"/>
      <c r="N98" s="452"/>
      <c r="O98" s="452"/>
      <c r="P98" s="453"/>
      <c r="Q98" s="442"/>
      <c r="R98" s="349"/>
      <c r="S98" s="349"/>
      <c r="T98" s="349"/>
      <c r="U98" s="349"/>
      <c r="V98" s="349"/>
      <c r="W98" s="349"/>
      <c r="X98" s="349"/>
      <c r="Y98" s="349"/>
      <c r="Z98" s="349"/>
      <c r="AA98" s="349"/>
      <c r="AB98" s="349"/>
      <c r="AC98" s="349"/>
    </row>
    <row r="99" ht="15.75" spans="1:29">
      <c r="A99" s="373"/>
      <c r="B99" s="378"/>
      <c r="C99" s="518">
        <v>100</v>
      </c>
      <c r="D99" s="379">
        <f>C99+$K33</f>
        <v>100</v>
      </c>
      <c r="E99" s="379">
        <f t="shared" ref="E99:M99" si="23">D99+$K33</f>
        <v>100</v>
      </c>
      <c r="F99" s="379">
        <f t="shared" si="23"/>
        <v>100</v>
      </c>
      <c r="G99" s="379">
        <f t="shared" si="23"/>
        <v>100</v>
      </c>
      <c r="H99" s="379">
        <f t="shared" si="23"/>
        <v>100</v>
      </c>
      <c r="I99" s="379">
        <f t="shared" si="23"/>
        <v>100</v>
      </c>
      <c r="J99" s="379">
        <f t="shared" si="23"/>
        <v>100</v>
      </c>
      <c r="K99" s="379">
        <f t="shared" si="23"/>
        <v>100</v>
      </c>
      <c r="L99" s="379">
        <f t="shared" si="23"/>
        <v>100</v>
      </c>
      <c r="M99" s="379">
        <f t="shared" si="23"/>
        <v>100</v>
      </c>
      <c r="N99" s="455"/>
      <c r="O99" s="455"/>
      <c r="P99" s="453"/>
      <c r="Q99" s="442"/>
      <c r="R99" s="349"/>
      <c r="S99" s="349"/>
      <c r="T99" s="349"/>
      <c r="U99" s="349"/>
      <c r="V99" s="349"/>
      <c r="W99" s="349"/>
      <c r="X99" s="349"/>
      <c r="Y99" s="349"/>
      <c r="Z99" s="349"/>
      <c r="AA99" s="349"/>
      <c r="AB99" s="349"/>
      <c r="AC99" s="349"/>
    </row>
    <row r="100" s="198" customFormat="1" ht="15.75" spans="1:29">
      <c r="A100" s="521"/>
      <c r="B100" s="376" t="s">
        <v>1577</v>
      </c>
      <c r="C100" s="384"/>
      <c r="D100" s="384"/>
      <c r="E100" s="384"/>
      <c r="F100" s="384"/>
      <c r="G100" s="384"/>
      <c r="H100" s="515"/>
      <c r="I100" s="515"/>
      <c r="J100" s="515"/>
      <c r="K100" s="525"/>
      <c r="L100" s="526"/>
      <c r="M100" s="527"/>
      <c r="N100" s="465"/>
      <c r="O100" s="465"/>
      <c r="P100" s="466"/>
      <c r="Q100" s="500"/>
      <c r="R100" s="501"/>
      <c r="S100" s="501"/>
      <c r="T100" s="501"/>
      <c r="U100" s="501"/>
      <c r="V100" s="501"/>
      <c r="W100" s="501"/>
      <c r="X100" s="501"/>
      <c r="Y100" s="501"/>
      <c r="Z100" s="501"/>
      <c r="AA100" s="501"/>
      <c r="AB100" s="501"/>
      <c r="AC100" s="501"/>
    </row>
    <row r="101" s="198" customFormat="1" ht="15.75" spans="1:29">
      <c r="A101" s="383"/>
      <c r="B101" s="378"/>
      <c r="C101" s="379">
        <v>100</v>
      </c>
      <c r="D101" s="379">
        <f>C101-$K34</f>
        <v>100</v>
      </c>
      <c r="E101" s="379">
        <f t="shared" ref="E101:M101" si="24">D101-$K34</f>
        <v>100</v>
      </c>
      <c r="F101" s="379">
        <f t="shared" si="24"/>
        <v>100</v>
      </c>
      <c r="G101" s="379">
        <f t="shared" si="24"/>
        <v>100</v>
      </c>
      <c r="H101" s="379">
        <f t="shared" si="24"/>
        <v>100</v>
      </c>
      <c r="I101" s="379">
        <f t="shared" si="24"/>
        <v>100</v>
      </c>
      <c r="J101" s="379">
        <f t="shared" si="24"/>
        <v>100</v>
      </c>
      <c r="K101" s="379">
        <f t="shared" si="24"/>
        <v>100</v>
      </c>
      <c r="L101" s="379">
        <f t="shared" si="24"/>
        <v>100</v>
      </c>
      <c r="M101" s="379">
        <f t="shared" si="24"/>
        <v>100</v>
      </c>
      <c r="N101" s="465"/>
      <c r="O101" s="465"/>
      <c r="P101" s="466"/>
      <c r="Q101" s="500"/>
      <c r="R101" s="501"/>
      <c r="S101" s="501"/>
      <c r="T101" s="501"/>
      <c r="U101" s="501"/>
      <c r="V101" s="501"/>
      <c r="W101" s="501"/>
      <c r="X101" s="501"/>
      <c r="Y101" s="501"/>
      <c r="Z101" s="501"/>
      <c r="AA101" s="501"/>
      <c r="AB101" s="501"/>
      <c r="AC101" s="501"/>
    </row>
    <row r="102" ht="15.75" spans="1:29">
      <c r="A102" s="519"/>
      <c r="B102" s="388" t="s">
        <v>1578</v>
      </c>
      <c r="C102" s="384"/>
      <c r="D102" s="384"/>
      <c r="E102" s="384"/>
      <c r="F102" s="384"/>
      <c r="G102" s="384"/>
      <c r="H102" s="515"/>
      <c r="I102" s="515"/>
      <c r="J102" s="515"/>
      <c r="K102" s="525"/>
      <c r="L102" s="526"/>
      <c r="M102" s="527"/>
      <c r="N102" s="452"/>
      <c r="O102" s="452"/>
      <c r="P102" s="453"/>
      <c r="Q102" s="442"/>
      <c r="R102" s="349"/>
      <c r="S102" s="349"/>
      <c r="T102" s="349"/>
      <c r="U102" s="349"/>
      <c r="V102" s="349"/>
      <c r="W102" s="349"/>
      <c r="X102" s="349"/>
      <c r="Y102" s="349"/>
      <c r="Z102" s="349"/>
      <c r="AA102" s="349"/>
      <c r="AB102" s="349"/>
      <c r="AC102" s="349"/>
    </row>
    <row r="103" ht="15.75" spans="1:29">
      <c r="A103" s="373"/>
      <c r="B103" s="378"/>
      <c r="C103" s="379">
        <v>100</v>
      </c>
      <c r="D103" s="379">
        <f t="shared" ref="D103:M103" si="25">C103-$K35</f>
        <v>100</v>
      </c>
      <c r="E103" s="379">
        <f t="shared" si="25"/>
        <v>100</v>
      </c>
      <c r="F103" s="379">
        <f t="shared" si="25"/>
        <v>100</v>
      </c>
      <c r="G103" s="379">
        <f t="shared" si="25"/>
        <v>100</v>
      </c>
      <c r="H103" s="379">
        <f t="shared" si="25"/>
        <v>100</v>
      </c>
      <c r="I103" s="379">
        <f t="shared" si="25"/>
        <v>100</v>
      </c>
      <c r="J103" s="379">
        <f t="shared" si="25"/>
        <v>100</v>
      </c>
      <c r="K103" s="379">
        <f t="shared" si="25"/>
        <v>100</v>
      </c>
      <c r="L103" s="379">
        <f t="shared" si="25"/>
        <v>100</v>
      </c>
      <c r="M103" s="459">
        <f t="shared" si="25"/>
        <v>100</v>
      </c>
      <c r="N103" s="455"/>
      <c r="O103" s="455"/>
      <c r="P103" s="453"/>
      <c r="Q103" s="442"/>
      <c r="R103" s="349"/>
      <c r="S103" s="349"/>
      <c r="T103" s="349"/>
      <c r="U103" s="349"/>
      <c r="V103" s="349"/>
      <c r="W103" s="349"/>
      <c r="X103" s="349"/>
      <c r="Y103" s="349"/>
      <c r="Z103" s="349"/>
      <c r="AA103" s="349"/>
      <c r="AB103" s="349"/>
      <c r="AC103" s="349"/>
    </row>
    <row r="104" ht="15.75" spans="1:29">
      <c r="A104" s="519"/>
      <c r="B104" s="376" t="s">
        <v>1581</v>
      </c>
      <c r="C104" s="384"/>
      <c r="D104" s="384"/>
      <c r="E104" s="384"/>
      <c r="F104" s="384"/>
      <c r="G104" s="384"/>
      <c r="H104" s="515"/>
      <c r="I104" s="515"/>
      <c r="J104" s="515"/>
      <c r="K104" s="525"/>
      <c r="L104" s="526"/>
      <c r="M104" s="527"/>
      <c r="N104" s="452"/>
      <c r="O104" s="452"/>
      <c r="P104" s="453"/>
      <c r="Q104" s="442"/>
      <c r="R104" s="349"/>
      <c r="S104" s="349"/>
      <c r="T104" s="349"/>
      <c r="U104" s="349"/>
      <c r="V104" s="349"/>
      <c r="W104" s="349"/>
      <c r="X104" s="349"/>
      <c r="Y104" s="349"/>
      <c r="Z104" s="349"/>
      <c r="AA104" s="349"/>
      <c r="AB104" s="349"/>
      <c r="AC104" s="349"/>
    </row>
    <row r="105" ht="15.75" spans="1:29">
      <c r="A105" s="373"/>
      <c r="B105" s="378"/>
      <c r="C105" s="379">
        <v>100</v>
      </c>
      <c r="D105" s="379">
        <f>C105-$K36</f>
        <v>100</v>
      </c>
      <c r="E105" s="379">
        <f>D105-$K36</f>
        <v>100</v>
      </c>
      <c r="F105" s="379">
        <f>E105-$K36</f>
        <v>100</v>
      </c>
      <c r="G105" s="379">
        <f>F105-$K36</f>
        <v>100</v>
      </c>
      <c r="H105" s="379"/>
      <c r="I105" s="379"/>
      <c r="J105" s="379"/>
      <c r="K105" s="379"/>
      <c r="L105" s="379"/>
      <c r="M105" s="459"/>
      <c r="N105" s="455"/>
      <c r="O105" s="455"/>
      <c r="P105" s="453"/>
      <c r="Q105" s="442"/>
      <c r="R105" s="349"/>
      <c r="S105" s="349"/>
      <c r="T105" s="349"/>
      <c r="U105" s="349"/>
      <c r="V105" s="349"/>
      <c r="W105" s="349"/>
      <c r="X105" s="349"/>
      <c r="Y105" s="349"/>
      <c r="Z105" s="349"/>
      <c r="AA105" s="349"/>
      <c r="AB105" s="349"/>
      <c r="AC105" s="349"/>
    </row>
    <row r="106" ht="15.75" spans="1:29">
      <c r="A106" s="519"/>
      <c r="B106" s="522" t="s">
        <v>2386</v>
      </c>
      <c r="C106" s="389" t="s">
        <v>246</v>
      </c>
      <c r="D106" s="389" t="s">
        <v>258</v>
      </c>
      <c r="E106" s="389" t="s">
        <v>269</v>
      </c>
      <c r="F106" s="389" t="s">
        <v>279</v>
      </c>
      <c r="G106" s="389" t="s">
        <v>287</v>
      </c>
      <c r="H106" s="377"/>
      <c r="I106" s="377"/>
      <c r="J106" s="377"/>
      <c r="K106" s="456"/>
      <c r="L106" s="457"/>
      <c r="M106" s="458"/>
      <c r="N106" s="455"/>
      <c r="O106" s="455"/>
      <c r="P106" s="537"/>
      <c r="Q106" s="540"/>
      <c r="R106" s="349"/>
      <c r="S106" s="349"/>
      <c r="T106" s="349"/>
      <c r="U106" s="349"/>
      <c r="V106" s="349"/>
      <c r="W106" s="349"/>
      <c r="X106" s="349"/>
      <c r="Y106" s="349"/>
      <c r="Z106" s="349"/>
      <c r="AA106" s="349"/>
      <c r="AB106" s="349"/>
      <c r="AC106" s="349"/>
    </row>
    <row r="107" ht="15.75" spans="1:29">
      <c r="A107" s="373"/>
      <c r="B107" s="378"/>
      <c r="C107" s="518">
        <v>100</v>
      </c>
      <c r="D107" s="379">
        <f t="shared" ref="D107:M107" si="26">C107-$K37</f>
        <v>100</v>
      </c>
      <c r="E107" s="379">
        <f t="shared" si="26"/>
        <v>100</v>
      </c>
      <c r="F107" s="379">
        <f t="shared" si="26"/>
        <v>100</v>
      </c>
      <c r="G107" s="379">
        <f t="shared" si="26"/>
        <v>100</v>
      </c>
      <c r="H107" s="379">
        <f t="shared" si="26"/>
        <v>100</v>
      </c>
      <c r="I107" s="379">
        <f t="shared" si="26"/>
        <v>100</v>
      </c>
      <c r="J107" s="379">
        <f t="shared" si="26"/>
        <v>100</v>
      </c>
      <c r="K107" s="379">
        <f t="shared" si="26"/>
        <v>100</v>
      </c>
      <c r="L107" s="379">
        <f t="shared" si="26"/>
        <v>100</v>
      </c>
      <c r="M107" s="379">
        <f t="shared" si="26"/>
        <v>100</v>
      </c>
      <c r="N107" s="455"/>
      <c r="O107" s="455"/>
      <c r="P107" s="453"/>
      <c r="Q107" s="442"/>
      <c r="R107" s="349"/>
      <c r="S107" s="349"/>
      <c r="T107" s="349"/>
      <c r="U107" s="349"/>
      <c r="V107" s="349"/>
      <c r="W107" s="349"/>
      <c r="X107" s="349"/>
      <c r="Y107" s="349"/>
      <c r="Z107" s="349"/>
      <c r="AA107" s="349"/>
      <c r="AB107" s="349"/>
      <c r="AC107" s="349"/>
    </row>
    <row r="108" s="198" customFormat="1" ht="15.75" spans="1:29">
      <c r="A108" s="521"/>
      <c r="B108" s="376">
        <f>B38</f>
        <v>111</v>
      </c>
      <c r="C108" s="384"/>
      <c r="D108" s="384"/>
      <c r="E108" s="384"/>
      <c r="F108" s="384"/>
      <c r="G108" s="384"/>
      <c r="H108" s="385"/>
      <c r="I108" s="385"/>
      <c r="J108" s="385"/>
      <c r="K108" s="385"/>
      <c r="L108" s="463"/>
      <c r="M108" s="464"/>
      <c r="N108" s="465"/>
      <c r="O108" s="465"/>
      <c r="P108" s="466"/>
      <c r="Q108" s="500"/>
      <c r="R108" s="501"/>
      <c r="S108" s="501"/>
      <c r="T108" s="501"/>
      <c r="U108" s="501"/>
      <c r="V108" s="501"/>
      <c r="W108" s="501"/>
      <c r="X108" s="501"/>
      <c r="Y108" s="501"/>
      <c r="Z108" s="501"/>
      <c r="AA108" s="501"/>
      <c r="AB108" s="501"/>
      <c r="AC108" s="501"/>
    </row>
    <row r="109" s="198" customFormat="1" ht="15.75" spans="1:29">
      <c r="A109" s="383"/>
      <c r="B109" s="374"/>
      <c r="C109" s="382"/>
      <c r="D109" s="375"/>
      <c r="E109" s="375"/>
      <c r="F109" s="375"/>
      <c r="G109" s="382"/>
      <c r="H109" s="386"/>
      <c r="I109" s="386"/>
      <c r="J109" s="386"/>
      <c r="K109" s="386"/>
      <c r="L109" s="386"/>
      <c r="M109" s="467"/>
      <c r="N109" s="465"/>
      <c r="O109" s="465"/>
      <c r="P109" s="466"/>
      <c r="Q109" s="500"/>
      <c r="R109" s="501"/>
      <c r="S109" s="501"/>
      <c r="T109" s="501"/>
      <c r="U109" s="501"/>
      <c r="V109" s="501"/>
      <c r="W109" s="501"/>
      <c r="X109" s="501"/>
      <c r="Y109" s="501"/>
      <c r="Z109" s="501"/>
      <c r="AA109" s="501"/>
      <c r="AB109" s="501"/>
      <c r="AC109" s="501"/>
    </row>
    <row r="110" ht="15.75" spans="1:29">
      <c r="A110" s="519"/>
      <c r="B110" s="376">
        <f>B39</f>
        <v>111</v>
      </c>
      <c r="C110" s="384"/>
      <c r="D110" s="384"/>
      <c r="E110" s="384"/>
      <c r="F110" s="384"/>
      <c r="G110" s="384"/>
      <c r="H110" s="385"/>
      <c r="I110" s="385"/>
      <c r="J110" s="385"/>
      <c r="K110" s="385"/>
      <c r="L110" s="463"/>
      <c r="M110" s="464"/>
      <c r="N110" s="452"/>
      <c r="O110" s="452"/>
      <c r="P110" s="453"/>
      <c r="Q110" s="442"/>
      <c r="R110" s="349"/>
      <c r="S110" s="349"/>
      <c r="T110" s="349"/>
      <c r="U110" s="349"/>
      <c r="V110" s="349"/>
      <c r="W110" s="349"/>
      <c r="X110" s="349"/>
      <c r="Y110" s="349"/>
      <c r="Z110" s="349"/>
      <c r="AA110" s="349"/>
      <c r="AB110" s="349"/>
      <c r="AC110" s="349"/>
    </row>
    <row r="111" ht="15.75" spans="1:29">
      <c r="A111" s="373"/>
      <c r="B111" s="378"/>
      <c r="C111" s="382"/>
      <c r="D111" s="375"/>
      <c r="E111" s="375"/>
      <c r="F111" s="375"/>
      <c r="G111" s="382"/>
      <c r="H111" s="386"/>
      <c r="I111" s="386"/>
      <c r="J111" s="386"/>
      <c r="K111" s="386"/>
      <c r="L111" s="386"/>
      <c r="M111" s="467"/>
      <c r="N111" s="455"/>
      <c r="O111" s="455"/>
      <c r="P111" s="453"/>
      <c r="Q111" s="442"/>
      <c r="R111" s="349"/>
      <c r="S111" s="349"/>
      <c r="T111" s="349"/>
      <c r="U111" s="349"/>
      <c r="V111" s="349"/>
      <c r="W111" s="349"/>
      <c r="X111" s="349"/>
      <c r="Y111" s="349"/>
      <c r="Z111" s="349"/>
      <c r="AA111" s="349"/>
      <c r="AB111" s="349"/>
      <c r="AC111" s="349"/>
    </row>
    <row r="112" ht="15.75" spans="1:29">
      <c r="A112" s="519"/>
      <c r="B112" s="514">
        <f>B40</f>
        <v>111</v>
      </c>
      <c r="C112" s="368"/>
      <c r="D112" s="368"/>
      <c r="E112" s="368"/>
      <c r="F112" s="368"/>
      <c r="G112" s="600"/>
      <c r="H112" s="600"/>
      <c r="I112" s="600"/>
      <c r="J112" s="600"/>
      <c r="K112" s="368"/>
      <c r="L112" s="445"/>
      <c r="M112" s="610"/>
      <c r="N112" s="452"/>
      <c r="O112" s="452"/>
      <c r="P112" s="453"/>
      <c r="Q112" s="442"/>
      <c r="R112" s="349"/>
      <c r="S112" s="349"/>
      <c r="T112" s="349"/>
      <c r="U112" s="349"/>
      <c r="V112" s="349"/>
      <c r="W112" s="349"/>
      <c r="X112" s="349"/>
      <c r="Y112" s="349"/>
      <c r="Z112" s="349"/>
      <c r="AA112" s="349"/>
      <c r="AB112" s="349"/>
      <c r="AC112" s="349"/>
    </row>
    <row r="113" ht="15.75" spans="1:29">
      <c r="A113" s="601"/>
      <c r="B113" s="597"/>
      <c r="C113" s="598"/>
      <c r="D113" s="598"/>
      <c r="E113" s="598"/>
      <c r="F113" s="598"/>
      <c r="G113" s="602"/>
      <c r="H113" s="602"/>
      <c r="I113" s="602"/>
      <c r="J113" s="602"/>
      <c r="K113" s="602"/>
      <c r="L113" s="602"/>
      <c r="M113" s="611"/>
      <c r="N113" s="455"/>
      <c r="O113" s="455"/>
      <c r="P113" s="453"/>
      <c r="Q113" s="442"/>
      <c r="R113" s="349"/>
      <c r="S113" s="349"/>
      <c r="T113" s="349"/>
      <c r="U113" s="349"/>
      <c r="V113" s="349"/>
      <c r="W113" s="349"/>
      <c r="X113" s="349"/>
      <c r="Y113" s="349"/>
      <c r="Z113" s="349"/>
      <c r="AA113" s="349"/>
      <c r="AB113" s="349"/>
      <c r="AC113" s="349"/>
    </row>
    <row r="114" spans="1:29">
      <c r="A114" s="523"/>
      <c r="B114" s="523"/>
      <c r="C114" s="523"/>
      <c r="D114" s="523"/>
      <c r="E114" s="523"/>
      <c r="F114" s="523"/>
      <c r="G114" s="523"/>
      <c r="H114" s="523"/>
      <c r="I114" s="523"/>
      <c r="J114" s="523"/>
      <c r="K114" s="538"/>
      <c r="L114" s="539"/>
      <c r="M114" s="523"/>
      <c r="N114" s="523"/>
      <c r="O114" s="523"/>
      <c r="P114" s="523"/>
      <c r="Q114" s="523"/>
      <c r="R114" s="523"/>
      <c r="S114" s="523"/>
      <c r="T114" s="523"/>
      <c r="U114" s="523"/>
      <c r="V114" s="523"/>
      <c r="W114" s="523"/>
      <c r="X114" s="523"/>
      <c r="Y114" s="523"/>
      <c r="Z114" s="523"/>
      <c r="AA114" s="523"/>
      <c r="AB114" s="523"/>
      <c r="AC114" s="523"/>
    </row>
    <row r="115" spans="1:29">
      <c r="A115" s="523"/>
      <c r="B115" s="523"/>
      <c r="C115" s="523"/>
      <c r="D115" s="523"/>
      <c r="E115" s="523"/>
      <c r="F115" s="523"/>
      <c r="G115" s="523"/>
      <c r="H115" s="523"/>
      <c r="I115" s="523"/>
      <c r="J115" s="523"/>
      <c r="K115" s="538"/>
      <c r="L115" s="539"/>
      <c r="M115" s="523"/>
      <c r="N115" s="523"/>
      <c r="O115" s="523"/>
      <c r="P115" s="523"/>
      <c r="Q115" s="523"/>
      <c r="R115" s="523"/>
      <c r="S115" s="523"/>
      <c r="T115" s="523"/>
      <c r="U115" s="523"/>
      <c r="V115" s="523"/>
      <c r="W115" s="523"/>
      <c r="X115" s="523"/>
      <c r="Y115" s="523"/>
      <c r="Z115" s="523"/>
      <c r="AA115" s="523"/>
      <c r="AB115" s="523"/>
      <c r="AC115" s="523"/>
    </row>
    <row r="116" spans="1:29">
      <c r="A116" s="523"/>
      <c r="B116" s="523"/>
      <c r="C116" s="523"/>
      <c r="D116" s="523"/>
      <c r="E116" s="523"/>
      <c r="F116" s="523"/>
      <c r="G116" s="523"/>
      <c r="H116" s="523"/>
      <c r="I116" s="523"/>
      <c r="J116" s="523"/>
      <c r="K116" s="538"/>
      <c r="L116" s="539"/>
      <c r="M116" s="523"/>
      <c r="N116" s="523"/>
      <c r="O116" s="523"/>
      <c r="P116" s="523"/>
      <c r="Q116" s="523"/>
      <c r="R116" s="523"/>
      <c r="S116" s="523"/>
      <c r="T116" s="523"/>
      <c r="U116" s="523"/>
      <c r="V116" s="523"/>
      <c r="W116" s="523"/>
      <c r="X116" s="523"/>
      <c r="Y116" s="523"/>
      <c r="Z116" s="523"/>
      <c r="AA116" s="523"/>
      <c r="AB116" s="523"/>
      <c r="AC116" s="523"/>
    </row>
    <row r="117" spans="1:29">
      <c r="A117" s="523"/>
      <c r="B117" s="523"/>
      <c r="C117" s="523"/>
      <c r="D117" s="523"/>
      <c r="E117" s="523"/>
      <c r="F117" s="523"/>
      <c r="G117" s="523"/>
      <c r="H117" s="523"/>
      <c r="I117" s="523"/>
      <c r="J117" s="523"/>
      <c r="K117" s="538"/>
      <c r="L117" s="539"/>
      <c r="M117" s="523"/>
      <c r="N117" s="523"/>
      <c r="O117" s="523"/>
      <c r="P117" s="523"/>
      <c r="Q117" s="523"/>
      <c r="R117" s="523"/>
      <c r="S117" s="523"/>
      <c r="T117" s="523"/>
      <c r="U117" s="523"/>
      <c r="V117" s="523"/>
      <c r="W117" s="523"/>
      <c r="X117" s="523"/>
      <c r="Y117" s="523"/>
      <c r="Z117" s="523"/>
      <c r="AA117" s="523"/>
      <c r="AB117" s="523"/>
      <c r="AC117" s="523"/>
    </row>
    <row r="118" spans="1:29">
      <c r="A118" s="523"/>
      <c r="B118" s="523"/>
      <c r="C118" s="523"/>
      <c r="D118" s="523"/>
      <c r="E118" s="523"/>
      <c r="F118" s="523"/>
      <c r="G118" s="523"/>
      <c r="H118" s="523"/>
      <c r="I118" s="523"/>
      <c r="J118" s="523"/>
      <c r="K118" s="538"/>
      <c r="L118" s="539"/>
      <c r="M118" s="523"/>
      <c r="N118" s="523"/>
      <c r="O118" s="523"/>
      <c r="P118" s="523"/>
      <c r="Q118" s="523"/>
      <c r="R118" s="523"/>
      <c r="S118" s="523"/>
      <c r="T118" s="523"/>
      <c r="U118" s="523"/>
      <c r="V118" s="523"/>
      <c r="W118" s="523"/>
      <c r="X118" s="523"/>
      <c r="Y118" s="523"/>
      <c r="Z118" s="523"/>
      <c r="AA118" s="523"/>
      <c r="AB118" s="523"/>
      <c r="AC118" s="523"/>
    </row>
    <row r="119" spans="1:29">
      <c r="A119" s="523"/>
      <c r="B119" s="523"/>
      <c r="C119" s="523"/>
      <c r="D119" s="523"/>
      <c r="E119" s="523"/>
      <c r="F119" s="523"/>
      <c r="G119" s="523"/>
      <c r="H119" s="523"/>
      <c r="I119" s="523"/>
      <c r="J119" s="523"/>
      <c r="K119" s="538"/>
      <c r="L119" s="539"/>
      <c r="M119" s="523"/>
      <c r="N119" s="523"/>
      <c r="O119" s="523"/>
      <c r="P119" s="523"/>
      <c r="Q119" s="523"/>
      <c r="R119" s="523"/>
      <c r="S119" s="523"/>
      <c r="T119" s="523"/>
      <c r="U119" s="523"/>
      <c r="V119" s="523"/>
      <c r="W119" s="523"/>
      <c r="X119" s="523"/>
      <c r="Y119" s="523"/>
      <c r="Z119" s="523"/>
      <c r="AA119" s="523"/>
      <c r="AB119" s="523"/>
      <c r="AC119" s="523"/>
    </row>
    <row r="120" spans="1:29">
      <c r="A120" s="523"/>
      <c r="B120" s="523"/>
      <c r="C120" s="523"/>
      <c r="D120" s="523"/>
      <c r="E120" s="523"/>
      <c r="F120" s="523"/>
      <c r="G120" s="523"/>
      <c r="H120" s="523"/>
      <c r="I120" s="523"/>
      <c r="J120" s="523"/>
      <c r="K120" s="538"/>
      <c r="L120" s="539"/>
      <c r="M120" s="523"/>
      <c r="N120" s="523"/>
      <c r="O120" s="523"/>
      <c r="P120" s="523"/>
      <c r="Q120" s="523"/>
      <c r="R120" s="523"/>
      <c r="S120" s="523"/>
      <c r="T120" s="523"/>
      <c r="U120" s="523"/>
      <c r="V120" s="523"/>
      <c r="W120" s="523"/>
      <c r="X120" s="523"/>
      <c r="Y120" s="523"/>
      <c r="Z120" s="523"/>
      <c r="AA120" s="523"/>
      <c r="AB120" s="523"/>
      <c r="AC120" s="523"/>
    </row>
    <row r="121" spans="1:29">
      <c r="A121" s="523"/>
      <c r="B121" s="523"/>
      <c r="C121" s="523"/>
      <c r="D121" s="523"/>
      <c r="E121" s="523"/>
      <c r="F121" s="523"/>
      <c r="G121" s="523"/>
      <c r="H121" s="523"/>
      <c r="I121" s="523"/>
      <c r="J121" s="523"/>
      <c r="K121" s="538"/>
      <c r="L121" s="539"/>
      <c r="M121" s="523"/>
      <c r="N121" s="523"/>
      <c r="O121" s="523"/>
      <c r="P121" s="523"/>
      <c r="Q121" s="523"/>
      <c r="R121" s="523"/>
      <c r="S121" s="523"/>
      <c r="T121" s="523"/>
      <c r="U121" s="523"/>
      <c r="V121" s="523"/>
      <c r="W121" s="523"/>
      <c r="X121" s="523"/>
      <c r="Y121" s="523"/>
      <c r="Z121" s="523"/>
      <c r="AA121" s="523"/>
      <c r="AB121" s="523"/>
      <c r="AC121" s="523"/>
    </row>
    <row r="122" spans="1:29">
      <c r="A122" s="523"/>
      <c r="B122" s="523"/>
      <c r="C122" s="523"/>
      <c r="D122" s="523"/>
      <c r="E122" s="523"/>
      <c r="F122" s="523"/>
      <c r="G122" s="523"/>
      <c r="H122" s="523"/>
      <c r="I122" s="523"/>
      <c r="J122" s="523"/>
      <c r="K122" s="538"/>
      <c r="L122" s="539"/>
      <c r="M122" s="523"/>
      <c r="N122" s="523"/>
      <c r="O122" s="523"/>
      <c r="P122" s="523"/>
      <c r="Q122" s="523"/>
      <c r="R122" s="523"/>
      <c r="S122" s="523"/>
      <c r="T122" s="523"/>
      <c r="U122" s="523"/>
      <c r="V122" s="523"/>
      <c r="W122" s="523"/>
      <c r="X122" s="523"/>
      <c r="Y122" s="523"/>
      <c r="Z122" s="523"/>
      <c r="AA122" s="523"/>
      <c r="AB122" s="523"/>
      <c r="AC122" s="523"/>
    </row>
    <row r="123" spans="1:29">
      <c r="A123" s="523"/>
      <c r="B123" s="523"/>
      <c r="C123" s="523"/>
      <c r="D123" s="523"/>
      <c r="E123" s="523"/>
      <c r="F123" s="523"/>
      <c r="G123" s="523"/>
      <c r="H123" s="523"/>
      <c r="I123" s="523"/>
      <c r="J123" s="523"/>
      <c r="K123" s="538"/>
      <c r="L123" s="539"/>
      <c r="M123" s="523"/>
      <c r="N123" s="523"/>
      <c r="O123" s="523"/>
      <c r="P123" s="523"/>
      <c r="Q123" s="523"/>
      <c r="R123" s="523"/>
      <c r="S123" s="523"/>
      <c r="T123" s="523"/>
      <c r="U123" s="523"/>
      <c r="V123" s="523"/>
      <c r="W123" s="523"/>
      <c r="X123" s="523"/>
      <c r="Y123" s="523"/>
      <c r="Z123" s="523"/>
      <c r="AA123" s="523"/>
      <c r="AB123" s="523"/>
      <c r="AC123" s="523"/>
    </row>
    <row r="124" spans="1:29">
      <c r="A124" s="523"/>
      <c r="B124" s="523"/>
      <c r="C124" s="523"/>
      <c r="D124" s="523"/>
      <c r="E124" s="523"/>
      <c r="F124" s="523"/>
      <c r="G124" s="523"/>
      <c r="H124" s="523"/>
      <c r="I124" s="523"/>
      <c r="J124" s="523"/>
      <c r="K124" s="538"/>
      <c r="L124" s="539"/>
      <c r="M124" s="523"/>
      <c r="N124" s="523"/>
      <c r="O124" s="523"/>
      <c r="P124" s="523"/>
      <c r="Q124" s="523"/>
      <c r="R124" s="523"/>
      <c r="S124" s="523"/>
      <c r="T124" s="523"/>
      <c r="U124" s="523"/>
      <c r="V124" s="523"/>
      <c r="W124" s="523"/>
      <c r="X124" s="523"/>
      <c r="Y124" s="523"/>
      <c r="Z124" s="523"/>
      <c r="AA124" s="523"/>
      <c r="AB124" s="523"/>
      <c r="AC124" s="523"/>
    </row>
    <row r="125" spans="1:29">
      <c r="A125" s="523"/>
      <c r="B125" s="523"/>
      <c r="C125" s="523"/>
      <c r="D125" s="523"/>
      <c r="E125" s="523"/>
      <c r="F125" s="523"/>
      <c r="G125" s="523"/>
      <c r="H125" s="523"/>
      <c r="I125" s="523"/>
      <c r="J125" s="523"/>
      <c r="K125" s="538"/>
      <c r="L125" s="539"/>
      <c r="M125" s="523"/>
      <c r="N125" s="523"/>
      <c r="O125" s="523"/>
      <c r="P125" s="523"/>
      <c r="Q125" s="523"/>
      <c r="R125" s="523"/>
      <c r="S125" s="523"/>
      <c r="T125" s="523"/>
      <c r="U125" s="523"/>
      <c r="V125" s="523"/>
      <c r="W125" s="523"/>
      <c r="X125" s="523"/>
      <c r="Y125" s="523"/>
      <c r="Z125" s="523"/>
      <c r="AA125" s="523"/>
      <c r="AB125" s="523"/>
      <c r="AC125" s="523"/>
    </row>
    <row r="126" spans="1:29">
      <c r="A126" s="523"/>
      <c r="B126" s="523"/>
      <c r="C126" s="523"/>
      <c r="D126" s="523"/>
      <c r="E126" s="523"/>
      <c r="F126" s="523"/>
      <c r="G126" s="523"/>
      <c r="H126" s="523"/>
      <c r="I126" s="523"/>
      <c r="J126" s="523"/>
      <c r="K126" s="538"/>
      <c r="L126" s="539"/>
      <c r="M126" s="523"/>
      <c r="N126" s="523"/>
      <c r="O126" s="523"/>
      <c r="P126" s="523"/>
      <c r="Q126" s="523"/>
      <c r="R126" s="523"/>
      <c r="S126" s="523"/>
      <c r="T126" s="523"/>
      <c r="U126" s="523"/>
      <c r="V126" s="523"/>
      <c r="W126" s="523"/>
      <c r="X126" s="523"/>
      <c r="Y126" s="523"/>
      <c r="Z126" s="523"/>
      <c r="AA126" s="523"/>
      <c r="AB126" s="523"/>
      <c r="AC126" s="523"/>
    </row>
    <row r="127" spans="1:29">
      <c r="A127" s="523"/>
      <c r="B127" s="523"/>
      <c r="C127" s="523"/>
      <c r="D127" s="523"/>
      <c r="E127" s="523"/>
      <c r="F127" s="523"/>
      <c r="G127" s="523"/>
      <c r="H127" s="523"/>
      <c r="I127" s="523"/>
      <c r="J127" s="523"/>
      <c r="K127" s="538"/>
      <c r="L127" s="539"/>
      <c r="M127" s="523"/>
      <c r="N127" s="523"/>
      <c r="O127" s="523"/>
      <c r="P127" s="523"/>
      <c r="Q127" s="523"/>
      <c r="R127" s="523"/>
      <c r="S127" s="523"/>
      <c r="T127" s="523"/>
      <c r="U127" s="523"/>
      <c r="V127" s="523"/>
      <c r="W127" s="523"/>
      <c r="X127" s="523"/>
      <c r="Y127" s="523"/>
      <c r="Z127" s="523"/>
      <c r="AA127" s="523"/>
      <c r="AB127" s="523"/>
      <c r="AC127" s="523"/>
    </row>
    <row r="128" spans="1:29">
      <c r="A128" s="523"/>
      <c r="B128" s="523"/>
      <c r="C128" s="523"/>
      <c r="D128" s="523"/>
      <c r="E128" s="523"/>
      <c r="F128" s="523"/>
      <c r="G128" s="523"/>
      <c r="H128" s="523"/>
      <c r="I128" s="523"/>
      <c r="J128" s="523"/>
      <c r="K128" s="538"/>
      <c r="L128" s="539"/>
      <c r="M128" s="523"/>
      <c r="N128" s="523"/>
      <c r="O128" s="523"/>
      <c r="P128" s="523"/>
      <c r="Q128" s="523"/>
      <c r="R128" s="523"/>
      <c r="S128" s="523"/>
      <c r="T128" s="523"/>
      <c r="U128" s="523"/>
      <c r="V128" s="523"/>
      <c r="W128" s="523"/>
      <c r="X128" s="523"/>
      <c r="Y128" s="523"/>
      <c r="Z128" s="523"/>
      <c r="AA128" s="523"/>
      <c r="AB128" s="523"/>
      <c r="AC128" s="523"/>
    </row>
    <row r="129" spans="1:29">
      <c r="A129" s="523"/>
      <c r="B129" s="523"/>
      <c r="C129" s="523"/>
      <c r="D129" s="523"/>
      <c r="E129" s="523"/>
      <c r="F129" s="523"/>
      <c r="G129" s="523"/>
      <c r="H129" s="523"/>
      <c r="I129" s="523"/>
      <c r="J129" s="523"/>
      <c r="K129" s="538"/>
      <c r="L129" s="539"/>
      <c r="M129" s="523"/>
      <c r="N129" s="523"/>
      <c r="O129" s="523"/>
      <c r="P129" s="523"/>
      <c r="Q129" s="523"/>
      <c r="R129" s="523"/>
      <c r="S129" s="523"/>
      <c r="T129" s="523"/>
      <c r="U129" s="523"/>
      <c r="V129" s="523"/>
      <c r="W129" s="523"/>
      <c r="X129" s="523"/>
      <c r="Y129" s="523"/>
      <c r="Z129" s="523"/>
      <c r="AA129" s="523"/>
      <c r="AB129" s="523"/>
      <c r="AC129" s="523"/>
    </row>
    <row r="130" spans="1:29">
      <c r="A130" s="523"/>
      <c r="B130" s="523"/>
      <c r="C130" s="523"/>
      <c r="D130" s="523"/>
      <c r="E130" s="523"/>
      <c r="F130" s="523"/>
      <c r="G130" s="523"/>
      <c r="H130" s="523"/>
      <c r="I130" s="523"/>
      <c r="J130" s="523"/>
      <c r="K130" s="538"/>
      <c r="L130" s="539"/>
      <c r="M130" s="523"/>
      <c r="N130" s="523"/>
      <c r="O130" s="523"/>
      <c r="P130" s="523"/>
      <c r="Q130" s="523"/>
      <c r="R130" s="523"/>
      <c r="S130" s="523"/>
      <c r="T130" s="523"/>
      <c r="U130" s="523"/>
      <c r="V130" s="523"/>
      <c r="W130" s="523"/>
      <c r="X130" s="523"/>
      <c r="Y130" s="523"/>
      <c r="Z130" s="523"/>
      <c r="AA130" s="523"/>
      <c r="AB130" s="523"/>
      <c r="AC130" s="523"/>
    </row>
    <row r="131" spans="1:29">
      <c r="A131" s="523"/>
      <c r="B131" s="523"/>
      <c r="C131" s="523"/>
      <c r="D131" s="523"/>
      <c r="E131" s="523"/>
      <c r="F131" s="523"/>
      <c r="G131" s="523"/>
      <c r="H131" s="523"/>
      <c r="I131" s="523"/>
      <c r="J131" s="523"/>
      <c r="K131" s="538"/>
      <c r="L131" s="539"/>
      <c r="M131" s="523"/>
      <c r="N131" s="523"/>
      <c r="O131" s="523"/>
      <c r="P131" s="523"/>
      <c r="Q131" s="523"/>
      <c r="R131" s="523"/>
      <c r="S131" s="523"/>
      <c r="T131" s="523"/>
      <c r="U131" s="523"/>
      <c r="V131" s="523"/>
      <c r="W131" s="523"/>
      <c r="X131" s="523"/>
      <c r="Y131" s="523"/>
      <c r="Z131" s="523"/>
      <c r="AA131" s="523"/>
      <c r="AB131" s="523"/>
      <c r="AC131" s="523"/>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row r="236" spans="14:29">
      <c r="N236" s="523"/>
      <c r="O236" s="523"/>
      <c r="P236" s="523"/>
      <c r="Q236" s="523"/>
      <c r="R236" s="523"/>
      <c r="S236" s="523"/>
      <c r="T236" s="523"/>
      <c r="U236" s="523"/>
      <c r="V236" s="523"/>
      <c r="W236" s="523"/>
      <c r="X236" s="523"/>
      <c r="Y236" s="523"/>
      <c r="Z236" s="523"/>
      <c r="AA236" s="523"/>
      <c r="AB236" s="523"/>
      <c r="AC236"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7" priority="4">
      <formula>$D$42="简单平均"</formula>
    </cfRule>
  </conditionalFormatting>
  <conditionalFormatting sqref="H42">
    <cfRule type="expression" dxfId="7" priority="3">
      <formula>$D$42="简单平均"</formula>
    </cfRule>
  </conditionalFormatting>
  <conditionalFormatting sqref="J42">
    <cfRule type="expression" dxfId="7"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8"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18">
    <dataValidation type="list" allowBlank="1" showInputMessage="1" showErrorMessage="1" sqref="C29 E29 G29 I29">
      <formula1>工业建筑类型</formula1>
    </dataValidation>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D42">
      <formula1>"简单平均,加权平均"</formula1>
    </dataValidation>
    <dataValidation type="list" allowBlank="1" showInputMessage="1" showErrorMessage="1" sqref="C22 E22 G22 I22">
      <formula1>基础设施水平</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7 E37 G37 I37">
      <formula1>内部装修维护情况</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235"/>
  <sheetViews>
    <sheetView view="pageBreakPreview" zoomScale="60" zoomScaleNormal="60" workbookViewId="0">
      <selection activeCell="D31" sqref="D31"/>
    </sheetView>
  </sheetViews>
  <sheetFormatPr defaultColWidth="9" defaultRowHeight="14.25"/>
  <cols>
    <col min="1" max="1" width="10.5" style="201" customWidth="1"/>
    <col min="2" max="2" width="15.75" style="201" customWidth="1"/>
    <col min="3" max="3" width="14.375" style="201" customWidth="1"/>
    <col min="4" max="4" width="12.25" style="201" customWidth="1"/>
    <col min="5" max="5" width="14.375" style="201" customWidth="1"/>
    <col min="6" max="6" width="12.25" style="201" customWidth="1"/>
    <col min="7" max="7" width="14.5" style="201" customWidth="1"/>
    <col min="8" max="8" width="12.25" style="201" customWidth="1"/>
    <col min="9" max="9" width="14.5" style="201" customWidth="1"/>
    <col min="10" max="10" width="12.25" style="201" customWidth="1"/>
    <col min="11" max="11" width="12.25" style="202" customWidth="1"/>
    <col min="12" max="12" width="12.25" style="203" customWidth="1"/>
    <col min="13" max="15" width="12.25" style="201" customWidth="1"/>
    <col min="16" max="16" width="4.75" style="201" customWidth="1"/>
    <col min="17" max="17" width="19.5" style="201" customWidth="1"/>
    <col min="18" max="22" width="6.125" style="201" customWidth="1"/>
    <col min="23" max="23" width="5.75" style="201" customWidth="1"/>
    <col min="24" max="24" width="4.25" style="201" customWidth="1"/>
    <col min="25" max="25" width="3.5" style="201" customWidth="1"/>
    <col min="26" max="26" width="19.75" style="201" customWidth="1"/>
    <col min="27" max="28" width="9.375" style="201" customWidth="1"/>
    <col min="29" max="16384" width="9" style="201"/>
  </cols>
  <sheetData>
    <row r="1" s="195" customFormat="1" ht="28.5" customHeight="1" spans="1:29">
      <c r="A1" s="204" t="s">
        <v>1556</v>
      </c>
      <c r="B1" s="205"/>
      <c r="C1" s="206" t="s">
        <v>1558</v>
      </c>
      <c r="D1" s="207"/>
      <c r="E1" s="208"/>
      <c r="F1" s="209"/>
      <c r="G1" s="210" t="s">
        <v>1559</v>
      </c>
      <c r="H1" s="208"/>
      <c r="I1" s="208"/>
      <c r="J1" s="208"/>
      <c r="K1" s="390"/>
      <c r="L1" s="391"/>
      <c r="M1" s="392"/>
      <c r="N1" s="392"/>
      <c r="O1" s="392"/>
      <c r="P1" s="393"/>
      <c r="Q1" s="393"/>
      <c r="R1" s="393"/>
      <c r="S1" s="393"/>
      <c r="T1" s="393"/>
      <c r="U1" s="393"/>
      <c r="V1" s="393"/>
      <c r="W1" s="393"/>
      <c r="X1" s="393"/>
      <c r="Y1" s="393"/>
      <c r="Z1" s="393"/>
      <c r="AA1" s="393"/>
      <c r="AB1" s="393"/>
      <c r="AC1" s="503"/>
    </row>
    <row r="2" s="195" customFormat="1" ht="28.5" customHeight="1" spans="1:29">
      <c r="A2" s="211" t="s">
        <v>1202</v>
      </c>
      <c r="B2" s="212" t="e">
        <f>IF(B37="元/平方米",ROUND(B3*D3/10000,0),ROUND(F3*C39/10000,0))</f>
        <v>#DIV/0!</v>
      </c>
      <c r="C2" s="213"/>
      <c r="D2" s="213"/>
      <c r="E2" s="214"/>
      <c r="F2" s="215"/>
      <c r="G2" s="214"/>
      <c r="H2" s="214"/>
      <c r="I2" s="214"/>
      <c r="J2" s="214"/>
      <c r="K2" s="394"/>
      <c r="L2" s="395"/>
      <c r="M2" s="393"/>
      <c r="N2" s="393"/>
      <c r="O2" s="393"/>
      <c r="P2" s="393"/>
      <c r="Q2" s="393"/>
      <c r="R2" s="393"/>
      <c r="S2" s="393"/>
      <c r="T2" s="393"/>
      <c r="U2" s="393"/>
      <c r="V2" s="393"/>
      <c r="W2" s="393"/>
      <c r="X2" s="393"/>
      <c r="Y2" s="393"/>
      <c r="Z2" s="393"/>
      <c r="AA2" s="393"/>
      <c r="AB2" s="393"/>
      <c r="AC2" s="503"/>
    </row>
    <row r="3" s="195" customFormat="1" ht="28.5" customHeight="1" spans="1:29">
      <c r="A3" s="216" t="s">
        <v>1368</v>
      </c>
      <c r="B3" s="217" t="e">
        <f>IF(B37="元/平方米",C39,ROUND(B2*10000/D3,0))</f>
        <v>#DIV/0!</v>
      </c>
      <c r="C3" s="218" t="s">
        <v>1560</v>
      </c>
      <c r="D3" s="219">
        <f>SUMIF('数据-汇总表'!$C19:$C33,D1,'数据-汇总表'!$E19:$E33)</f>
        <v>0</v>
      </c>
      <c r="E3" s="541" t="s">
        <v>2387</v>
      </c>
      <c r="F3" s="219">
        <f>SUMIF('数据-取费表'!A5:A15,D1,'数据-取费表'!AH5:AH15)</f>
        <v>0</v>
      </c>
      <c r="G3" s="214"/>
      <c r="H3" s="214"/>
      <c r="I3" s="214"/>
      <c r="J3" s="214"/>
      <c r="K3" s="394"/>
      <c r="L3" s="395"/>
      <c r="M3" s="393"/>
      <c r="N3" s="393"/>
      <c r="O3" s="393"/>
      <c r="P3" s="393"/>
      <c r="Q3" s="393"/>
      <c r="R3" s="393"/>
      <c r="S3" s="393"/>
      <c r="T3" s="393"/>
      <c r="U3" s="393"/>
      <c r="V3" s="393"/>
      <c r="W3" s="393"/>
      <c r="X3" s="393"/>
      <c r="Y3" s="393"/>
      <c r="Z3" s="393"/>
      <c r="AA3" s="393"/>
      <c r="AB3" s="504"/>
      <c r="AC3" s="505"/>
    </row>
    <row r="4" ht="15" spans="1:29">
      <c r="A4" s="220" t="s">
        <v>1284</v>
      </c>
      <c r="B4" s="221"/>
      <c r="C4" s="222" t="s">
        <v>1285</v>
      </c>
      <c r="D4" s="223"/>
      <c r="E4" s="222" t="s">
        <v>1286</v>
      </c>
      <c r="F4" s="223"/>
      <c r="G4" s="222" t="s">
        <v>1287</v>
      </c>
      <c r="H4" s="223"/>
      <c r="I4" s="222" t="s">
        <v>1288</v>
      </c>
      <c r="J4" s="223"/>
      <c r="K4" s="396" t="s">
        <v>1289</v>
      </c>
      <c r="L4" s="397"/>
      <c r="M4" s="398"/>
      <c r="N4" s="398"/>
      <c r="O4" s="398"/>
      <c r="P4" s="399" t="s">
        <v>1290</v>
      </c>
      <c r="Q4" s="472"/>
      <c r="R4" s="473" t="s">
        <v>1286</v>
      </c>
      <c r="S4" s="474"/>
      <c r="T4" s="473" t="s">
        <v>1287</v>
      </c>
      <c r="U4" s="474"/>
      <c r="V4" s="475" t="s">
        <v>1288</v>
      </c>
      <c r="W4" s="475"/>
      <c r="X4" s="476"/>
      <c r="Y4" s="473" t="s">
        <v>1290</v>
      </c>
      <c r="Z4" s="474"/>
      <c r="AA4" s="506" t="s">
        <v>1286</v>
      </c>
      <c r="AB4" s="476" t="s">
        <v>1287</v>
      </c>
      <c r="AC4" s="506" t="s">
        <v>1288</v>
      </c>
    </row>
    <row r="5" ht="15" spans="1:29">
      <c r="A5" s="226"/>
      <c r="B5" s="227"/>
      <c r="C5" s="228" t="s">
        <v>1291</v>
      </c>
      <c r="D5" s="229"/>
      <c r="E5" s="228" t="s">
        <v>1292</v>
      </c>
      <c r="F5" s="229"/>
      <c r="G5" s="228" t="s">
        <v>1293</v>
      </c>
      <c r="H5" s="229"/>
      <c r="I5" s="228" t="s">
        <v>1294</v>
      </c>
      <c r="J5" s="229"/>
      <c r="K5" s="396"/>
      <c r="L5" s="397"/>
      <c r="M5" s="398"/>
      <c r="N5" s="398"/>
      <c r="O5" s="398"/>
      <c r="P5" s="400"/>
      <c r="Q5" s="477"/>
      <c r="R5" s="478"/>
      <c r="S5" s="479"/>
      <c r="T5" s="478"/>
      <c r="U5" s="479"/>
      <c r="V5" s="475"/>
      <c r="W5" s="475"/>
      <c r="X5" s="476"/>
      <c r="Y5" s="478"/>
      <c r="Z5" s="479"/>
      <c r="AA5" s="476"/>
      <c r="AB5" s="476"/>
      <c r="AC5" s="476"/>
    </row>
    <row r="6" ht="15.75" spans="1:29">
      <c r="A6" s="232"/>
      <c r="B6" s="233"/>
      <c r="C6" s="234" t="s">
        <v>1295</v>
      </c>
      <c r="D6" s="235"/>
      <c r="E6" s="542" t="s">
        <v>1295</v>
      </c>
      <c r="F6" s="543"/>
      <c r="G6" s="234" t="s">
        <v>1295</v>
      </c>
      <c r="H6" s="235"/>
      <c r="I6" s="234" t="s">
        <v>1295</v>
      </c>
      <c r="J6" s="235"/>
      <c r="K6" s="396" t="s">
        <v>1296</v>
      </c>
      <c r="L6" s="397"/>
      <c r="M6" s="398"/>
      <c r="N6" s="398"/>
      <c r="O6" s="398"/>
      <c r="P6" s="401"/>
      <c r="Q6" s="480"/>
      <c r="R6" s="478"/>
      <c r="S6" s="479"/>
      <c r="T6" s="481"/>
      <c r="U6" s="482"/>
      <c r="V6" s="475"/>
      <c r="W6" s="475"/>
      <c r="X6" s="476"/>
      <c r="Y6" s="481"/>
      <c r="Z6" s="482"/>
      <c r="AA6" s="507"/>
      <c r="AB6" s="507"/>
      <c r="AC6" s="507"/>
    </row>
    <row r="7" s="196" customFormat="1" ht="15.75" spans="1:29">
      <c r="A7" s="238"/>
      <c r="B7" s="239" t="s">
        <v>1297</v>
      </c>
      <c r="C7" s="240">
        <f>'数据-取费表'!B2</f>
        <v>44519</v>
      </c>
      <c r="D7" s="241">
        <v>100</v>
      </c>
      <c r="E7" s="242"/>
      <c r="F7" s="243">
        <f>SUMIF(48:48,YEAR(E7)&amp;"-"&amp;MONTH(E7),49:49)</f>
        <v>0</v>
      </c>
      <c r="G7" s="244"/>
      <c r="H7" s="241">
        <f>SUMIF(48:48,YEAR(G7)&amp;"-"&amp;MONTH(G7),49:49)</f>
        <v>0</v>
      </c>
      <c r="I7" s="244"/>
      <c r="J7" s="241">
        <f>SUMIF(48:48,YEAR(I7)&amp;"-"&amp;MONTH(I7),49:49)</f>
        <v>0</v>
      </c>
      <c r="K7" s="402"/>
      <c r="L7" s="403"/>
      <c r="M7" s="404"/>
      <c r="N7" s="404"/>
      <c r="O7" s="404"/>
      <c r="P7" s="405" t="s">
        <v>1298</v>
      </c>
      <c r="Q7" s="483"/>
      <c r="R7" s="484" t="s">
        <v>1299</v>
      </c>
      <c r="S7" s="485">
        <f t="shared" ref="S7:S14" si="0">F7</f>
        <v>0</v>
      </c>
      <c r="T7" s="484" t="s">
        <v>1299</v>
      </c>
      <c r="U7" s="485">
        <f t="shared" ref="U7:U14" si="1">H7</f>
        <v>0</v>
      </c>
      <c r="V7" s="484" t="s">
        <v>1299</v>
      </c>
      <c r="W7" s="485">
        <f t="shared" ref="W7:W14" si="2">J7</f>
        <v>0</v>
      </c>
      <c r="X7" s="486"/>
      <c r="Y7" s="405" t="s">
        <v>1298</v>
      </c>
      <c r="Z7" s="487"/>
      <c r="AA7" s="508" t="e">
        <f>D7/F7</f>
        <v>#DIV/0!</v>
      </c>
      <c r="AB7" s="508" t="e">
        <f>D7/H7</f>
        <v>#DIV/0!</v>
      </c>
      <c r="AC7" s="508" t="e">
        <f>D7/J7</f>
        <v>#DIV/0!</v>
      </c>
    </row>
    <row r="8" s="196" customFormat="1" ht="15.75" spans="1:29">
      <c r="A8" s="245"/>
      <c r="B8" s="246" t="s">
        <v>1300</v>
      </c>
      <c r="C8" s="247" t="s">
        <v>1301</v>
      </c>
      <c r="D8" s="241">
        <v>100</v>
      </c>
      <c r="E8" s="247"/>
      <c r="F8" s="243">
        <f>SUMIF(51:51,E8,52:52)-SUMIF(51:51,C8,52:52)+100</f>
        <v>0</v>
      </c>
      <c r="G8" s="247"/>
      <c r="H8" s="241">
        <f>SUMIF(51:51,G8,52:52)-SUMIF(51:51,C8,52:52)+100</f>
        <v>0</v>
      </c>
      <c r="I8" s="247"/>
      <c r="J8" s="241">
        <f>SUMIF(51:51,I8,52:52)-SUMIF(51:51,C8,52:52)+100</f>
        <v>0</v>
      </c>
      <c r="K8" s="402"/>
      <c r="L8" s="403"/>
      <c r="M8" s="404"/>
      <c r="N8" s="404"/>
      <c r="O8" s="404"/>
      <c r="P8" s="405" t="s">
        <v>1302</v>
      </c>
      <c r="Q8" s="487"/>
      <c r="R8" s="484" t="s">
        <v>1299</v>
      </c>
      <c r="S8" s="485">
        <f t="shared" si="0"/>
        <v>0</v>
      </c>
      <c r="T8" s="484" t="s">
        <v>1299</v>
      </c>
      <c r="U8" s="485">
        <f t="shared" si="1"/>
        <v>0</v>
      </c>
      <c r="V8" s="484" t="s">
        <v>1299</v>
      </c>
      <c r="W8" s="485">
        <f t="shared" si="2"/>
        <v>0</v>
      </c>
      <c r="X8" s="486"/>
      <c r="Y8" s="405" t="s">
        <v>1302</v>
      </c>
      <c r="Z8" s="487"/>
      <c r="AA8" s="508" t="e">
        <f t="shared" ref="AA8:AA36" si="3">D8/F8</f>
        <v>#DIV/0!</v>
      </c>
      <c r="AB8" s="508" t="e">
        <f t="shared" ref="AB8:AB36" si="4">D8/H8</f>
        <v>#DIV/0!</v>
      </c>
      <c r="AC8" s="508" t="e">
        <f t="shared" ref="AC8:AC36" si="5">D8/J8</f>
        <v>#DIV/0!</v>
      </c>
    </row>
    <row r="9" s="196" customFormat="1" ht="15" spans="1:29">
      <c r="A9" s="248"/>
      <c r="B9" s="249" t="s">
        <v>1303</v>
      </c>
      <c r="C9" s="250"/>
      <c r="D9" s="251">
        <v>100</v>
      </c>
      <c r="E9" s="252"/>
      <c r="F9" s="251">
        <f>SUMIF(53:53,E9,54:54)-SUMIF(53:53,C9,54:54)+100</f>
        <v>100</v>
      </c>
      <c r="G9" s="544"/>
      <c r="H9" s="251">
        <f>SUMIF(53:53,G9,54:54)-SUMIF(53:53,C9,54:54)+100</f>
        <v>100</v>
      </c>
      <c r="I9" s="544"/>
      <c r="J9" s="251">
        <f>SUMIF(53:53,I9,54:54)-SUMIF(53:53,C9,54:54)+100</f>
        <v>100</v>
      </c>
      <c r="K9" s="402"/>
      <c r="L9" s="403"/>
      <c r="M9" s="404"/>
      <c r="N9" s="404"/>
      <c r="O9" s="406"/>
      <c r="P9" s="407" t="s">
        <v>1304</v>
      </c>
      <c r="Q9" s="488" t="str">
        <f t="shared" ref="Q9:Q14" si="6">B9</f>
        <v>用途</v>
      </c>
      <c r="R9" s="484" t="s">
        <v>1299</v>
      </c>
      <c r="S9" s="485">
        <f t="shared" si="0"/>
        <v>100</v>
      </c>
      <c r="T9" s="484" t="s">
        <v>1299</v>
      </c>
      <c r="U9" s="485">
        <f t="shared" si="1"/>
        <v>100</v>
      </c>
      <c r="V9" s="484" t="s">
        <v>1299</v>
      </c>
      <c r="W9" s="485">
        <f t="shared" si="2"/>
        <v>100</v>
      </c>
      <c r="X9" s="486"/>
      <c r="Y9" s="488" t="s">
        <v>1305</v>
      </c>
      <c r="Z9" s="509" t="str">
        <f t="shared" ref="Z9:Z14" si="7">Q9</f>
        <v>用途</v>
      </c>
      <c r="AA9" s="508">
        <f t="shared" si="3"/>
        <v>1</v>
      </c>
      <c r="AB9" s="508">
        <f t="shared" si="4"/>
        <v>1</v>
      </c>
      <c r="AC9" s="508">
        <f t="shared" si="5"/>
        <v>1</v>
      </c>
    </row>
    <row r="10" s="197" customFormat="1" ht="27" spans="1:29">
      <c r="A10" s="253"/>
      <c r="B10" s="246" t="s">
        <v>1306</v>
      </c>
      <c r="C10" s="254"/>
      <c r="D10" s="255">
        <v>100</v>
      </c>
      <c r="E10" s="254"/>
      <c r="F10" s="255">
        <f>SUMIF(55:55,E10,56:56)-SUMIF(55:55,C10,56:56)+100</f>
        <v>100</v>
      </c>
      <c r="G10" s="256"/>
      <c r="H10" s="255">
        <f>SUMIF(55:55,G10,56:56)-SUMIF(55:55,C10,56:56)+100</f>
        <v>100</v>
      </c>
      <c r="I10" s="254"/>
      <c r="J10" s="255">
        <f>SUMIF(55:55,I10,56:56)-SUMIF(55:55,C10,56:56)+100</f>
        <v>100</v>
      </c>
      <c r="K10" s="408"/>
      <c r="L10" s="409"/>
      <c r="M10" s="410"/>
      <c r="N10" s="410"/>
      <c r="O10" s="411"/>
      <c r="P10" s="407"/>
      <c r="Q10" s="488" t="str">
        <f t="shared" si="6"/>
        <v>土地使用年限（年）</v>
      </c>
      <c r="R10" s="484" t="s">
        <v>1299</v>
      </c>
      <c r="S10" s="485">
        <f t="shared" si="0"/>
        <v>100</v>
      </c>
      <c r="T10" s="484" t="s">
        <v>1299</v>
      </c>
      <c r="U10" s="485">
        <f t="shared" si="1"/>
        <v>100</v>
      </c>
      <c r="V10" s="484" t="s">
        <v>1299</v>
      </c>
      <c r="W10" s="485">
        <f t="shared" si="2"/>
        <v>100</v>
      </c>
      <c r="X10" s="486"/>
      <c r="Y10" s="488"/>
      <c r="Z10" s="509" t="str">
        <f t="shared" si="7"/>
        <v>土地使用年限（年）</v>
      </c>
      <c r="AA10" s="508">
        <f t="shared" si="3"/>
        <v>1</v>
      </c>
      <c r="AB10" s="508">
        <f t="shared" si="4"/>
        <v>1</v>
      </c>
      <c r="AC10" s="508">
        <f t="shared" si="5"/>
        <v>1</v>
      </c>
    </row>
    <row r="11" ht="15" spans="1:29">
      <c r="A11" s="257"/>
      <c r="B11" s="258">
        <v>111</v>
      </c>
      <c r="C11" s="259"/>
      <c r="D11" s="255">
        <v>100</v>
      </c>
      <c r="E11" s="259"/>
      <c r="F11" s="255">
        <f>SUMIF(57:57,E11,58:58)-SUMIF(57:57,C11,58:58)+100</f>
        <v>100</v>
      </c>
      <c r="G11" s="259"/>
      <c r="H11" s="255">
        <f>SUMIF(57:57,G11,58:58)-SUMIF(57:57,C11,58:58)+100</f>
        <v>100</v>
      </c>
      <c r="I11" s="259"/>
      <c r="J11" s="255">
        <f>SUMIF(57:57,I11,58:58)-SUMIF(57:57,C11,58:58)+100</f>
        <v>100</v>
      </c>
      <c r="K11" s="412"/>
      <c r="L11" s="413"/>
      <c r="M11" s="398"/>
      <c r="N11" s="398"/>
      <c r="O11" s="414"/>
      <c r="P11" s="407"/>
      <c r="Q11" s="488">
        <f t="shared" si="6"/>
        <v>111</v>
      </c>
      <c r="R11" s="484" t="s">
        <v>1299</v>
      </c>
      <c r="S11" s="485">
        <f t="shared" si="0"/>
        <v>100</v>
      </c>
      <c r="T11" s="484" t="s">
        <v>1299</v>
      </c>
      <c r="U11" s="485">
        <f t="shared" si="1"/>
        <v>100</v>
      </c>
      <c r="V11" s="484" t="s">
        <v>1299</v>
      </c>
      <c r="W11" s="485">
        <f t="shared" si="2"/>
        <v>100</v>
      </c>
      <c r="X11" s="486"/>
      <c r="Y11" s="488"/>
      <c r="Z11" s="509">
        <f t="shared" si="7"/>
        <v>111</v>
      </c>
      <c r="AA11" s="508">
        <f t="shared" si="3"/>
        <v>1</v>
      </c>
      <c r="AB11" s="508">
        <f t="shared" si="4"/>
        <v>1</v>
      </c>
      <c r="AC11" s="508">
        <f t="shared" si="5"/>
        <v>1</v>
      </c>
    </row>
    <row r="12" s="196" customFormat="1" ht="15" spans="1:29">
      <c r="A12" s="257"/>
      <c r="B12" s="258">
        <v>111</v>
      </c>
      <c r="C12" s="259"/>
      <c r="D12" s="261">
        <v>100</v>
      </c>
      <c r="E12" s="259"/>
      <c r="F12" s="255">
        <f>SUMIF(59:59,E12,60:60)-SUMIF(59:59,C12,60:60)+100</f>
        <v>100</v>
      </c>
      <c r="G12" s="259"/>
      <c r="H12" s="255">
        <f>SUMIF(59:59,G12,60:60)-SUMIF(59:59,C12,60:60)+100</f>
        <v>100</v>
      </c>
      <c r="I12" s="259"/>
      <c r="J12" s="255">
        <f>SUMIF(59:59,I12,60:60)-SUMIF(59:59,C12,60:60)+100</f>
        <v>100</v>
      </c>
      <c r="K12" s="412"/>
      <c r="L12" s="403"/>
      <c r="M12" s="404"/>
      <c r="N12" s="404"/>
      <c r="O12" s="406"/>
      <c r="P12" s="407"/>
      <c r="Q12" s="488">
        <f t="shared" si="6"/>
        <v>111</v>
      </c>
      <c r="R12" s="484" t="s">
        <v>1299</v>
      </c>
      <c r="S12" s="485">
        <f t="shared" si="0"/>
        <v>100</v>
      </c>
      <c r="T12" s="484" t="s">
        <v>1299</v>
      </c>
      <c r="U12" s="485">
        <f t="shared" si="1"/>
        <v>100</v>
      </c>
      <c r="V12" s="484" t="s">
        <v>1299</v>
      </c>
      <c r="W12" s="485">
        <f t="shared" si="2"/>
        <v>100</v>
      </c>
      <c r="X12" s="486"/>
      <c r="Y12" s="488"/>
      <c r="Z12" s="509">
        <f t="shared" si="7"/>
        <v>111</v>
      </c>
      <c r="AA12" s="508">
        <f t="shared" si="3"/>
        <v>1</v>
      </c>
      <c r="AB12" s="508">
        <f t="shared" si="4"/>
        <v>1</v>
      </c>
      <c r="AC12" s="508">
        <f t="shared" si="5"/>
        <v>1</v>
      </c>
    </row>
    <row r="13" ht="15.75" spans="1:29">
      <c r="A13" s="262"/>
      <c r="B13" s="263">
        <v>111</v>
      </c>
      <c r="C13" s="264"/>
      <c r="D13" s="265">
        <v>100</v>
      </c>
      <c r="E13" s="259"/>
      <c r="F13" s="255">
        <f>SUMIF(61:61,E13,62:62)-SUMIF(61:61,C13,62:62)+100</f>
        <v>100</v>
      </c>
      <c r="G13" s="259"/>
      <c r="H13" s="265">
        <f>SUMIF(61:61,G13,62:62)-SUMIF(61:61,C13,62:62)+100</f>
        <v>100</v>
      </c>
      <c r="I13" s="259"/>
      <c r="J13" s="265">
        <f>SUMIF(61:61,I13,62:62)-SUMIF(61:61,C13,62:62)+100</f>
        <v>100</v>
      </c>
      <c r="K13" s="412"/>
      <c r="L13" s="415"/>
      <c r="M13" s="398"/>
      <c r="N13" s="398"/>
      <c r="O13" s="414"/>
      <c r="P13" s="407"/>
      <c r="Q13" s="488">
        <f t="shared" si="6"/>
        <v>111</v>
      </c>
      <c r="R13" s="484" t="s">
        <v>1299</v>
      </c>
      <c r="S13" s="485">
        <f t="shared" si="0"/>
        <v>100</v>
      </c>
      <c r="T13" s="484" t="s">
        <v>1299</v>
      </c>
      <c r="U13" s="485">
        <f t="shared" si="1"/>
        <v>100</v>
      </c>
      <c r="V13" s="484" t="s">
        <v>1299</v>
      </c>
      <c r="W13" s="485">
        <f t="shared" si="2"/>
        <v>100</v>
      </c>
      <c r="X13" s="486"/>
      <c r="Y13" s="488"/>
      <c r="Z13" s="509">
        <f t="shared" si="7"/>
        <v>111</v>
      </c>
      <c r="AA13" s="508">
        <f t="shared" si="3"/>
        <v>1</v>
      </c>
      <c r="AB13" s="508">
        <f t="shared" si="4"/>
        <v>1</v>
      </c>
      <c r="AC13" s="508">
        <f t="shared" si="5"/>
        <v>1</v>
      </c>
    </row>
    <row r="14" ht="81" spans="1:29">
      <c r="A14" s="266" t="s">
        <v>1309</v>
      </c>
      <c r="B14" s="545" t="s">
        <v>229</v>
      </c>
      <c r="C14" s="268" t="str">
        <f>IF(B1="工业",估价对象房地状况!G4,估价对象房地状况!C6)</f>
        <v>估价对象周边道路状况、公共交通通达情况、停车便捷程度，综合评价交通便捷度较好</v>
      </c>
      <c r="D14" s="269">
        <v>100</v>
      </c>
      <c r="E14" s="270"/>
      <c r="F14" s="271">
        <f>SUMIF(63:63,E15,64:64)-SUMIF(63:63,C15,64:64)+100</f>
        <v>100</v>
      </c>
      <c r="G14" s="272"/>
      <c r="H14" s="269">
        <f>SUMIF(63:63,G15,64:64)-SUMIF(63:63,C15,64:64)+100</f>
        <v>100</v>
      </c>
      <c r="I14" s="270"/>
      <c r="J14" s="269">
        <f>SUMIF(63:63,I15,64:64)-SUMIF(63:63,C15,64:64)+100</f>
        <v>100</v>
      </c>
      <c r="K14" s="416"/>
      <c r="L14" s="415"/>
      <c r="M14" s="398"/>
      <c r="N14" s="398"/>
      <c r="O14" s="414"/>
      <c r="P14" s="417" t="s">
        <v>1310</v>
      </c>
      <c r="Q14" s="407" t="str">
        <f t="shared" si="6"/>
        <v>交通便捷度</v>
      </c>
      <c r="R14" s="489" t="s">
        <v>1299</v>
      </c>
      <c r="S14" s="490">
        <f t="shared" si="0"/>
        <v>100</v>
      </c>
      <c r="T14" s="489" t="s">
        <v>1299</v>
      </c>
      <c r="U14" s="490">
        <f t="shared" si="1"/>
        <v>100</v>
      </c>
      <c r="V14" s="489" t="s">
        <v>1299</v>
      </c>
      <c r="W14" s="490">
        <f t="shared" si="2"/>
        <v>100</v>
      </c>
      <c r="X14" s="476"/>
      <c r="Y14" s="417" t="s">
        <v>1310</v>
      </c>
      <c r="Z14" s="475" t="str">
        <f t="shared" si="7"/>
        <v>交通便捷度</v>
      </c>
      <c r="AA14" s="495">
        <f t="shared" si="3"/>
        <v>1</v>
      </c>
      <c r="AB14" s="495">
        <f t="shared" si="4"/>
        <v>1</v>
      </c>
      <c r="AC14" s="495">
        <f t="shared" si="5"/>
        <v>1</v>
      </c>
    </row>
    <row r="15" ht="15" spans="1:29">
      <c r="A15" s="226"/>
      <c r="B15" s="546"/>
      <c r="C15" s="275"/>
      <c r="D15" s="276"/>
      <c r="E15" s="275"/>
      <c r="F15" s="277"/>
      <c r="G15" s="275"/>
      <c r="H15" s="278"/>
      <c r="I15" s="275"/>
      <c r="J15" s="276"/>
      <c r="K15" s="418"/>
      <c r="L15" s="415"/>
      <c r="M15" s="398"/>
      <c r="N15" s="398"/>
      <c r="O15" s="414"/>
      <c r="P15" s="419"/>
      <c r="Q15" s="407"/>
      <c r="R15" s="489"/>
      <c r="S15" s="490"/>
      <c r="T15" s="489"/>
      <c r="U15" s="490"/>
      <c r="V15" s="489"/>
      <c r="W15" s="490"/>
      <c r="X15" s="476"/>
      <c r="Y15" s="419"/>
      <c r="Z15" s="475"/>
      <c r="AA15" s="495">
        <v>1</v>
      </c>
      <c r="AB15" s="495">
        <v>1</v>
      </c>
      <c r="AC15" s="495">
        <v>1</v>
      </c>
    </row>
    <row r="16" ht="40.5" spans="1:29">
      <c r="A16" s="226"/>
      <c r="B16" s="279" t="s">
        <v>231</v>
      </c>
      <c r="C16" s="280" t="str">
        <f>IF(B1="工业",估价对象房地状况!G5,估价对象房地状况!C7)</f>
        <v>估价对象所在区域公共配套设施齐备情况</v>
      </c>
      <c r="D16" s="281">
        <v>100</v>
      </c>
      <c r="E16" s="284"/>
      <c r="F16" s="283">
        <f>SUMIF(65:65,E17,66:66)-SUMIF(65:65,C17,66:66)+100</f>
        <v>100</v>
      </c>
      <c r="G16" s="284"/>
      <c r="H16" s="281">
        <f>SUMIF(65:65,G17,66:66)-SUMIF(65:65,C17,66:66)+100</f>
        <v>100</v>
      </c>
      <c r="I16" s="282"/>
      <c r="J16" s="281">
        <f>SUMIF(65:65,I17,66:66)-SUMIF(65:65,C17,66:66)+100</f>
        <v>100</v>
      </c>
      <c r="K16" s="416"/>
      <c r="L16" s="415"/>
      <c r="M16" s="398"/>
      <c r="N16" s="398"/>
      <c r="O16" s="414"/>
      <c r="P16" s="419"/>
      <c r="Q16" s="407" t="str">
        <f>B16</f>
        <v>公共配套设施</v>
      </c>
      <c r="R16" s="489" t="s">
        <v>1299</v>
      </c>
      <c r="S16" s="490">
        <f>F16</f>
        <v>100</v>
      </c>
      <c r="T16" s="489" t="s">
        <v>1299</v>
      </c>
      <c r="U16" s="490">
        <f>H16</f>
        <v>100</v>
      </c>
      <c r="V16" s="489" t="s">
        <v>1299</v>
      </c>
      <c r="W16" s="490">
        <f>J16</f>
        <v>100</v>
      </c>
      <c r="X16" s="476"/>
      <c r="Y16" s="419"/>
      <c r="Z16" s="475" t="str">
        <f>Q16</f>
        <v>公共配套设施</v>
      </c>
      <c r="AA16" s="495">
        <f t="shared" si="3"/>
        <v>1</v>
      </c>
      <c r="AB16" s="495">
        <f t="shared" si="4"/>
        <v>1</v>
      </c>
      <c r="AC16" s="495">
        <f t="shared" si="5"/>
        <v>1</v>
      </c>
    </row>
    <row r="17" ht="15" spans="1:29">
      <c r="A17" s="226"/>
      <c r="B17" s="285"/>
      <c r="C17" s="286"/>
      <c r="D17" s="276"/>
      <c r="E17" s="275"/>
      <c r="F17" s="277"/>
      <c r="G17" s="275"/>
      <c r="H17" s="276"/>
      <c r="I17" s="275"/>
      <c r="J17" s="276"/>
      <c r="K17" s="418"/>
      <c r="L17" s="415"/>
      <c r="M17" s="398"/>
      <c r="N17" s="398"/>
      <c r="O17" s="414"/>
      <c r="P17" s="419"/>
      <c r="Q17" s="407"/>
      <c r="R17" s="489"/>
      <c r="S17" s="490"/>
      <c r="T17" s="489"/>
      <c r="U17" s="490"/>
      <c r="V17" s="489"/>
      <c r="W17" s="490"/>
      <c r="X17" s="476"/>
      <c r="Y17" s="419"/>
      <c r="Z17" s="475"/>
      <c r="AA17" s="495">
        <v>1</v>
      </c>
      <c r="AB17" s="495">
        <v>1</v>
      </c>
      <c r="AC17" s="495">
        <v>1</v>
      </c>
    </row>
    <row r="18" ht="27" spans="1:29">
      <c r="A18" s="226"/>
      <c r="B18" s="287" t="s">
        <v>232</v>
      </c>
      <c r="C18" s="280" t="str">
        <f>IF(B1="工业",估价对象房地状况!G6,估价对象房地状况!C8)</f>
        <v>估价对象所在区域基础设施水平</v>
      </c>
      <c r="D18" s="278">
        <v>100</v>
      </c>
      <c r="E18" s="284"/>
      <c r="F18" s="283">
        <f>SUMIF(67:67,E19,68:68)-SUMIF(67:67,C19,68:68)+100</f>
        <v>100</v>
      </c>
      <c r="G18" s="284"/>
      <c r="H18" s="281">
        <f>SUMIF(67:67,G19,68:68)-SUMIF(67:67,C19,68:68)+100</f>
        <v>100</v>
      </c>
      <c r="I18" s="282"/>
      <c r="J18" s="281">
        <f>SUMIF(67:67,I19,68:68)-SUMIF(67:67,C19,68:68)+100</f>
        <v>100</v>
      </c>
      <c r="K18" s="416"/>
      <c r="L18" s="415"/>
      <c r="M18" s="398"/>
      <c r="N18" s="398"/>
      <c r="O18" s="414"/>
      <c r="P18" s="419"/>
      <c r="Q18" s="407" t="str">
        <f>B18</f>
        <v>基础设施水平</v>
      </c>
      <c r="R18" s="489" t="s">
        <v>1299</v>
      </c>
      <c r="S18" s="490">
        <f>F18</f>
        <v>100</v>
      </c>
      <c r="T18" s="489" t="s">
        <v>1299</v>
      </c>
      <c r="U18" s="490">
        <f>H18</f>
        <v>100</v>
      </c>
      <c r="V18" s="489" t="s">
        <v>1299</v>
      </c>
      <c r="W18" s="490">
        <f>J18</f>
        <v>100</v>
      </c>
      <c r="X18" s="476"/>
      <c r="Y18" s="419"/>
      <c r="Z18" s="475" t="str">
        <f>Q18</f>
        <v>基础设施水平</v>
      </c>
      <c r="AA18" s="495">
        <f t="shared" ref="AA18" si="8">D18/F18</f>
        <v>1</v>
      </c>
      <c r="AB18" s="495">
        <f t="shared" ref="AB18" si="9">D18/H18</f>
        <v>1</v>
      </c>
      <c r="AC18" s="495">
        <f t="shared" ref="AC18" si="10">D18/J18</f>
        <v>1</v>
      </c>
    </row>
    <row r="19" ht="15" spans="1:29">
      <c r="A19" s="226"/>
      <c r="B19" s="291"/>
      <c r="C19" s="286"/>
      <c r="D19" s="278"/>
      <c r="E19" s="275"/>
      <c r="F19" s="277"/>
      <c r="G19" s="275"/>
      <c r="H19" s="276"/>
      <c r="I19" s="275"/>
      <c r="J19" s="276"/>
      <c r="K19" s="420"/>
      <c r="L19" s="415"/>
      <c r="M19" s="398"/>
      <c r="N19" s="398"/>
      <c r="O19" s="414"/>
      <c r="P19" s="419"/>
      <c r="Q19" s="407"/>
      <c r="R19" s="489"/>
      <c r="S19" s="490"/>
      <c r="T19" s="489"/>
      <c r="U19" s="490"/>
      <c r="V19" s="489"/>
      <c r="W19" s="490"/>
      <c r="X19" s="476"/>
      <c r="Y19" s="419"/>
      <c r="Z19" s="475"/>
      <c r="AA19" s="495">
        <v>1</v>
      </c>
      <c r="AB19" s="495">
        <v>1</v>
      </c>
      <c r="AC19" s="495">
        <v>1</v>
      </c>
    </row>
    <row r="20" ht="54" spans="1:29">
      <c r="A20" s="226"/>
      <c r="B20" s="547" t="s">
        <v>2353</v>
      </c>
      <c r="C20" s="280" t="str">
        <f>IF(B1="工业",估价对象房地状况!G7,估价对象房地状况!C9)</f>
        <v>区域自然环境：；人文环境；综合评价环境状况一般</v>
      </c>
      <c r="D20" s="281">
        <v>100</v>
      </c>
      <c r="E20" s="288"/>
      <c r="F20" s="289">
        <f>SUMIF(69:69,E21,70:70)-SUMIF(69:69,C21,70:70)+100</f>
        <v>100</v>
      </c>
      <c r="G20" s="290"/>
      <c r="H20" s="278">
        <f>SUMIF(69:69,G21,70:70)-SUMIF(69:69,C21,70:70)+100</f>
        <v>100</v>
      </c>
      <c r="I20" s="288"/>
      <c r="J20" s="278">
        <f>SUMIF(69:69,I21,70:70)-SUMIF(69:69,C21,70:70)+100</f>
        <v>100</v>
      </c>
      <c r="K20" s="416"/>
      <c r="L20" s="415"/>
      <c r="M20" s="398"/>
      <c r="N20" s="398"/>
      <c r="O20" s="414"/>
      <c r="P20" s="419"/>
      <c r="Q20" s="407" t="str">
        <f>B20</f>
        <v>自然及人文环境</v>
      </c>
      <c r="R20" s="489" t="s">
        <v>1299</v>
      </c>
      <c r="S20" s="490">
        <f>F20</f>
        <v>100</v>
      </c>
      <c r="T20" s="489" t="s">
        <v>1299</v>
      </c>
      <c r="U20" s="490">
        <f>H20</f>
        <v>100</v>
      </c>
      <c r="V20" s="489" t="s">
        <v>1299</v>
      </c>
      <c r="W20" s="490">
        <f>J20</f>
        <v>100</v>
      </c>
      <c r="X20" s="476"/>
      <c r="Y20" s="419"/>
      <c r="Z20" s="475" t="str">
        <f>Q20</f>
        <v>自然及人文环境</v>
      </c>
      <c r="AA20" s="495">
        <f t="shared" si="3"/>
        <v>1</v>
      </c>
      <c r="AB20" s="495">
        <f t="shared" si="4"/>
        <v>1</v>
      </c>
      <c r="AC20" s="495">
        <f t="shared" si="5"/>
        <v>1</v>
      </c>
    </row>
    <row r="21" ht="15" spans="1:29">
      <c r="A21" s="226"/>
      <c r="B21" s="285"/>
      <c r="C21" s="275"/>
      <c r="D21" s="276"/>
      <c r="E21" s="275"/>
      <c r="F21" s="277"/>
      <c r="G21" s="275"/>
      <c r="H21" s="276"/>
      <c r="I21" s="275"/>
      <c r="J21" s="276"/>
      <c r="K21" s="418"/>
      <c r="L21" s="415"/>
      <c r="M21" s="398"/>
      <c r="N21" s="398"/>
      <c r="O21" s="414"/>
      <c r="P21" s="419"/>
      <c r="Q21" s="407"/>
      <c r="R21" s="489"/>
      <c r="S21" s="490"/>
      <c r="T21" s="489"/>
      <c r="U21" s="490"/>
      <c r="V21" s="489"/>
      <c r="W21" s="490"/>
      <c r="X21" s="476"/>
      <c r="Y21" s="419"/>
      <c r="Z21" s="475"/>
      <c r="AA21" s="495">
        <v>1</v>
      </c>
      <c r="AB21" s="495">
        <v>1</v>
      </c>
      <c r="AC21" s="495">
        <v>1</v>
      </c>
    </row>
    <row r="22" ht="15" spans="1:29">
      <c r="A22" s="226"/>
      <c r="B22" s="547" t="s">
        <v>1566</v>
      </c>
      <c r="C22" s="294"/>
      <c r="D22" s="278">
        <v>100</v>
      </c>
      <c r="E22" s="294"/>
      <c r="F22" s="295">
        <f>SUMIF(71:71,E22,72:72)-SUMIF(71:71,C22,72:72)+100</f>
        <v>100</v>
      </c>
      <c r="G22" s="294"/>
      <c r="H22" s="265">
        <f>SUMIF(71:71,G22,72:72)-SUMIF(71:71,C22,72:72)+100</f>
        <v>100</v>
      </c>
      <c r="I22" s="294"/>
      <c r="J22" s="265">
        <f>SUMIF(71:71,I22,72:72)-SUMIF(71:71,C22,72:72)+100</f>
        <v>100</v>
      </c>
      <c r="K22" s="408"/>
      <c r="L22" s="415"/>
      <c r="M22" s="398"/>
      <c r="N22" s="398"/>
      <c r="O22" s="414"/>
      <c r="P22" s="419"/>
      <c r="Q22" s="407" t="str">
        <f>B22</f>
        <v>楼层</v>
      </c>
      <c r="R22" s="489" t="s">
        <v>1299</v>
      </c>
      <c r="S22" s="490">
        <f>F22</f>
        <v>100</v>
      </c>
      <c r="T22" s="489" t="s">
        <v>1299</v>
      </c>
      <c r="U22" s="490">
        <f>H22</f>
        <v>100</v>
      </c>
      <c r="V22" s="489" t="s">
        <v>1299</v>
      </c>
      <c r="W22" s="490">
        <f>J22</f>
        <v>100</v>
      </c>
      <c r="X22" s="476"/>
      <c r="Y22" s="419"/>
      <c r="Z22" s="475" t="str">
        <f>Q22</f>
        <v>楼层</v>
      </c>
      <c r="AA22" s="495">
        <f t="shared" si="3"/>
        <v>1</v>
      </c>
      <c r="AB22" s="495">
        <f t="shared" si="4"/>
        <v>1</v>
      </c>
      <c r="AC22" s="495">
        <f t="shared" si="5"/>
        <v>1</v>
      </c>
    </row>
    <row r="23" ht="15" spans="1:29">
      <c r="A23" s="226"/>
      <c r="B23" s="548">
        <v>111</v>
      </c>
      <c r="C23" s="259"/>
      <c r="D23" s="265">
        <v>100</v>
      </c>
      <c r="E23" s="259"/>
      <c r="F23" s="295">
        <f>SUMIF(73:73,E23,74:74)-SUMIF(73:73,C23,74:74)+100</f>
        <v>100</v>
      </c>
      <c r="G23" s="259"/>
      <c r="H23" s="265">
        <f>SUMIF(73:73,G23,74:74)-SUMIF(73:73,C23,74:74)+100</f>
        <v>100</v>
      </c>
      <c r="I23" s="259"/>
      <c r="J23" s="265">
        <f>SUMIF(73:73,I23,74:74)-SUMIF(73:73,C23,74:74)+100</f>
        <v>100</v>
      </c>
      <c r="K23" s="412"/>
      <c r="L23" s="415"/>
      <c r="M23" s="398"/>
      <c r="N23" s="398"/>
      <c r="O23" s="414"/>
      <c r="P23" s="419"/>
      <c r="Q23" s="407">
        <f>B23</f>
        <v>111</v>
      </c>
      <c r="R23" s="489" t="s">
        <v>1299</v>
      </c>
      <c r="S23" s="490">
        <f>F23</f>
        <v>100</v>
      </c>
      <c r="T23" s="489" t="s">
        <v>1299</v>
      </c>
      <c r="U23" s="490">
        <f>H23</f>
        <v>100</v>
      </c>
      <c r="V23" s="489" t="s">
        <v>1299</v>
      </c>
      <c r="W23" s="490">
        <f>J23</f>
        <v>100</v>
      </c>
      <c r="X23" s="476"/>
      <c r="Y23" s="419"/>
      <c r="Z23" s="475">
        <f>Q23</f>
        <v>111</v>
      </c>
      <c r="AA23" s="495">
        <f t="shared" si="3"/>
        <v>1</v>
      </c>
      <c r="AB23" s="495">
        <f t="shared" si="4"/>
        <v>1</v>
      </c>
      <c r="AC23" s="495">
        <f t="shared" si="5"/>
        <v>1</v>
      </c>
    </row>
    <row r="24" ht="15" spans="1:29">
      <c r="A24" s="226"/>
      <c r="B24" s="548">
        <v>111</v>
      </c>
      <c r="C24" s="259"/>
      <c r="D24" s="265">
        <v>100</v>
      </c>
      <c r="E24" s="259"/>
      <c r="F24" s="295">
        <f>SUMIF(75:75,E24,76:76)-SUMIF(75:75,C24,76:76)+100</f>
        <v>100</v>
      </c>
      <c r="G24" s="259"/>
      <c r="H24" s="265">
        <f>SUMIF(75:75,G24,76:76)-SUMIF(75:75,C24,76:76)+100</f>
        <v>100</v>
      </c>
      <c r="I24" s="259"/>
      <c r="J24" s="265">
        <f>SUMIF(75:75,I24,76:76)-SUMIF(75:75,C24,76:76)+100</f>
        <v>100</v>
      </c>
      <c r="K24" s="412"/>
      <c r="L24" s="415"/>
      <c r="M24" s="398"/>
      <c r="N24" s="398"/>
      <c r="O24" s="414"/>
      <c r="P24" s="419"/>
      <c r="Q24" s="407">
        <f t="shared" ref="Q24:Q36" si="11">B24</f>
        <v>111</v>
      </c>
      <c r="R24" s="489" t="s">
        <v>1299</v>
      </c>
      <c r="S24" s="490">
        <f>F24</f>
        <v>100</v>
      </c>
      <c r="T24" s="489" t="s">
        <v>1299</v>
      </c>
      <c r="U24" s="490">
        <f>H24</f>
        <v>100</v>
      </c>
      <c r="V24" s="489" t="s">
        <v>1299</v>
      </c>
      <c r="W24" s="490">
        <f>J24</f>
        <v>100</v>
      </c>
      <c r="X24" s="476"/>
      <c r="Y24" s="419"/>
      <c r="Z24" s="475">
        <f>Q24</f>
        <v>111</v>
      </c>
      <c r="AA24" s="495">
        <f t="shared" si="3"/>
        <v>1</v>
      </c>
      <c r="AB24" s="495">
        <f t="shared" si="4"/>
        <v>1</v>
      </c>
      <c r="AC24" s="495">
        <f t="shared" si="5"/>
        <v>1</v>
      </c>
    </row>
    <row r="25" s="196" customFormat="1" ht="15.75" spans="1:29">
      <c r="A25" s="549"/>
      <c r="B25" s="550">
        <v>111</v>
      </c>
      <c r="C25" s="317"/>
      <c r="D25" s="551">
        <v>100</v>
      </c>
      <c r="E25" s="552"/>
      <c r="F25" s="553">
        <f>SUMIF(77:77,E25,78:78)-SUMIF(77:77,C25,78:78)+100</f>
        <v>100</v>
      </c>
      <c r="G25" s="552"/>
      <c r="H25" s="551">
        <f>SUMIF(77:77,G25,78:78)-SUMIF(77:77,C25,78:78)+100</f>
        <v>100</v>
      </c>
      <c r="I25" s="552"/>
      <c r="J25" s="551">
        <f>SUMIF(77:77,I25,78:78)-SUMIF(77:77,C25,78:78)+100</f>
        <v>100</v>
      </c>
      <c r="K25" s="412"/>
      <c r="L25" s="403"/>
      <c r="M25" s="404"/>
      <c r="N25" s="404"/>
      <c r="O25" s="406"/>
      <c r="P25" s="419"/>
      <c r="Q25" s="488">
        <f t="shared" si="11"/>
        <v>111</v>
      </c>
      <c r="R25" s="484" t="s">
        <v>1299</v>
      </c>
      <c r="S25" s="485">
        <f>F25</f>
        <v>100</v>
      </c>
      <c r="T25" s="484" t="s">
        <v>1299</v>
      </c>
      <c r="U25" s="485">
        <f>H25</f>
        <v>100</v>
      </c>
      <c r="V25" s="484" t="s">
        <v>1299</v>
      </c>
      <c r="W25" s="485">
        <f>J25</f>
        <v>100</v>
      </c>
      <c r="X25" s="486"/>
      <c r="Y25" s="419"/>
      <c r="Z25" s="509">
        <f>Q25</f>
        <v>111</v>
      </c>
      <c r="AA25" s="495">
        <f t="shared" si="3"/>
        <v>1</v>
      </c>
      <c r="AB25" s="495">
        <f t="shared" si="4"/>
        <v>1</v>
      </c>
      <c r="AC25" s="495">
        <f t="shared" si="5"/>
        <v>1</v>
      </c>
    </row>
    <row r="26" ht="15" spans="1:29">
      <c r="A26" s="301" t="s">
        <v>1315</v>
      </c>
      <c r="B26" s="554" t="s">
        <v>2388</v>
      </c>
      <c r="C26" s="555">
        <f>B1</f>
        <v>0</v>
      </c>
      <c r="D26" s="276">
        <v>100</v>
      </c>
      <c r="E26" s="275"/>
      <c r="F26" s="277">
        <f>SUMIF(79:79,E26,80:80)-SUMIF(79:79,C26,80:80)+100</f>
        <v>100</v>
      </c>
      <c r="G26" s="275"/>
      <c r="H26" s="276">
        <f>SUMIF(79:79,G26,80:80)-SUMIF(79:79,C26,80:80)+100</f>
        <v>100</v>
      </c>
      <c r="I26" s="275"/>
      <c r="J26" s="276">
        <f>SUMIF(79:79,I26,80:80)-SUMIF(79:79,C26,80:80)+100</f>
        <v>100</v>
      </c>
      <c r="K26" s="408"/>
      <c r="L26" s="415"/>
      <c r="M26" s="398"/>
      <c r="N26" s="398"/>
      <c r="O26" s="414"/>
      <c r="P26" s="421" t="s">
        <v>1314</v>
      </c>
      <c r="Q26" s="407" t="str">
        <f t="shared" si="11"/>
        <v>配套类型</v>
      </c>
      <c r="R26" s="489" t="s">
        <v>1299</v>
      </c>
      <c r="S26" s="490">
        <f t="shared" ref="S26:S36" si="12">F26</f>
        <v>100</v>
      </c>
      <c r="T26" s="489" t="s">
        <v>1299</v>
      </c>
      <c r="U26" s="490">
        <f t="shared" ref="U26:U36" si="13">H26</f>
        <v>100</v>
      </c>
      <c r="V26" s="489" t="s">
        <v>1299</v>
      </c>
      <c r="W26" s="490">
        <f t="shared" ref="W26:W36" si="14">J26</f>
        <v>100</v>
      </c>
      <c r="X26" s="476"/>
      <c r="Y26" s="424" t="s">
        <v>1314</v>
      </c>
      <c r="Z26" s="475" t="str">
        <f t="shared" ref="Z26:Z36" si="15">Q26</f>
        <v>配套类型</v>
      </c>
      <c r="AA26" s="495">
        <f t="shared" si="3"/>
        <v>1</v>
      </c>
      <c r="AB26" s="495">
        <f t="shared" si="4"/>
        <v>1</v>
      </c>
      <c r="AC26" s="495">
        <f t="shared" si="5"/>
        <v>1</v>
      </c>
    </row>
    <row r="27" s="198" customFormat="1" ht="15" spans="1:29">
      <c r="A27" s="556"/>
      <c r="B27" s="557" t="s">
        <v>2389</v>
      </c>
      <c r="C27" s="558"/>
      <c r="D27" s="255">
        <v>100</v>
      </c>
      <c r="E27" s="558"/>
      <c r="F27" s="295">
        <f>SUMIF(81:81,E27,82:82)-SUMIF(81:81,C27,82:82)+100</f>
        <v>100</v>
      </c>
      <c r="G27" s="558"/>
      <c r="H27" s="265">
        <f>SUMIF(81:81,G27,82:82)-SUMIF(81:81,C27,82:82)+100</f>
        <v>100</v>
      </c>
      <c r="I27" s="558"/>
      <c r="J27" s="265">
        <f>SUMIF(81:81,I27,82:82)-SUMIF(81:81,C27,82:82)+100</f>
        <v>100</v>
      </c>
      <c r="K27" s="412"/>
      <c r="L27" s="413"/>
      <c r="M27" s="422"/>
      <c r="N27" s="422"/>
      <c r="O27" s="423"/>
      <c r="P27" s="424"/>
      <c r="Q27" s="491" t="str">
        <f t="shared" si="11"/>
        <v>项目停车位配比</v>
      </c>
      <c r="R27" s="492" t="s">
        <v>1299</v>
      </c>
      <c r="S27" s="493">
        <f t="shared" si="12"/>
        <v>100</v>
      </c>
      <c r="T27" s="492" t="s">
        <v>1299</v>
      </c>
      <c r="U27" s="493">
        <f t="shared" si="13"/>
        <v>100</v>
      </c>
      <c r="V27" s="492" t="s">
        <v>1299</v>
      </c>
      <c r="W27" s="493">
        <f t="shared" si="14"/>
        <v>100</v>
      </c>
      <c r="X27" s="494"/>
      <c r="Y27" s="424"/>
      <c r="Z27" s="510" t="str">
        <f t="shared" si="15"/>
        <v>项目停车位配比</v>
      </c>
      <c r="AA27" s="495">
        <f t="shared" si="3"/>
        <v>1</v>
      </c>
      <c r="AB27" s="495">
        <f t="shared" si="4"/>
        <v>1</v>
      </c>
      <c r="AC27" s="495">
        <f t="shared" si="5"/>
        <v>1</v>
      </c>
    </row>
    <row r="28" ht="15" spans="1:29">
      <c r="A28" s="559"/>
      <c r="B28" s="557" t="s">
        <v>1573</v>
      </c>
      <c r="C28" s="312"/>
      <c r="D28" s="265">
        <v>100</v>
      </c>
      <c r="E28" s="312"/>
      <c r="F28" s="295">
        <f>SUMIF(83:83,E28,84:84)-SUMIF(83:83,C28,84:84)+100</f>
        <v>100</v>
      </c>
      <c r="G28" s="312"/>
      <c r="H28" s="265">
        <f>SUMIF(83:83,G28,84:84)-SUMIF(83:83,C28,84:84)+100</f>
        <v>100</v>
      </c>
      <c r="I28" s="312"/>
      <c r="J28" s="265">
        <f>SUMIF(83:83,I28,84:84)-SUMIF(83:83,C28,84:84)+100</f>
        <v>100</v>
      </c>
      <c r="K28" s="408"/>
      <c r="L28" s="415"/>
      <c r="M28" s="398"/>
      <c r="N28" s="398"/>
      <c r="O28" s="414"/>
      <c r="P28" s="424"/>
      <c r="Q28" s="407" t="str">
        <f t="shared" si="11"/>
        <v>公共部分装修</v>
      </c>
      <c r="R28" s="489" t="s">
        <v>1299</v>
      </c>
      <c r="S28" s="490">
        <f t="shared" si="12"/>
        <v>100</v>
      </c>
      <c r="T28" s="489" t="s">
        <v>1299</v>
      </c>
      <c r="U28" s="490">
        <f t="shared" si="13"/>
        <v>100</v>
      </c>
      <c r="V28" s="489" t="s">
        <v>1299</v>
      </c>
      <c r="W28" s="490">
        <f t="shared" si="14"/>
        <v>100</v>
      </c>
      <c r="X28" s="476"/>
      <c r="Y28" s="424"/>
      <c r="Z28" s="475" t="str">
        <f t="shared" si="15"/>
        <v>公共部分装修</v>
      </c>
      <c r="AA28" s="495">
        <f t="shared" si="3"/>
        <v>1</v>
      </c>
      <c r="AB28" s="495">
        <f t="shared" si="4"/>
        <v>1</v>
      </c>
      <c r="AC28" s="495">
        <f t="shared" si="5"/>
        <v>1</v>
      </c>
    </row>
    <row r="29" ht="15" spans="1:29">
      <c r="A29" s="559"/>
      <c r="B29" s="557" t="s">
        <v>2390</v>
      </c>
      <c r="C29" s="260"/>
      <c r="D29" s="265">
        <v>100</v>
      </c>
      <c r="E29" s="308"/>
      <c r="F29" s="295" t="e">
        <f>LOOKUP(E29,86:86,87:87)-LOOKUP(C29,86:86,87:87)+100</f>
        <v>#N/A</v>
      </c>
      <c r="G29" s="308"/>
      <c r="H29" s="295" t="e">
        <f>LOOKUP(G29,86:86,87:87)-LOOKUP(C29,86:86,87:87)+100</f>
        <v>#N/A</v>
      </c>
      <c r="I29" s="308"/>
      <c r="J29" s="265" t="e">
        <f>LOOKUP(I29,86:86,87:87)-LOOKUP(C29,86:86,87:87)+100</f>
        <v>#N/A</v>
      </c>
      <c r="K29" s="408"/>
      <c r="L29" s="415"/>
      <c r="M29" s="398"/>
      <c r="N29" s="398"/>
      <c r="O29" s="414"/>
      <c r="P29" s="424"/>
      <c r="Q29" s="407" t="str">
        <f t="shared" si="11"/>
        <v>成新率</v>
      </c>
      <c r="R29" s="489" t="s">
        <v>1299</v>
      </c>
      <c r="S29" s="490" t="e">
        <f t="shared" si="12"/>
        <v>#N/A</v>
      </c>
      <c r="T29" s="489" t="s">
        <v>1299</v>
      </c>
      <c r="U29" s="490" t="e">
        <f t="shared" si="13"/>
        <v>#N/A</v>
      </c>
      <c r="V29" s="489" t="s">
        <v>1299</v>
      </c>
      <c r="W29" s="490" t="e">
        <f t="shared" si="14"/>
        <v>#N/A</v>
      </c>
      <c r="X29" s="476"/>
      <c r="Y29" s="424"/>
      <c r="Z29" s="475" t="str">
        <f t="shared" si="15"/>
        <v>成新率</v>
      </c>
      <c r="AA29" s="495" t="e">
        <f t="shared" si="3"/>
        <v>#N/A</v>
      </c>
      <c r="AB29" s="495" t="e">
        <f t="shared" si="4"/>
        <v>#N/A</v>
      </c>
      <c r="AC29" s="495" t="e">
        <f t="shared" si="5"/>
        <v>#N/A</v>
      </c>
    </row>
    <row r="30" ht="15" spans="1:29">
      <c r="A30" s="559"/>
      <c r="B30" s="557" t="s">
        <v>2391</v>
      </c>
      <c r="C30" s="313"/>
      <c r="D30" s="265">
        <v>100</v>
      </c>
      <c r="E30" s="313"/>
      <c r="F30" s="295">
        <f>SUMIF(88:88,E30,89:89)-SUMIF(88:88,C30,89:89)+100</f>
        <v>100</v>
      </c>
      <c r="G30" s="313"/>
      <c r="H30" s="265">
        <f>SUMIF(88:88,E30,89:89)-SUMIF(88:88,C30,89:89)+100</f>
        <v>100</v>
      </c>
      <c r="I30" s="313"/>
      <c r="J30" s="265">
        <f>SUMIF(88:88,E30,89:89)-SUMIF(88:88,C30,89:89)+100</f>
        <v>100</v>
      </c>
      <c r="K30" s="408"/>
      <c r="L30" s="415"/>
      <c r="M30" s="398"/>
      <c r="N30" s="398"/>
      <c r="O30" s="414"/>
      <c r="P30" s="424"/>
      <c r="Q30" s="407" t="str">
        <f t="shared" si="11"/>
        <v>物业等级</v>
      </c>
      <c r="R30" s="489" t="s">
        <v>1299</v>
      </c>
      <c r="S30" s="490">
        <f t="shared" si="12"/>
        <v>100</v>
      </c>
      <c r="T30" s="489" t="s">
        <v>1299</v>
      </c>
      <c r="U30" s="490">
        <f t="shared" si="13"/>
        <v>100</v>
      </c>
      <c r="V30" s="489" t="s">
        <v>1299</v>
      </c>
      <c r="W30" s="490">
        <f t="shared" si="14"/>
        <v>100</v>
      </c>
      <c r="X30" s="476"/>
      <c r="Y30" s="424"/>
      <c r="Z30" s="475" t="str">
        <f t="shared" si="15"/>
        <v>物业等级</v>
      </c>
      <c r="AA30" s="495">
        <f t="shared" si="3"/>
        <v>1</v>
      </c>
      <c r="AB30" s="495">
        <f t="shared" si="4"/>
        <v>1</v>
      </c>
      <c r="AC30" s="495">
        <f t="shared" si="5"/>
        <v>1</v>
      </c>
    </row>
    <row r="31" s="196" customFormat="1" ht="15" spans="1:29">
      <c r="A31" s="560"/>
      <c r="B31" s="557" t="s">
        <v>2392</v>
      </c>
      <c r="C31" s="260"/>
      <c r="D31" s="255">
        <v>100</v>
      </c>
      <c r="E31" s="260"/>
      <c r="F31" s="295" t="e">
        <f>LOOKUP(E31,91:91,92:92)-LOOKUP(C31,91:91,92:92)+100</f>
        <v>#N/A</v>
      </c>
      <c r="G31" s="260"/>
      <c r="H31" s="265" t="e">
        <f>LOOKUP(G31,91:91,92:92)-LOOKUP(C31,91:91,92:92)+100</f>
        <v>#N/A</v>
      </c>
      <c r="I31" s="260"/>
      <c r="J31" s="265" t="e">
        <f>LOOKUP(I31,91:91,92:92)-LOOKUP(C31,91:91,92:92)+100</f>
        <v>#N/A</v>
      </c>
      <c r="K31" s="408"/>
      <c r="L31" s="403"/>
      <c r="M31" s="404"/>
      <c r="N31" s="404"/>
      <c r="O31" s="406"/>
      <c r="P31" s="424"/>
      <c r="Q31" s="488" t="str">
        <f t="shared" si="11"/>
        <v>停车位面积</v>
      </c>
      <c r="R31" s="484" t="s">
        <v>1299</v>
      </c>
      <c r="S31" s="485" t="e">
        <f t="shared" si="12"/>
        <v>#N/A</v>
      </c>
      <c r="T31" s="484" t="s">
        <v>1299</v>
      </c>
      <c r="U31" s="485" t="e">
        <f t="shared" si="13"/>
        <v>#N/A</v>
      </c>
      <c r="V31" s="484" t="s">
        <v>1299</v>
      </c>
      <c r="W31" s="485" t="e">
        <f t="shared" si="14"/>
        <v>#N/A</v>
      </c>
      <c r="X31" s="486"/>
      <c r="Y31" s="424"/>
      <c r="Z31" s="509" t="str">
        <f t="shared" si="15"/>
        <v>停车位面积</v>
      </c>
      <c r="AA31" s="508" t="e">
        <f t="shared" si="3"/>
        <v>#N/A</v>
      </c>
      <c r="AB31" s="508" t="e">
        <f t="shared" si="4"/>
        <v>#N/A</v>
      </c>
      <c r="AC31" s="508" t="e">
        <f t="shared" si="5"/>
        <v>#N/A</v>
      </c>
    </row>
    <row r="32" ht="15" spans="1:29">
      <c r="A32" s="559"/>
      <c r="B32" s="557" t="s">
        <v>2393</v>
      </c>
      <c r="C32" s="312"/>
      <c r="D32" s="265">
        <v>100</v>
      </c>
      <c r="E32" s="312"/>
      <c r="F32" s="295">
        <f>SUMIF(93:93,E32,94:94)-SUMIF(93:93,C32,94:94)+100</f>
        <v>100</v>
      </c>
      <c r="G32" s="312"/>
      <c r="H32" s="265">
        <f>SUMIF(93:93,G32,94:94)-SUMIF(93:93,C32,94:94)+100</f>
        <v>100</v>
      </c>
      <c r="I32" s="312"/>
      <c r="J32" s="265">
        <f>SUMIF(93:93,I32,94:94)-SUMIF(93:93,C32,94:94)+100</f>
        <v>100</v>
      </c>
      <c r="K32" s="408"/>
      <c r="L32" s="415"/>
      <c r="M32" s="398"/>
      <c r="N32" s="398"/>
      <c r="O32" s="414"/>
      <c r="P32" s="424" t="s">
        <v>1314</v>
      </c>
      <c r="Q32" s="407" t="str">
        <f t="shared" si="11"/>
        <v>车位类型</v>
      </c>
      <c r="R32" s="489" t="s">
        <v>1299</v>
      </c>
      <c r="S32" s="490">
        <f t="shared" si="12"/>
        <v>100</v>
      </c>
      <c r="T32" s="489" t="s">
        <v>1299</v>
      </c>
      <c r="U32" s="490">
        <f t="shared" si="13"/>
        <v>100</v>
      </c>
      <c r="V32" s="489" t="s">
        <v>1299</v>
      </c>
      <c r="W32" s="490">
        <f t="shared" si="14"/>
        <v>100</v>
      </c>
      <c r="X32" s="476"/>
      <c r="Y32" s="424" t="s">
        <v>1314</v>
      </c>
      <c r="Z32" s="475" t="str">
        <f t="shared" si="15"/>
        <v>车位类型</v>
      </c>
      <c r="AA32" s="495">
        <f t="shared" si="3"/>
        <v>1</v>
      </c>
      <c r="AB32" s="495">
        <f t="shared" si="4"/>
        <v>1</v>
      </c>
      <c r="AC32" s="495">
        <f t="shared" si="5"/>
        <v>1</v>
      </c>
    </row>
    <row r="33" ht="15" spans="1:29">
      <c r="A33" s="559"/>
      <c r="B33" s="557" t="s">
        <v>2394</v>
      </c>
      <c r="C33" s="312"/>
      <c r="D33" s="265">
        <v>100</v>
      </c>
      <c r="E33" s="312"/>
      <c r="F33" s="295">
        <f>SUMIF(95:95,E33,96:96)-SUMIF(95:95,C33,96:96)+100</f>
        <v>100</v>
      </c>
      <c r="G33" s="312"/>
      <c r="H33" s="265">
        <f>SUMIF(95:95,G33,96:96)-SUMIF(95:95,C33,96:96)+100</f>
        <v>100</v>
      </c>
      <c r="I33" s="312"/>
      <c r="J33" s="265">
        <f>SUMIF(95:95,I33,96:96)-SUMIF(95:95,C33,96:96)+100</f>
        <v>100</v>
      </c>
      <c r="K33" s="408"/>
      <c r="L33" s="415"/>
      <c r="M33" s="398"/>
      <c r="N33" s="398"/>
      <c r="O33" s="414"/>
      <c r="P33" s="424"/>
      <c r="Q33" s="407" t="str">
        <f t="shared" si="11"/>
        <v>是否直接入户</v>
      </c>
      <c r="R33" s="489" t="s">
        <v>1299</v>
      </c>
      <c r="S33" s="490">
        <f t="shared" si="12"/>
        <v>100</v>
      </c>
      <c r="T33" s="489" t="s">
        <v>1299</v>
      </c>
      <c r="U33" s="490">
        <f t="shared" si="13"/>
        <v>100</v>
      </c>
      <c r="V33" s="489" t="s">
        <v>1299</v>
      </c>
      <c r="W33" s="490">
        <f t="shared" si="14"/>
        <v>100</v>
      </c>
      <c r="X33" s="476"/>
      <c r="Y33" s="424"/>
      <c r="Z33" s="475" t="str">
        <f t="shared" si="15"/>
        <v>是否直接入户</v>
      </c>
      <c r="AA33" s="495">
        <f t="shared" si="3"/>
        <v>1</v>
      </c>
      <c r="AB33" s="495">
        <f t="shared" si="4"/>
        <v>1</v>
      </c>
      <c r="AC33" s="495">
        <f t="shared" si="5"/>
        <v>1</v>
      </c>
    </row>
    <row r="34" ht="15" spans="1:29">
      <c r="A34" s="559"/>
      <c r="B34" s="548">
        <v>111</v>
      </c>
      <c r="C34" s="259"/>
      <c r="D34" s="265">
        <v>100</v>
      </c>
      <c r="E34" s="259"/>
      <c r="F34" s="295">
        <f>SUMIF(97:97,E34,98:98)-SUMIF(97:97,C34,98:98)+100</f>
        <v>100</v>
      </c>
      <c r="G34" s="259"/>
      <c r="H34" s="265">
        <f>SUMIF(97:97,G34,98:98)-SUMIF(97:97,C34,98:98)+100</f>
        <v>100</v>
      </c>
      <c r="I34" s="259"/>
      <c r="J34" s="265">
        <f>SUMIF(97:97,I34,98:98)-SUMIF(97:97,C34,98:98)+100</f>
        <v>100</v>
      </c>
      <c r="K34" s="412"/>
      <c r="L34" s="415"/>
      <c r="M34" s="398"/>
      <c r="N34" s="398"/>
      <c r="O34" s="414"/>
      <c r="P34" s="424"/>
      <c r="Q34" s="407">
        <f t="shared" si="11"/>
        <v>111</v>
      </c>
      <c r="R34" s="489" t="s">
        <v>1299</v>
      </c>
      <c r="S34" s="490">
        <f t="shared" si="12"/>
        <v>100</v>
      </c>
      <c r="T34" s="489" t="s">
        <v>1299</v>
      </c>
      <c r="U34" s="490">
        <f t="shared" si="13"/>
        <v>100</v>
      </c>
      <c r="V34" s="489" t="s">
        <v>1299</v>
      </c>
      <c r="W34" s="490">
        <f t="shared" si="14"/>
        <v>100</v>
      </c>
      <c r="X34" s="476"/>
      <c r="Y34" s="424"/>
      <c r="Z34" s="475">
        <f t="shared" si="15"/>
        <v>111</v>
      </c>
      <c r="AA34" s="495">
        <f t="shared" si="3"/>
        <v>1</v>
      </c>
      <c r="AB34" s="495">
        <f t="shared" si="4"/>
        <v>1</v>
      </c>
      <c r="AC34" s="495">
        <f t="shared" si="5"/>
        <v>1</v>
      </c>
    </row>
    <row r="35" s="198" customFormat="1" ht="15" spans="1:29">
      <c r="A35" s="556"/>
      <c r="B35" s="548">
        <v>111</v>
      </c>
      <c r="C35" s="259"/>
      <c r="D35" s="265">
        <v>100</v>
      </c>
      <c r="E35" s="259"/>
      <c r="F35" s="295">
        <f>SUMIF(99:99,E35,100:100)-SUMIF(99:99,C35,100:100)+100</f>
        <v>100</v>
      </c>
      <c r="G35" s="259"/>
      <c r="H35" s="265">
        <f>SUMIF(99:99,G35,100:100)-SUMIF(99:99,C35,100:100)+100</f>
        <v>100</v>
      </c>
      <c r="I35" s="259"/>
      <c r="J35" s="265">
        <f>SUMIF(99:99,I35,100:100)-SUMIF(99:99,C35,100:100)+100</f>
        <v>100</v>
      </c>
      <c r="K35" s="412"/>
      <c r="L35" s="413"/>
      <c r="M35" s="422"/>
      <c r="N35" s="422"/>
      <c r="O35" s="423"/>
      <c r="P35" s="424"/>
      <c r="Q35" s="491">
        <f t="shared" si="11"/>
        <v>111</v>
      </c>
      <c r="R35" s="492" t="s">
        <v>1299</v>
      </c>
      <c r="S35" s="493">
        <f t="shared" si="12"/>
        <v>100</v>
      </c>
      <c r="T35" s="492" t="s">
        <v>1299</v>
      </c>
      <c r="U35" s="493">
        <f t="shared" si="13"/>
        <v>100</v>
      </c>
      <c r="V35" s="492" t="s">
        <v>1299</v>
      </c>
      <c r="W35" s="493">
        <f t="shared" si="14"/>
        <v>100</v>
      </c>
      <c r="X35" s="494"/>
      <c r="Y35" s="424"/>
      <c r="Z35" s="510">
        <f t="shared" si="15"/>
        <v>111</v>
      </c>
      <c r="AA35" s="495">
        <f t="shared" si="3"/>
        <v>1</v>
      </c>
      <c r="AB35" s="495">
        <f t="shared" si="4"/>
        <v>1</v>
      </c>
      <c r="AC35" s="495">
        <f t="shared" si="5"/>
        <v>1</v>
      </c>
    </row>
    <row r="36" ht="15.75" spans="1:29">
      <c r="A36" s="561"/>
      <c r="B36" s="550">
        <v>111</v>
      </c>
      <c r="C36" s="264"/>
      <c r="D36" s="265">
        <v>100</v>
      </c>
      <c r="E36" s="259"/>
      <c r="F36" s="295">
        <f>SUMIF(101:101,E36,102:102)-SUMIF(101:101,C36,102:102)+100</f>
        <v>100</v>
      </c>
      <c r="G36" s="259"/>
      <c r="H36" s="265">
        <f>SUMIF(101:101,G36,102:102)-SUMIF(101:101,C36,102:102)+100</f>
        <v>100</v>
      </c>
      <c r="I36" s="259"/>
      <c r="J36" s="265">
        <f>SUMIF(101:101,I36,102:102)-SUMIF(101:101,C36,102:102)+100</f>
        <v>100</v>
      </c>
      <c r="K36" s="412"/>
      <c r="L36" s="415"/>
      <c r="M36" s="398"/>
      <c r="N36" s="398"/>
      <c r="O36" s="414"/>
      <c r="P36" s="424"/>
      <c r="Q36" s="407">
        <f t="shared" si="11"/>
        <v>111</v>
      </c>
      <c r="R36" s="489" t="s">
        <v>1299</v>
      </c>
      <c r="S36" s="490">
        <f t="shared" si="12"/>
        <v>100</v>
      </c>
      <c r="T36" s="489" t="s">
        <v>1299</v>
      </c>
      <c r="U36" s="490">
        <f t="shared" si="13"/>
        <v>100</v>
      </c>
      <c r="V36" s="489" t="s">
        <v>1299</v>
      </c>
      <c r="W36" s="490">
        <f t="shared" si="14"/>
        <v>100</v>
      </c>
      <c r="X36" s="476"/>
      <c r="Y36" s="424"/>
      <c r="Z36" s="475">
        <f t="shared" si="15"/>
        <v>111</v>
      </c>
      <c r="AA36" s="495">
        <f t="shared" si="3"/>
        <v>1</v>
      </c>
      <c r="AB36" s="495">
        <f t="shared" si="4"/>
        <v>1</v>
      </c>
      <c r="AC36" s="495">
        <f t="shared" si="5"/>
        <v>1</v>
      </c>
    </row>
    <row r="37" ht="15" spans="1:29">
      <c r="A37" s="562" t="s">
        <v>2395</v>
      </c>
      <c r="B37" s="563" t="s">
        <v>810</v>
      </c>
      <c r="C37" s="323" t="s">
        <v>138</v>
      </c>
      <c r="D37" s="324"/>
      <c r="E37" s="325"/>
      <c r="F37" s="326"/>
      <c r="G37" s="327"/>
      <c r="H37" s="328"/>
      <c r="I37" s="325"/>
      <c r="J37" s="328"/>
      <c r="K37" s="425"/>
      <c r="L37" s="426"/>
      <c r="M37" s="349"/>
      <c r="N37" s="398"/>
      <c r="O37" s="349"/>
      <c r="P37" s="407" t="str">
        <f>A37</f>
        <v>成交单价</v>
      </c>
      <c r="Q37" s="407"/>
      <c r="R37" s="495">
        <f>E37</f>
        <v>0</v>
      </c>
      <c r="S37" s="495"/>
      <c r="T37" s="495">
        <f>G37</f>
        <v>0</v>
      </c>
      <c r="U37" s="495"/>
      <c r="V37" s="495">
        <f>I37</f>
        <v>0</v>
      </c>
      <c r="W37" s="495"/>
      <c r="X37" s="351"/>
      <c r="Y37" s="511"/>
      <c r="Z37" s="351"/>
      <c r="AA37" s="351"/>
      <c r="AB37" s="351"/>
      <c r="AC37" s="351"/>
    </row>
    <row r="38" ht="15.75" spans="1:29">
      <c r="A38" s="329" t="s">
        <v>1323</v>
      </c>
      <c r="B38" s="330"/>
      <c r="C38" s="331" t="e">
        <f>R39</f>
        <v>#DIV/0!</v>
      </c>
      <c r="D38" s="332" t="s">
        <v>1324</v>
      </c>
      <c r="E38" s="333" t="e">
        <f>R38</f>
        <v>#DIV/0!</v>
      </c>
      <c r="F38" s="334"/>
      <c r="G38" s="331" t="e">
        <f>T38</f>
        <v>#DIV/0!</v>
      </c>
      <c r="H38" s="334"/>
      <c r="I38" s="333" t="e">
        <f>V38</f>
        <v>#DIV/0!</v>
      </c>
      <c r="J38" s="334"/>
      <c r="K38" s="427">
        <f>F38+H38+J38</f>
        <v>0</v>
      </c>
      <c r="L38" s="426"/>
      <c r="M38" s="349"/>
      <c r="N38" s="349"/>
      <c r="O38" s="349"/>
      <c r="P38" s="407" t="str">
        <f>A38</f>
        <v>比较价格（元/平方米）</v>
      </c>
      <c r="Q38" s="407"/>
      <c r="R38" s="495" t="e">
        <f>IF(F1="售价",ROUND(PRODUCT(R37,AA7:AA36),0),ROUND(PRODUCT(R37,AA7:AA36),1))</f>
        <v>#DIV/0!</v>
      </c>
      <c r="S38" s="495"/>
      <c r="T38" s="495" t="e">
        <f>IF(F1="售价",ROUND(PRODUCT(T37,AB7:AB36),0),ROUND(PRODUCT(T37,AB7:AB36),1))</f>
        <v>#DIV/0!</v>
      </c>
      <c r="U38" s="495"/>
      <c r="V38" s="495" t="e">
        <f>IF(F1="售价",ROUND(PRODUCT(V37,AC7:AC36),0),ROUND(PRODUCT(V37,AC7:AC36),1))</f>
        <v>#DIV/0!</v>
      </c>
      <c r="W38" s="495"/>
      <c r="X38" s="351"/>
      <c r="Y38" s="351"/>
      <c r="Z38" s="351"/>
      <c r="AA38" s="351"/>
      <c r="AB38" s="351"/>
      <c r="AC38" s="351"/>
    </row>
    <row r="39" ht="15.75" spans="1:29">
      <c r="A39" s="335" t="s">
        <v>1325</v>
      </c>
      <c r="B39" s="336"/>
      <c r="C39" s="337" t="e">
        <f>R39</f>
        <v>#DIV/0!</v>
      </c>
      <c r="D39" s="337"/>
      <c r="E39" s="337"/>
      <c r="F39" s="337"/>
      <c r="G39" s="337"/>
      <c r="H39" s="337"/>
      <c r="I39" s="337"/>
      <c r="J39" s="337"/>
      <c r="K39" s="428"/>
      <c r="L39" s="426"/>
      <c r="M39" s="349"/>
      <c r="N39" s="349"/>
      <c r="O39" s="349"/>
      <c r="P39" s="429" t="str">
        <f>A39</f>
        <v>估价对象XX用房的比较价格（楼面单价，元/平方米）</v>
      </c>
      <c r="Q39" s="496"/>
      <c r="R39" s="497" t="e">
        <f>IF(F1="售价",ROUND(IF(D38="简单平均",AVERAGE(R38:W38),R38*F38+T38*H38+V38*J38),0),ROUND(IF(D38="简单平均",AVERAGE(R38:V38),R38*F38+T38*H38+V38*J38),1))</f>
        <v>#DIV/0!</v>
      </c>
      <c r="S39" s="497"/>
      <c r="T39" s="497"/>
      <c r="U39" s="497"/>
      <c r="V39" s="497"/>
      <c r="W39" s="497"/>
      <c r="X39" s="351"/>
      <c r="Y39" s="351"/>
      <c r="Z39" s="351"/>
      <c r="AA39" s="351"/>
      <c r="AB39" s="351"/>
      <c r="AC39" s="351"/>
    </row>
    <row r="40" spans="1:29">
      <c r="A40" s="338"/>
      <c r="B40" s="338"/>
      <c r="C40" s="338"/>
      <c r="D40" s="338"/>
      <c r="E40" s="338"/>
      <c r="F40" s="338"/>
      <c r="G40" s="339"/>
      <c r="H40" s="338"/>
      <c r="I40" s="338"/>
      <c r="J40" s="338"/>
      <c r="K40" s="430"/>
      <c r="L40" s="431"/>
      <c r="M40" s="349"/>
      <c r="N40" s="349"/>
      <c r="O40" s="349"/>
      <c r="P40" s="349"/>
      <c r="Q40" s="349"/>
      <c r="R40" s="349"/>
      <c r="S40" s="349"/>
      <c r="T40" s="349"/>
      <c r="U40" s="349"/>
      <c r="V40" s="349"/>
      <c r="W40" s="349"/>
      <c r="X40" s="349"/>
      <c r="Y40" s="349"/>
      <c r="Z40" s="349"/>
      <c r="AA40" s="349"/>
      <c r="AB40" s="349"/>
      <c r="AC40" s="349"/>
    </row>
    <row r="41" spans="1:29">
      <c r="A41" s="338"/>
      <c r="B41" s="338"/>
      <c r="C41" s="338"/>
      <c r="D41" s="338"/>
      <c r="E41" s="338"/>
      <c r="F41" s="338"/>
      <c r="G41" s="338"/>
      <c r="H41" s="338"/>
      <c r="I41" s="338"/>
      <c r="J41" s="338"/>
      <c r="K41" s="430"/>
      <c r="L41" s="431"/>
      <c r="M41" s="349"/>
      <c r="N41" s="349"/>
      <c r="O41" s="349"/>
      <c r="P41" s="349"/>
      <c r="Q41" s="349"/>
      <c r="R41" s="349"/>
      <c r="S41" s="349"/>
      <c r="T41" s="349"/>
      <c r="U41" s="349"/>
      <c r="V41" s="349"/>
      <c r="W41" s="349"/>
      <c r="X41" s="349"/>
      <c r="Y41" s="349"/>
      <c r="Z41" s="349"/>
      <c r="AA41" s="349"/>
      <c r="AB41" s="349"/>
      <c r="AC41" s="349"/>
    </row>
    <row r="42" ht="13.5" customHeight="1" spans="1:29">
      <c r="A42" s="338"/>
      <c r="B42" s="338"/>
      <c r="C42" s="340" t="s">
        <v>1326</v>
      </c>
      <c r="D42" s="341"/>
      <c r="E42" s="342" t="e">
        <f>IF(E37&lt;E38,E38/E37-1,E37/E38-1)</f>
        <v>#DIV/0!</v>
      </c>
      <c r="F42" s="343" t="e">
        <f>IF(OR(E42&gt;=0.3,E42&lt;=-0.3),"超过30%","")</f>
        <v>#DIV/0!</v>
      </c>
      <c r="G42" s="342" t="e">
        <f>IF(G37&lt;G38,G38/G37-1,G37/G38-1)</f>
        <v>#DIV/0!</v>
      </c>
      <c r="H42" s="343" t="e">
        <f>IF(OR(G42&gt;=0.3,G42&lt;=-0.3),"超过30%","")</f>
        <v>#DIV/0!</v>
      </c>
      <c r="I42" s="342" t="e">
        <f>IF(I37&lt;I38,I38/I37-1,I37/I38-1)</f>
        <v>#DIV/0!</v>
      </c>
      <c r="J42" s="343" t="e">
        <f>IF(OR(I42&gt;=0.3,I42&lt;=-0.3),"超过30%","")</f>
        <v>#DIV/0!</v>
      </c>
      <c r="K42" s="430"/>
      <c r="L42" s="431"/>
      <c r="M42" s="349"/>
      <c r="N42" s="349"/>
      <c r="O42" s="349"/>
      <c r="P42" s="349"/>
      <c r="Q42" s="349"/>
      <c r="R42" s="349"/>
      <c r="S42" s="349"/>
      <c r="T42" s="349"/>
      <c r="U42" s="349"/>
      <c r="V42" s="349"/>
      <c r="W42" s="349"/>
      <c r="X42" s="349"/>
      <c r="Y42" s="349"/>
      <c r="Z42" s="349"/>
      <c r="AA42" s="349"/>
      <c r="AB42" s="349"/>
      <c r="AC42" s="349"/>
    </row>
    <row r="43" ht="13.5" customHeight="1" spans="1:29">
      <c r="A43" s="338"/>
      <c r="B43" s="338"/>
      <c r="C43" s="340" t="s">
        <v>1327</v>
      </c>
      <c r="D43" s="344"/>
      <c r="E43" s="342" t="e">
        <f>IF(E38&lt;G38,G38/E38-1,E38/G38-1)</f>
        <v>#DIV/0!</v>
      </c>
      <c r="F43" s="343" t="e">
        <f>IF(OR(E43&gt;=0.2,E43&lt;=-0.2),"超过20%","")</f>
        <v>#DIV/0!</v>
      </c>
      <c r="G43" s="342" t="e">
        <f>IF(G38&lt;I38,I38/G38-1,G38/I38-1)</f>
        <v>#DIV/0!</v>
      </c>
      <c r="H43" s="343" t="e">
        <f>IF(OR(G43&gt;=0.2,G43&lt;=-0.2),"超过20%","")</f>
        <v>#DIV/0!</v>
      </c>
      <c r="I43" s="342" t="e">
        <f>IF(I38&lt;E38,E38/I38-1,I38/E38-1)</f>
        <v>#DIV/0!</v>
      </c>
      <c r="J43" s="343" t="e">
        <f>IF(OR(I43&gt;=0.2,I43&lt;=-0.2),"超过20%","")</f>
        <v>#DIV/0!</v>
      </c>
      <c r="K43" s="430"/>
      <c r="L43" s="431"/>
      <c r="M43" s="349"/>
      <c r="N43" s="349"/>
      <c r="O43" s="349"/>
      <c r="P43" s="349"/>
      <c r="Q43" s="349"/>
      <c r="R43" s="349"/>
      <c r="S43" s="349"/>
      <c r="T43" s="349"/>
      <c r="U43" s="349"/>
      <c r="V43" s="349"/>
      <c r="W43" s="349"/>
      <c r="X43" s="349"/>
      <c r="Y43" s="349"/>
      <c r="Z43" s="349"/>
      <c r="AA43" s="349"/>
      <c r="AB43" s="349"/>
      <c r="AC43" s="349"/>
    </row>
    <row r="44" s="199" customFormat="1" ht="13.5" customHeight="1" spans="1:29">
      <c r="A44" s="345"/>
      <c r="B44" s="345"/>
      <c r="C44" s="340" t="s">
        <v>1328</v>
      </c>
      <c r="D44" s="344"/>
      <c r="E44" s="342" t="e">
        <f>IF(E37&lt;G37,G37/E37-1,E37/G37-1)</f>
        <v>#DIV/0!</v>
      </c>
      <c r="F44" s="343" t="e">
        <f>IF(OR(E44&gt;=0.3,E44&lt;=-0.3),"超过30%","")</f>
        <v>#DIV/0!</v>
      </c>
      <c r="G44" s="342" t="e">
        <f>IF(G37&lt;I37,I37/G37-1,G37/I37-1)</f>
        <v>#DIV/0!</v>
      </c>
      <c r="H44" s="343" t="e">
        <f>IF(OR(G44&gt;=0.3,G44&lt;=-0.3),"超过30%","")</f>
        <v>#DIV/0!</v>
      </c>
      <c r="I44" s="342" t="e">
        <f>IF(I37&lt;E37,E37/I37-1,I37/E37-1)</f>
        <v>#DIV/0!</v>
      </c>
      <c r="J44" s="343" t="e">
        <f>IF(OR(I44&gt;=0.3,I44&lt;=-0.3),"超过30%","")</f>
        <v>#DIV/0!</v>
      </c>
      <c r="K44" s="432"/>
      <c r="L44" s="433"/>
      <c r="M44" s="346"/>
      <c r="N44" s="346"/>
      <c r="O44" s="346"/>
      <c r="P44" s="346"/>
      <c r="Q44" s="346"/>
      <c r="R44" s="346"/>
      <c r="S44" s="346"/>
      <c r="T44" s="346"/>
      <c r="U44" s="346"/>
      <c r="V44" s="346"/>
      <c r="W44" s="346"/>
      <c r="X44" s="346"/>
      <c r="Y44" s="346"/>
      <c r="Z44" s="346"/>
      <c r="AA44" s="346"/>
      <c r="AB44" s="346"/>
      <c r="AC44" s="346"/>
    </row>
    <row r="45" s="199" customFormat="1" spans="1:29">
      <c r="A45" s="346"/>
      <c r="B45" s="347"/>
      <c r="C45" s="348"/>
      <c r="D45" s="346"/>
      <c r="E45" s="346"/>
      <c r="F45" s="346"/>
      <c r="G45" s="346"/>
      <c r="H45" s="346"/>
      <c r="I45" s="346"/>
      <c r="J45" s="346"/>
      <c r="K45" s="434"/>
      <c r="L45" s="433"/>
      <c r="M45" s="346"/>
      <c r="N45" s="346"/>
      <c r="O45" s="346"/>
      <c r="P45" s="346"/>
      <c r="Q45" s="346"/>
      <c r="R45" s="346"/>
      <c r="S45" s="346"/>
      <c r="T45" s="346"/>
      <c r="U45" s="346"/>
      <c r="V45" s="346"/>
      <c r="W45" s="346"/>
      <c r="X45" s="346"/>
      <c r="Y45" s="346"/>
      <c r="Z45" s="346"/>
      <c r="AA45" s="346"/>
      <c r="AB45" s="346"/>
      <c r="AC45" s="346"/>
    </row>
    <row r="46" spans="1:29">
      <c r="A46" s="349"/>
      <c r="B46" s="347"/>
      <c r="C46" s="348"/>
      <c r="D46" s="349"/>
      <c r="E46" s="349"/>
      <c r="F46" s="349"/>
      <c r="G46" s="349"/>
      <c r="H46" s="349"/>
      <c r="I46" s="349"/>
      <c r="J46" s="349"/>
      <c r="K46" s="435"/>
      <c r="L46" s="431"/>
      <c r="M46" s="349"/>
      <c r="N46" s="349"/>
      <c r="O46" s="349"/>
      <c r="P46" s="349"/>
      <c r="Q46" s="349"/>
      <c r="R46" s="349"/>
      <c r="S46" s="349"/>
      <c r="T46" s="349"/>
      <c r="U46" s="349"/>
      <c r="V46" s="349"/>
      <c r="W46" s="349"/>
      <c r="X46" s="349"/>
      <c r="Y46" s="349"/>
      <c r="Z46" s="349"/>
      <c r="AA46" s="349"/>
      <c r="AB46" s="349"/>
      <c r="AC46" s="349"/>
    </row>
    <row r="47" ht="21" spans="1:29">
      <c r="A47" s="350" t="s">
        <v>1350</v>
      </c>
      <c r="B47" s="351"/>
      <c r="C47" s="438"/>
      <c r="D47" s="438"/>
      <c r="E47" s="438"/>
      <c r="F47" s="564"/>
      <c r="G47" s="564"/>
      <c r="H47" s="438"/>
      <c r="I47" s="438"/>
      <c r="J47" s="438"/>
      <c r="K47" s="566"/>
      <c r="L47" s="567"/>
      <c r="M47" s="438"/>
      <c r="N47" s="438"/>
      <c r="O47" s="438"/>
      <c r="P47" s="438"/>
      <c r="Q47" s="442"/>
      <c r="R47" s="349"/>
      <c r="S47" s="349"/>
      <c r="T47" s="349"/>
      <c r="U47" s="349"/>
      <c r="V47" s="349"/>
      <c r="W47" s="349"/>
      <c r="X47" s="349"/>
      <c r="Y47" s="349"/>
      <c r="Z47" s="349"/>
      <c r="AA47" s="349"/>
      <c r="AB47" s="349"/>
      <c r="AC47" s="349"/>
    </row>
    <row r="48" s="200" customFormat="1" ht="15" spans="1:29">
      <c r="A48" s="354" t="s">
        <v>1297</v>
      </c>
      <c r="B48" s="355"/>
      <c r="C48" s="356" t="str">
        <f>YEAR(C7)&amp;"-"&amp;MONTH(C7)</f>
        <v>2021-11</v>
      </c>
      <c r="D48" s="357">
        <f>EDATE(C48,-1)</f>
        <v>44470</v>
      </c>
      <c r="E48" s="357">
        <f t="shared" ref="E48:O48" si="16">EDATE(D48,-1)</f>
        <v>44440</v>
      </c>
      <c r="F48" s="357">
        <f t="shared" si="16"/>
        <v>44409</v>
      </c>
      <c r="G48" s="357">
        <f t="shared" si="16"/>
        <v>44378</v>
      </c>
      <c r="H48" s="357">
        <f t="shared" si="16"/>
        <v>44348</v>
      </c>
      <c r="I48" s="357">
        <f t="shared" si="16"/>
        <v>44317</v>
      </c>
      <c r="J48" s="357">
        <f t="shared" si="16"/>
        <v>44287</v>
      </c>
      <c r="K48" s="357">
        <f t="shared" si="16"/>
        <v>44256</v>
      </c>
      <c r="L48" s="357">
        <f t="shared" si="16"/>
        <v>44228</v>
      </c>
      <c r="M48" s="357">
        <f t="shared" si="16"/>
        <v>44197</v>
      </c>
      <c r="N48" s="357">
        <f t="shared" si="16"/>
        <v>44166</v>
      </c>
      <c r="O48" s="357">
        <f t="shared" si="16"/>
        <v>44136</v>
      </c>
      <c r="P48" s="439"/>
      <c r="Q48" s="498"/>
      <c r="R48" s="498"/>
      <c r="S48" s="498"/>
      <c r="T48" s="498"/>
      <c r="U48" s="498"/>
      <c r="V48" s="498"/>
      <c r="W48" s="498"/>
      <c r="X48" s="498"/>
      <c r="Y48" s="498"/>
      <c r="Z48" s="498"/>
      <c r="AA48" s="498"/>
      <c r="AB48" s="498"/>
      <c r="AC48" s="498"/>
    </row>
    <row r="49" s="196" customFormat="1" ht="15" spans="1:29">
      <c r="A49" s="358"/>
      <c r="B49" s="359"/>
      <c r="C49" s="565">
        <v>100</v>
      </c>
      <c r="D49" s="361"/>
      <c r="E49" s="361"/>
      <c r="F49" s="361"/>
      <c r="G49" s="361"/>
      <c r="H49" s="361"/>
      <c r="I49" s="361"/>
      <c r="J49" s="361"/>
      <c r="K49" s="361"/>
      <c r="L49" s="361"/>
      <c r="M49" s="440"/>
      <c r="N49" s="361"/>
      <c r="O49" s="441"/>
      <c r="P49" s="442"/>
      <c r="Q49" s="499"/>
      <c r="R49" s="499"/>
      <c r="S49" s="499"/>
      <c r="T49" s="499"/>
      <c r="U49" s="499"/>
      <c r="V49" s="499"/>
      <c r="W49" s="499"/>
      <c r="X49" s="499"/>
      <c r="Y49" s="499"/>
      <c r="Z49" s="499"/>
      <c r="AA49" s="499"/>
      <c r="AB49" s="499"/>
      <c r="AC49" s="499"/>
    </row>
    <row r="50" s="196" customFormat="1" ht="15.75" spans="1:29">
      <c r="A50" s="362" t="s">
        <v>1366</v>
      </c>
      <c r="B50" s="363"/>
      <c r="C50" s="364"/>
      <c r="D50" s="365"/>
      <c r="E50" s="365"/>
      <c r="F50" s="365"/>
      <c r="G50" s="365"/>
      <c r="H50" s="365"/>
      <c r="I50" s="365"/>
      <c r="J50" s="365"/>
      <c r="K50" s="365"/>
      <c r="L50" s="365"/>
      <c r="M50" s="443"/>
      <c r="N50" s="365"/>
      <c r="O50" s="444"/>
      <c r="P50" s="442"/>
      <c r="Q50" s="442"/>
      <c r="R50" s="499"/>
      <c r="S50" s="499"/>
      <c r="T50" s="499"/>
      <c r="U50" s="499"/>
      <c r="V50" s="499"/>
      <c r="W50" s="499"/>
      <c r="X50" s="499"/>
      <c r="Y50" s="499"/>
      <c r="Z50" s="499"/>
      <c r="AA50" s="499"/>
      <c r="AB50" s="499"/>
      <c r="AC50" s="499"/>
    </row>
    <row r="51" s="196" customFormat="1" ht="15" spans="1:29">
      <c r="A51" s="366" t="s">
        <v>1300</v>
      </c>
      <c r="B51" s="359"/>
      <c r="C51" s="367" t="s">
        <v>1301</v>
      </c>
      <c r="D51" s="368"/>
      <c r="E51" s="368"/>
      <c r="F51" s="368"/>
      <c r="G51" s="368"/>
      <c r="H51" s="368"/>
      <c r="I51" s="368"/>
      <c r="J51" s="368"/>
      <c r="K51" s="368"/>
      <c r="L51" s="445"/>
      <c r="M51" s="446"/>
      <c r="N51" s="447"/>
      <c r="O51" s="447"/>
      <c r="P51" s="448"/>
      <c r="Q51" s="442"/>
      <c r="R51" s="499"/>
      <c r="S51" s="499"/>
      <c r="T51" s="499"/>
      <c r="U51" s="499"/>
      <c r="V51" s="499"/>
      <c r="W51" s="499"/>
      <c r="X51" s="499"/>
      <c r="Y51" s="499"/>
      <c r="Z51" s="499"/>
      <c r="AA51" s="499"/>
      <c r="AB51" s="499"/>
      <c r="AC51" s="499"/>
    </row>
    <row r="52" s="196" customFormat="1" ht="15.75" spans="1:29">
      <c r="A52" s="366"/>
      <c r="B52" s="359"/>
      <c r="C52" s="360">
        <v>100</v>
      </c>
      <c r="D52" s="361"/>
      <c r="E52" s="361"/>
      <c r="F52" s="361"/>
      <c r="G52" s="361"/>
      <c r="H52" s="361"/>
      <c r="I52" s="361"/>
      <c r="J52" s="361"/>
      <c r="K52" s="361"/>
      <c r="L52" s="361"/>
      <c r="M52" s="441"/>
      <c r="N52" s="447"/>
      <c r="O52" s="447"/>
      <c r="P52" s="442"/>
      <c r="Q52" s="442"/>
      <c r="R52" s="499"/>
      <c r="S52" s="499"/>
      <c r="T52" s="499"/>
      <c r="U52" s="499"/>
      <c r="V52" s="499"/>
      <c r="W52" s="499"/>
      <c r="X52" s="499"/>
      <c r="Y52" s="499"/>
      <c r="Z52" s="499"/>
      <c r="AA52" s="499"/>
      <c r="AB52" s="499"/>
      <c r="AC52" s="499"/>
    </row>
    <row r="53" spans="1:29">
      <c r="A53" s="369" t="s">
        <v>1353</v>
      </c>
      <c r="B53" s="370" t="s">
        <v>1354</v>
      </c>
      <c r="C53" s="371">
        <f>C9</f>
        <v>0</v>
      </c>
      <c r="D53" s="372"/>
      <c r="E53" s="372"/>
      <c r="F53" s="372"/>
      <c r="G53" s="372"/>
      <c r="H53" s="372"/>
      <c r="I53" s="372"/>
      <c r="J53" s="372"/>
      <c r="K53" s="449"/>
      <c r="L53" s="450"/>
      <c r="M53" s="451"/>
      <c r="N53" s="452"/>
      <c r="O53" s="452"/>
      <c r="P53" s="453"/>
      <c r="Q53" s="442"/>
      <c r="R53" s="349"/>
      <c r="S53" s="349"/>
      <c r="T53" s="349"/>
      <c r="U53" s="349"/>
      <c r="V53" s="349"/>
      <c r="W53" s="349"/>
      <c r="X53" s="349"/>
      <c r="Y53" s="349"/>
      <c r="Z53" s="349"/>
      <c r="AA53" s="349"/>
      <c r="AB53" s="349"/>
      <c r="AC53" s="349"/>
    </row>
    <row r="54" ht="15.75" spans="1:29">
      <c r="A54" s="373"/>
      <c r="B54" s="374"/>
      <c r="C54" s="375"/>
      <c r="D54" s="375"/>
      <c r="E54" s="375"/>
      <c r="F54" s="375"/>
      <c r="G54" s="375"/>
      <c r="H54" s="375"/>
      <c r="I54" s="375"/>
      <c r="J54" s="375"/>
      <c r="K54" s="375"/>
      <c r="L54" s="375"/>
      <c r="M54" s="454"/>
      <c r="N54" s="455"/>
      <c r="O54" s="455"/>
      <c r="P54" s="453"/>
      <c r="Q54" s="442"/>
      <c r="R54" s="349"/>
      <c r="S54" s="349"/>
      <c r="T54" s="349"/>
      <c r="U54" s="349"/>
      <c r="V54" s="349"/>
      <c r="W54" s="349"/>
      <c r="X54" s="349"/>
      <c r="Y54" s="349"/>
      <c r="Z54" s="349"/>
      <c r="AA54" s="349"/>
      <c r="AB54" s="349"/>
      <c r="AC54" s="349"/>
    </row>
    <row r="55" ht="27.75" spans="1:29">
      <c r="A55" s="373"/>
      <c r="B55" s="376" t="s">
        <v>1355</v>
      </c>
      <c r="C55" s="377" t="s">
        <v>1585</v>
      </c>
      <c r="D55" s="377" t="s">
        <v>1586</v>
      </c>
      <c r="E55" s="377" t="s">
        <v>1587</v>
      </c>
      <c r="F55" s="377" t="s">
        <v>1588</v>
      </c>
      <c r="G55" s="377" t="s">
        <v>1589</v>
      </c>
      <c r="H55" s="377" t="s">
        <v>1590</v>
      </c>
      <c r="I55" s="377" t="s">
        <v>1591</v>
      </c>
      <c r="J55" s="377"/>
      <c r="K55" s="456"/>
      <c r="L55" s="457"/>
      <c r="M55" s="458"/>
      <c r="N55" s="452"/>
      <c r="O55" s="452"/>
      <c r="P55" s="453"/>
      <c r="Q55" s="442"/>
      <c r="R55" s="349"/>
      <c r="S55" s="349"/>
      <c r="T55" s="349"/>
      <c r="U55" s="349"/>
      <c r="V55" s="349"/>
      <c r="W55" s="349"/>
      <c r="X55" s="349"/>
      <c r="Y55" s="349"/>
      <c r="Z55" s="349"/>
      <c r="AA55" s="349"/>
      <c r="AB55" s="349"/>
      <c r="AC55" s="349"/>
    </row>
    <row r="56" ht="15.75" spans="1:29">
      <c r="A56" s="373"/>
      <c r="B56" s="378"/>
      <c r="C56" s="379" t="s">
        <v>1349</v>
      </c>
      <c r="D56" s="379" t="s">
        <v>1349</v>
      </c>
      <c r="E56" s="379">
        <v>100</v>
      </c>
      <c r="F56" s="379">
        <f>E56-$K10</f>
        <v>100</v>
      </c>
      <c r="G56" s="379">
        <f>F56-$K10</f>
        <v>100</v>
      </c>
      <c r="H56" s="379">
        <f>G56-$K10</f>
        <v>100</v>
      </c>
      <c r="I56" s="379">
        <f>H56-$K10</f>
        <v>100</v>
      </c>
      <c r="J56" s="379"/>
      <c r="K56" s="379"/>
      <c r="L56" s="379"/>
      <c r="M56" s="459"/>
      <c r="N56" s="455"/>
      <c r="O56" s="455"/>
      <c r="P56" s="453"/>
      <c r="Q56" s="442"/>
      <c r="R56" s="349"/>
      <c r="S56" s="349"/>
      <c r="T56" s="349"/>
      <c r="U56" s="349"/>
      <c r="V56" s="349"/>
      <c r="W56" s="349"/>
      <c r="X56" s="349"/>
      <c r="Y56" s="349"/>
      <c r="Z56" s="349"/>
      <c r="AA56" s="349"/>
      <c r="AB56" s="349"/>
      <c r="AC56" s="349"/>
    </row>
    <row r="57" ht="15.75" spans="1:29">
      <c r="A57" s="373"/>
      <c r="B57" s="380">
        <f>B11</f>
        <v>111</v>
      </c>
      <c r="C57" s="381"/>
      <c r="D57" s="381"/>
      <c r="E57" s="381"/>
      <c r="F57" s="381"/>
      <c r="G57" s="381"/>
      <c r="H57" s="381"/>
      <c r="I57" s="381"/>
      <c r="J57" s="381"/>
      <c r="K57" s="460"/>
      <c r="L57" s="461"/>
      <c r="M57" s="462"/>
      <c r="N57" s="452"/>
      <c r="O57" s="452"/>
      <c r="P57" s="453"/>
      <c r="Q57" s="442"/>
      <c r="R57" s="349"/>
      <c r="S57" s="349"/>
      <c r="T57" s="349"/>
      <c r="U57" s="349"/>
      <c r="V57" s="349"/>
      <c r="W57" s="349"/>
      <c r="X57" s="349"/>
      <c r="Y57" s="349"/>
      <c r="Z57" s="349"/>
      <c r="AA57" s="349"/>
      <c r="AB57" s="349"/>
      <c r="AC57" s="349"/>
    </row>
    <row r="58" ht="15.75" spans="1:29">
      <c r="A58" s="373"/>
      <c r="B58" s="374"/>
      <c r="C58" s="382"/>
      <c r="D58" s="375"/>
      <c r="E58" s="375"/>
      <c r="F58" s="375"/>
      <c r="G58" s="375"/>
      <c r="H58" s="375"/>
      <c r="I58" s="375"/>
      <c r="J58" s="375"/>
      <c r="K58" s="375"/>
      <c r="L58" s="375"/>
      <c r="M58" s="454"/>
      <c r="N58" s="455"/>
      <c r="O58" s="455"/>
      <c r="P58" s="453"/>
      <c r="Q58" s="442"/>
      <c r="R58" s="349"/>
      <c r="S58" s="349"/>
      <c r="T58" s="349"/>
      <c r="U58" s="349"/>
      <c r="V58" s="349"/>
      <c r="W58" s="349"/>
      <c r="X58" s="349"/>
      <c r="Y58" s="349"/>
      <c r="Z58" s="349"/>
      <c r="AA58" s="349"/>
      <c r="AB58" s="349"/>
      <c r="AC58" s="349"/>
    </row>
    <row r="59" s="198" customFormat="1" ht="15.75" spans="1:29">
      <c r="A59" s="383"/>
      <c r="B59" s="376">
        <f>B12</f>
        <v>111</v>
      </c>
      <c r="C59" s="381"/>
      <c r="D59" s="381"/>
      <c r="E59" s="381"/>
      <c r="F59" s="381"/>
      <c r="G59" s="384"/>
      <c r="H59" s="385"/>
      <c r="I59" s="385"/>
      <c r="J59" s="385"/>
      <c r="K59" s="385"/>
      <c r="L59" s="463"/>
      <c r="M59" s="464"/>
      <c r="N59" s="465"/>
      <c r="O59" s="465"/>
      <c r="P59" s="466"/>
      <c r="Q59" s="500"/>
      <c r="R59" s="501"/>
      <c r="S59" s="501"/>
      <c r="T59" s="501"/>
      <c r="U59" s="501"/>
      <c r="V59" s="501"/>
      <c r="W59" s="501"/>
      <c r="X59" s="501"/>
      <c r="Y59" s="501"/>
      <c r="Z59" s="501"/>
      <c r="AA59" s="501"/>
      <c r="AB59" s="501"/>
      <c r="AC59" s="501"/>
    </row>
    <row r="60" s="198" customFormat="1" ht="15.75" spans="1:29">
      <c r="A60" s="383"/>
      <c r="B60" s="378"/>
      <c r="C60" s="382"/>
      <c r="D60" s="375"/>
      <c r="E60" s="375"/>
      <c r="F60" s="375"/>
      <c r="G60" s="375"/>
      <c r="H60" s="375"/>
      <c r="I60" s="375"/>
      <c r="J60" s="375"/>
      <c r="K60" s="375"/>
      <c r="L60" s="375"/>
      <c r="M60" s="454"/>
      <c r="N60" s="455"/>
      <c r="O60" s="455"/>
      <c r="P60" s="466"/>
      <c r="Q60" s="500"/>
      <c r="R60" s="501"/>
      <c r="S60" s="501"/>
      <c r="T60" s="501"/>
      <c r="U60" s="501"/>
      <c r="V60" s="501"/>
      <c r="W60" s="501"/>
      <c r="X60" s="501"/>
      <c r="Y60" s="501"/>
      <c r="Z60" s="501"/>
      <c r="AA60" s="501"/>
      <c r="AB60" s="501"/>
      <c r="AC60" s="501"/>
    </row>
    <row r="61" s="198" customFormat="1" ht="15.75" spans="1:29">
      <c r="A61" s="383"/>
      <c r="B61" s="376">
        <f>B13</f>
        <v>111</v>
      </c>
      <c r="C61" s="384"/>
      <c r="D61" s="384"/>
      <c r="E61" s="384"/>
      <c r="F61" s="384"/>
      <c r="G61" s="384"/>
      <c r="H61" s="385"/>
      <c r="I61" s="385"/>
      <c r="J61" s="385"/>
      <c r="K61" s="385"/>
      <c r="L61" s="463"/>
      <c r="M61" s="464"/>
      <c r="N61" s="465"/>
      <c r="O61" s="465"/>
      <c r="P61" s="422"/>
      <c r="Q61" s="502"/>
      <c r="R61" s="501"/>
      <c r="S61" s="501"/>
      <c r="T61" s="501"/>
      <c r="U61" s="501"/>
      <c r="V61" s="501"/>
      <c r="W61" s="501"/>
      <c r="X61" s="501"/>
      <c r="Y61" s="501"/>
      <c r="Z61" s="501"/>
      <c r="AA61" s="501"/>
      <c r="AB61" s="501"/>
      <c r="AC61" s="501"/>
    </row>
    <row r="62" s="198" customFormat="1" ht="15.75" spans="1:29">
      <c r="A62" s="383"/>
      <c r="B62" s="378"/>
      <c r="C62" s="382"/>
      <c r="D62" s="382"/>
      <c r="E62" s="382"/>
      <c r="F62" s="382"/>
      <c r="G62" s="382"/>
      <c r="H62" s="386"/>
      <c r="I62" s="386"/>
      <c r="J62" s="386"/>
      <c r="K62" s="386"/>
      <c r="L62" s="386"/>
      <c r="M62" s="467"/>
      <c r="N62" s="465"/>
      <c r="O62" s="465"/>
      <c r="P62" s="466"/>
      <c r="Q62" s="500"/>
      <c r="R62" s="501"/>
      <c r="S62" s="501"/>
      <c r="T62" s="501"/>
      <c r="U62" s="501"/>
      <c r="V62" s="501"/>
      <c r="W62" s="501"/>
      <c r="X62" s="501"/>
      <c r="Y62" s="501"/>
      <c r="Z62" s="501"/>
      <c r="AA62" s="501"/>
      <c r="AB62" s="501"/>
      <c r="AC62" s="501"/>
    </row>
    <row r="63" ht="15" spans="1:29">
      <c r="A63" s="369" t="s">
        <v>1357</v>
      </c>
      <c r="B63" s="370" t="s">
        <v>229</v>
      </c>
      <c r="C63" s="387" t="s">
        <v>246</v>
      </c>
      <c r="D63" s="387" t="s">
        <v>258</v>
      </c>
      <c r="E63" s="387" t="s">
        <v>269</v>
      </c>
      <c r="F63" s="387" t="s">
        <v>279</v>
      </c>
      <c r="G63" s="387" t="s">
        <v>287</v>
      </c>
      <c r="H63" s="371"/>
      <c r="I63" s="371"/>
      <c r="J63" s="371"/>
      <c r="K63" s="468"/>
      <c r="L63" s="469"/>
      <c r="M63" s="470"/>
      <c r="N63" s="452"/>
      <c r="O63" s="452"/>
      <c r="P63" s="471"/>
      <c r="Q63" s="442"/>
      <c r="R63" s="349"/>
      <c r="S63" s="349"/>
      <c r="T63" s="349"/>
      <c r="U63" s="349"/>
      <c r="V63" s="349"/>
      <c r="W63" s="349"/>
      <c r="X63" s="349"/>
      <c r="Y63" s="349"/>
      <c r="Z63" s="349"/>
      <c r="AA63" s="349"/>
      <c r="AB63" s="349"/>
      <c r="AC63" s="349"/>
    </row>
    <row r="64" ht="15.75" spans="1:29">
      <c r="A64" s="373"/>
      <c r="B64" s="378"/>
      <c r="C64" s="379">
        <v>100</v>
      </c>
      <c r="D64" s="379">
        <f>C64-$K14</f>
        <v>100</v>
      </c>
      <c r="E64" s="379">
        <f>D64-$K14</f>
        <v>100</v>
      </c>
      <c r="F64" s="379">
        <f>E64-$K14</f>
        <v>100</v>
      </c>
      <c r="G64" s="379">
        <f>F64-$K14</f>
        <v>100</v>
      </c>
      <c r="H64" s="379"/>
      <c r="I64" s="379"/>
      <c r="J64" s="379"/>
      <c r="K64" s="379"/>
      <c r="L64" s="379"/>
      <c r="M64" s="459"/>
      <c r="N64" s="455"/>
      <c r="O64" s="455"/>
      <c r="P64" s="453"/>
      <c r="Q64" s="442"/>
      <c r="R64" s="349"/>
      <c r="S64" s="349"/>
      <c r="T64" s="349"/>
      <c r="U64" s="349"/>
      <c r="V64" s="349"/>
      <c r="W64" s="349"/>
      <c r="X64" s="349"/>
      <c r="Y64" s="349"/>
      <c r="Z64" s="349"/>
      <c r="AA64" s="349"/>
      <c r="AB64" s="349"/>
      <c r="AC64" s="349"/>
    </row>
    <row r="65" ht="15.75" spans="1:29">
      <c r="A65" s="373"/>
      <c r="B65" s="388" t="s">
        <v>231</v>
      </c>
      <c r="C65" s="389" t="s">
        <v>246</v>
      </c>
      <c r="D65" s="389" t="s">
        <v>258</v>
      </c>
      <c r="E65" s="389" t="s">
        <v>269</v>
      </c>
      <c r="F65" s="389" t="s">
        <v>279</v>
      </c>
      <c r="G65" s="389" t="s">
        <v>287</v>
      </c>
      <c r="H65" s="377"/>
      <c r="I65" s="377"/>
      <c r="J65" s="377"/>
      <c r="K65" s="456"/>
      <c r="L65" s="457"/>
      <c r="M65" s="458"/>
      <c r="N65" s="452"/>
      <c r="O65" s="452"/>
      <c r="P65" s="453"/>
      <c r="Q65" s="442"/>
      <c r="R65" s="349"/>
      <c r="S65" s="349"/>
      <c r="T65" s="349"/>
      <c r="U65" s="349"/>
      <c r="V65" s="349"/>
      <c r="W65" s="349"/>
      <c r="X65" s="349"/>
      <c r="Y65" s="349"/>
      <c r="Z65" s="349"/>
      <c r="AA65" s="349"/>
      <c r="AB65" s="349"/>
      <c r="AC65" s="349"/>
    </row>
    <row r="66" ht="15.75" spans="1:29">
      <c r="A66" s="373"/>
      <c r="B66" s="378"/>
      <c r="C66" s="379">
        <v>100</v>
      </c>
      <c r="D66" s="379">
        <f>C66-$K16</f>
        <v>100</v>
      </c>
      <c r="E66" s="379">
        <f>D66-$K16</f>
        <v>100</v>
      </c>
      <c r="F66" s="379">
        <f>E66-$K16</f>
        <v>100</v>
      </c>
      <c r="G66" s="379">
        <f>F66-$K16</f>
        <v>100</v>
      </c>
      <c r="H66" s="379"/>
      <c r="I66" s="379"/>
      <c r="J66" s="379"/>
      <c r="K66" s="379"/>
      <c r="L66" s="379"/>
      <c r="M66" s="459"/>
      <c r="N66" s="455"/>
      <c r="O66" s="455"/>
      <c r="P66" s="453"/>
      <c r="Q66" s="442"/>
      <c r="R66" s="349"/>
      <c r="S66" s="349"/>
      <c r="T66" s="349"/>
      <c r="U66" s="349"/>
      <c r="V66" s="349"/>
      <c r="W66" s="349"/>
      <c r="X66" s="349"/>
      <c r="Y66" s="349"/>
      <c r="Z66" s="349"/>
      <c r="AA66" s="349"/>
      <c r="AB66" s="349"/>
      <c r="AC66" s="349"/>
    </row>
    <row r="67" ht="15.75" spans="1:29">
      <c r="A67" s="373"/>
      <c r="B67" s="512" t="s">
        <v>232</v>
      </c>
      <c r="C67" s="513" t="s">
        <v>247</v>
      </c>
      <c r="D67" s="513" t="s">
        <v>259</v>
      </c>
      <c r="E67" s="513" t="s">
        <v>270</v>
      </c>
      <c r="F67" s="513" t="s">
        <v>280</v>
      </c>
      <c r="G67" s="513" t="s">
        <v>288</v>
      </c>
      <c r="H67" s="377"/>
      <c r="I67" s="377"/>
      <c r="J67" s="377"/>
      <c r="K67" s="377"/>
      <c r="L67" s="377"/>
      <c r="M67" s="524"/>
      <c r="N67" s="455"/>
      <c r="O67" s="455"/>
      <c r="P67" s="453"/>
      <c r="Q67" s="442"/>
      <c r="R67" s="349"/>
      <c r="S67" s="349"/>
      <c r="T67" s="349"/>
      <c r="U67" s="349"/>
      <c r="V67" s="349"/>
      <c r="W67" s="349"/>
      <c r="X67" s="349"/>
      <c r="Y67" s="349"/>
      <c r="Z67" s="349"/>
      <c r="AA67" s="349"/>
      <c r="AB67" s="349"/>
      <c r="AC67" s="349"/>
    </row>
    <row r="68" ht="15.75" spans="1:29">
      <c r="A68" s="373"/>
      <c r="B68" s="514"/>
      <c r="C68" s="379">
        <v>100</v>
      </c>
      <c r="D68" s="379">
        <f>C68-$K18</f>
        <v>100</v>
      </c>
      <c r="E68" s="379">
        <f>D68-$K18</f>
        <v>100</v>
      </c>
      <c r="F68" s="379">
        <f>E68-$K18</f>
        <v>100</v>
      </c>
      <c r="G68" s="379">
        <f>F68-$K18</f>
        <v>100</v>
      </c>
      <c r="H68" s="380"/>
      <c r="I68" s="380"/>
      <c r="J68" s="380"/>
      <c r="K68" s="380"/>
      <c r="L68" s="380"/>
      <c r="M68" s="278"/>
      <c r="N68" s="455"/>
      <c r="O68" s="455"/>
      <c r="P68" s="453"/>
      <c r="Q68" s="442"/>
      <c r="R68" s="349"/>
      <c r="S68" s="349"/>
      <c r="T68" s="349"/>
      <c r="U68" s="349"/>
      <c r="V68" s="349"/>
      <c r="W68" s="349"/>
      <c r="X68" s="349"/>
      <c r="Y68" s="349"/>
      <c r="Z68" s="349"/>
      <c r="AA68" s="349"/>
      <c r="AB68" s="349"/>
      <c r="AC68" s="349"/>
    </row>
    <row r="69" ht="15.75" spans="1:29">
      <c r="A69" s="373"/>
      <c r="B69" s="376" t="s">
        <v>2353</v>
      </c>
      <c r="C69" s="389" t="s">
        <v>246</v>
      </c>
      <c r="D69" s="389" t="s">
        <v>258</v>
      </c>
      <c r="E69" s="389" t="s">
        <v>269</v>
      </c>
      <c r="F69" s="389" t="s">
        <v>279</v>
      </c>
      <c r="G69" s="389" t="s">
        <v>287</v>
      </c>
      <c r="H69" s="377"/>
      <c r="I69" s="377"/>
      <c r="J69" s="377"/>
      <c r="K69" s="456"/>
      <c r="L69" s="457"/>
      <c r="M69" s="458"/>
      <c r="N69" s="452"/>
      <c r="O69" s="452"/>
      <c r="P69" s="453"/>
      <c r="Q69" s="442"/>
      <c r="R69" s="349"/>
      <c r="S69" s="349"/>
      <c r="T69" s="349"/>
      <c r="U69" s="349"/>
      <c r="V69" s="349"/>
      <c r="W69" s="349"/>
      <c r="X69" s="349"/>
      <c r="Y69" s="349"/>
      <c r="Z69" s="349"/>
      <c r="AA69" s="349"/>
      <c r="AB69" s="349"/>
      <c r="AC69" s="349"/>
    </row>
    <row r="70" ht="15.75" spans="1:29">
      <c r="A70" s="373"/>
      <c r="B70" s="378"/>
      <c r="C70" s="379">
        <v>100</v>
      </c>
      <c r="D70" s="379">
        <f>C70-$K20</f>
        <v>100</v>
      </c>
      <c r="E70" s="379">
        <f>D70-$K20</f>
        <v>100</v>
      </c>
      <c r="F70" s="379">
        <f>E70-$K20</f>
        <v>100</v>
      </c>
      <c r="G70" s="379">
        <f>F70-$K20</f>
        <v>100</v>
      </c>
      <c r="H70" s="379"/>
      <c r="I70" s="379"/>
      <c r="J70" s="379"/>
      <c r="K70" s="379"/>
      <c r="L70" s="379"/>
      <c r="M70" s="459"/>
      <c r="N70" s="455"/>
      <c r="O70" s="455"/>
      <c r="P70" s="453"/>
      <c r="Q70" s="442"/>
      <c r="R70" s="349"/>
      <c r="S70" s="349"/>
      <c r="T70" s="349"/>
      <c r="U70" s="349"/>
      <c r="V70" s="349"/>
      <c r="W70" s="349"/>
      <c r="X70" s="349"/>
      <c r="Y70" s="349"/>
      <c r="Z70" s="349"/>
      <c r="AA70" s="349"/>
      <c r="AB70" s="349"/>
      <c r="AC70" s="349"/>
    </row>
    <row r="71" ht="15.75" spans="1:29">
      <c r="A71" s="373"/>
      <c r="B71" s="376" t="s">
        <v>1566</v>
      </c>
      <c r="C71" s="384"/>
      <c r="D71" s="384"/>
      <c r="E71" s="384"/>
      <c r="F71" s="384"/>
      <c r="G71" s="384"/>
      <c r="H71" s="515"/>
      <c r="I71" s="515"/>
      <c r="J71" s="515"/>
      <c r="K71" s="525"/>
      <c r="L71" s="526"/>
      <c r="M71" s="527"/>
      <c r="N71" s="452"/>
      <c r="O71" s="452"/>
      <c r="P71" s="453"/>
      <c r="Q71" s="442"/>
      <c r="R71" s="349"/>
      <c r="S71" s="349"/>
      <c r="T71" s="349"/>
      <c r="U71" s="349"/>
      <c r="V71" s="349"/>
      <c r="W71" s="349"/>
      <c r="X71" s="349"/>
      <c r="Y71" s="349"/>
      <c r="Z71" s="349"/>
      <c r="AA71" s="349"/>
      <c r="AB71" s="349"/>
      <c r="AC71" s="349"/>
    </row>
    <row r="72" ht="15.75" spans="1:29">
      <c r="A72" s="373"/>
      <c r="B72" s="378"/>
      <c r="C72" s="379">
        <v>100</v>
      </c>
      <c r="D72" s="379">
        <f>C72-$K22</f>
        <v>100</v>
      </c>
      <c r="E72" s="379">
        <f>D72-$K22</f>
        <v>100</v>
      </c>
      <c r="F72" s="379">
        <f>E72-$K22</f>
        <v>100</v>
      </c>
      <c r="G72" s="379">
        <f>F72-$K22</f>
        <v>100</v>
      </c>
      <c r="H72" s="379"/>
      <c r="I72" s="379"/>
      <c r="J72" s="379"/>
      <c r="K72" s="379"/>
      <c r="L72" s="379"/>
      <c r="M72" s="459"/>
      <c r="N72" s="455"/>
      <c r="O72" s="455"/>
      <c r="P72" s="453"/>
      <c r="Q72" s="442"/>
      <c r="R72" s="349"/>
      <c r="S72" s="349"/>
      <c r="T72" s="349"/>
      <c r="U72" s="349"/>
      <c r="V72" s="349"/>
      <c r="W72" s="349"/>
      <c r="X72" s="349"/>
      <c r="Y72" s="349"/>
      <c r="Z72" s="349"/>
      <c r="AA72" s="349"/>
      <c r="AB72" s="349"/>
      <c r="AC72" s="349"/>
    </row>
    <row r="73" s="196" customFormat="1" ht="15.75" spans="1:29">
      <c r="A73" s="516"/>
      <c r="B73" s="376">
        <f>B23</f>
        <v>111</v>
      </c>
      <c r="C73" s="381"/>
      <c r="D73" s="381"/>
      <c r="E73" s="381"/>
      <c r="F73" s="381"/>
      <c r="G73" s="384"/>
      <c r="H73" s="384"/>
      <c r="I73" s="384"/>
      <c r="J73" s="384"/>
      <c r="K73" s="384"/>
      <c r="L73" s="528"/>
      <c r="M73" s="529"/>
      <c r="N73" s="447"/>
      <c r="O73" s="447"/>
      <c r="P73" s="453"/>
      <c r="Q73" s="442"/>
      <c r="R73" s="499"/>
      <c r="S73" s="499"/>
      <c r="T73" s="499"/>
      <c r="U73" s="499"/>
      <c r="V73" s="499"/>
      <c r="W73" s="499"/>
      <c r="X73" s="499"/>
      <c r="Y73" s="499"/>
      <c r="Z73" s="499"/>
      <c r="AA73" s="499"/>
      <c r="AB73" s="499"/>
      <c r="AC73" s="499"/>
    </row>
    <row r="74" s="196" customFormat="1" ht="15.75" spans="1:29">
      <c r="A74" s="516"/>
      <c r="B74" s="378"/>
      <c r="C74" s="382"/>
      <c r="D74" s="375"/>
      <c r="E74" s="375"/>
      <c r="F74" s="375"/>
      <c r="G74" s="375"/>
      <c r="H74" s="375"/>
      <c r="I74" s="375"/>
      <c r="J74" s="375"/>
      <c r="K74" s="375"/>
      <c r="L74" s="375"/>
      <c r="M74" s="454"/>
      <c r="N74" s="455"/>
      <c r="O74" s="455"/>
      <c r="P74" s="453"/>
      <c r="Q74" s="442"/>
      <c r="R74" s="499"/>
      <c r="S74" s="499"/>
      <c r="T74" s="499"/>
      <c r="U74" s="499"/>
      <c r="V74" s="499"/>
      <c r="W74" s="499"/>
      <c r="X74" s="499"/>
      <c r="Y74" s="499"/>
      <c r="Z74" s="499"/>
      <c r="AA74" s="499"/>
      <c r="AB74" s="499"/>
      <c r="AC74" s="499"/>
    </row>
    <row r="75" s="196" customFormat="1" ht="15.75" spans="1:29">
      <c r="A75" s="516"/>
      <c r="B75" s="376">
        <f>B24</f>
        <v>111</v>
      </c>
      <c r="C75" s="381"/>
      <c r="D75" s="381"/>
      <c r="E75" s="381"/>
      <c r="F75" s="381"/>
      <c r="G75" s="384"/>
      <c r="H75" s="384"/>
      <c r="I75" s="384"/>
      <c r="J75" s="384"/>
      <c r="K75" s="384"/>
      <c r="L75" s="384"/>
      <c r="M75" s="529"/>
      <c r="N75" s="447"/>
      <c r="O75" s="447"/>
      <c r="P75" s="453"/>
      <c r="Q75" s="442"/>
      <c r="R75" s="499"/>
      <c r="S75" s="499"/>
      <c r="T75" s="499"/>
      <c r="U75" s="499"/>
      <c r="V75" s="499"/>
      <c r="W75" s="499"/>
      <c r="X75" s="499"/>
      <c r="Y75" s="499"/>
      <c r="Z75" s="499"/>
      <c r="AA75" s="499"/>
      <c r="AB75" s="499"/>
      <c r="AC75" s="499"/>
    </row>
    <row r="76" s="196" customFormat="1" ht="15.75" spans="1:29">
      <c r="A76" s="516"/>
      <c r="B76" s="378"/>
      <c r="C76" s="382"/>
      <c r="D76" s="375"/>
      <c r="E76" s="375"/>
      <c r="F76" s="375"/>
      <c r="G76" s="375"/>
      <c r="H76" s="375"/>
      <c r="I76" s="375"/>
      <c r="J76" s="375"/>
      <c r="K76" s="375"/>
      <c r="L76" s="375"/>
      <c r="M76" s="454"/>
      <c r="N76" s="455"/>
      <c r="O76" s="455"/>
      <c r="P76" s="453"/>
      <c r="Q76" s="442"/>
      <c r="R76" s="499"/>
      <c r="S76" s="499"/>
      <c r="T76" s="499"/>
      <c r="U76" s="499"/>
      <c r="V76" s="499"/>
      <c r="W76" s="499"/>
      <c r="X76" s="499"/>
      <c r="Y76" s="499"/>
      <c r="Z76" s="499"/>
      <c r="AA76" s="499"/>
      <c r="AB76" s="499"/>
      <c r="AC76" s="499"/>
    </row>
    <row r="77" s="198" customFormat="1" ht="15.75" spans="1:29">
      <c r="A77" s="383"/>
      <c r="B77" s="376">
        <f>B25</f>
        <v>111</v>
      </c>
      <c r="C77" s="384"/>
      <c r="D77" s="384"/>
      <c r="E77" s="384"/>
      <c r="F77" s="384"/>
      <c r="G77" s="384"/>
      <c r="H77" s="385"/>
      <c r="I77" s="385"/>
      <c r="J77" s="385"/>
      <c r="K77" s="385"/>
      <c r="L77" s="463"/>
      <c r="M77" s="464"/>
      <c r="N77" s="465"/>
      <c r="O77" s="465"/>
      <c r="P77" s="466"/>
      <c r="Q77" s="500"/>
      <c r="R77" s="501"/>
      <c r="S77" s="501"/>
      <c r="T77" s="501"/>
      <c r="U77" s="501"/>
      <c r="V77" s="501"/>
      <c r="W77" s="501"/>
      <c r="X77" s="501"/>
      <c r="Y77" s="501"/>
      <c r="Z77" s="501"/>
      <c r="AA77" s="501"/>
      <c r="AB77" s="501"/>
      <c r="AC77" s="501"/>
    </row>
    <row r="78" s="198" customFormat="1" ht="15.75" spans="1:29">
      <c r="A78" s="383"/>
      <c r="B78" s="378"/>
      <c r="C78" s="382"/>
      <c r="D78" s="382"/>
      <c r="E78" s="382"/>
      <c r="F78" s="382"/>
      <c r="G78" s="375"/>
      <c r="H78" s="375"/>
      <c r="I78" s="375"/>
      <c r="J78" s="375"/>
      <c r="K78" s="375"/>
      <c r="L78" s="375"/>
      <c r="M78" s="454"/>
      <c r="N78" s="465"/>
      <c r="O78" s="465"/>
      <c r="P78" s="466"/>
      <c r="Q78" s="500"/>
      <c r="R78" s="501"/>
      <c r="S78" s="501"/>
      <c r="T78" s="501"/>
      <c r="U78" s="501"/>
      <c r="V78" s="501"/>
      <c r="W78" s="501"/>
      <c r="X78" s="501"/>
      <c r="Y78" s="501"/>
      <c r="Z78" s="501"/>
      <c r="AA78" s="501"/>
      <c r="AB78" s="501"/>
      <c r="AC78" s="501"/>
    </row>
    <row r="79" ht="27.75" spans="1:29">
      <c r="A79" s="369" t="s">
        <v>1362</v>
      </c>
      <c r="B79" s="370" t="s">
        <v>2396</v>
      </c>
      <c r="C79" s="371">
        <f>C26</f>
        <v>0</v>
      </c>
      <c r="D79" s="372"/>
      <c r="E79" s="372"/>
      <c r="F79" s="372"/>
      <c r="G79" s="372"/>
      <c r="H79" s="372"/>
      <c r="I79" s="372"/>
      <c r="J79" s="372"/>
      <c r="K79" s="449"/>
      <c r="L79" s="450"/>
      <c r="M79" s="451"/>
      <c r="N79" s="452"/>
      <c r="O79" s="452"/>
      <c r="P79" s="453"/>
      <c r="Q79" s="442"/>
      <c r="R79" s="349"/>
      <c r="S79" s="349"/>
      <c r="T79" s="349"/>
      <c r="U79" s="349"/>
      <c r="V79" s="349"/>
      <c r="W79" s="349"/>
      <c r="X79" s="349"/>
      <c r="Y79" s="349"/>
      <c r="Z79" s="349"/>
      <c r="AA79" s="349"/>
      <c r="AB79" s="349"/>
      <c r="AC79" s="349"/>
    </row>
    <row r="80" ht="15.75" spans="1:29">
      <c r="A80" s="373"/>
      <c r="B80" s="378"/>
      <c r="C80" s="379">
        <v>100</v>
      </c>
      <c r="D80" s="379">
        <f t="shared" ref="D80:M80" si="17">C80-$K26</f>
        <v>100</v>
      </c>
      <c r="E80" s="379">
        <f t="shared" si="17"/>
        <v>100</v>
      </c>
      <c r="F80" s="379">
        <f t="shared" si="17"/>
        <v>100</v>
      </c>
      <c r="G80" s="379">
        <f t="shared" si="17"/>
        <v>100</v>
      </c>
      <c r="H80" s="379">
        <f t="shared" si="17"/>
        <v>100</v>
      </c>
      <c r="I80" s="379">
        <f t="shared" si="17"/>
        <v>100</v>
      </c>
      <c r="J80" s="379">
        <f t="shared" si="17"/>
        <v>100</v>
      </c>
      <c r="K80" s="379">
        <f t="shared" si="17"/>
        <v>100</v>
      </c>
      <c r="L80" s="379">
        <f t="shared" si="17"/>
        <v>100</v>
      </c>
      <c r="M80" s="459">
        <f t="shared" si="17"/>
        <v>100</v>
      </c>
      <c r="N80" s="455"/>
      <c r="O80" s="455"/>
      <c r="P80" s="453"/>
      <c r="Q80" s="442"/>
      <c r="R80" s="349"/>
      <c r="S80" s="349"/>
      <c r="T80" s="349"/>
      <c r="U80" s="349"/>
      <c r="V80" s="349"/>
      <c r="W80" s="349"/>
      <c r="X80" s="349"/>
      <c r="Y80" s="349"/>
      <c r="Z80" s="349"/>
      <c r="AA80" s="349"/>
      <c r="AB80" s="349"/>
      <c r="AC80" s="349"/>
    </row>
    <row r="81" ht="15.75" spans="1:29">
      <c r="A81" s="373"/>
      <c r="B81" s="376" t="s">
        <v>2389</v>
      </c>
      <c r="C81" s="568"/>
      <c r="D81" s="568"/>
      <c r="E81" s="568"/>
      <c r="F81" s="568"/>
      <c r="G81" s="568"/>
      <c r="H81" s="568"/>
      <c r="I81" s="568"/>
      <c r="J81" s="568"/>
      <c r="K81" s="569"/>
      <c r="L81" s="570"/>
      <c r="M81" s="571"/>
      <c r="N81" s="447"/>
      <c r="O81" s="447"/>
      <c r="P81" s="453"/>
      <c r="Q81" s="442"/>
      <c r="R81" s="349"/>
      <c r="S81" s="349"/>
      <c r="T81" s="349"/>
      <c r="U81" s="349"/>
      <c r="V81" s="349"/>
      <c r="W81" s="349"/>
      <c r="X81" s="349"/>
      <c r="Y81" s="349"/>
      <c r="Z81" s="349"/>
      <c r="AA81" s="349"/>
      <c r="AB81" s="349"/>
      <c r="AC81" s="349"/>
    </row>
    <row r="82" s="198" customFormat="1" ht="15.75" spans="1:29">
      <c r="A82" s="383"/>
      <c r="B82" s="378"/>
      <c r="C82" s="382"/>
      <c r="D82" s="375"/>
      <c r="E82" s="375"/>
      <c r="F82" s="375"/>
      <c r="G82" s="375"/>
      <c r="H82" s="375"/>
      <c r="I82" s="375"/>
      <c r="J82" s="375"/>
      <c r="K82" s="375"/>
      <c r="L82" s="375"/>
      <c r="M82" s="454"/>
      <c r="N82" s="455"/>
      <c r="O82" s="455"/>
      <c r="P82" s="466"/>
      <c r="Q82" s="500"/>
      <c r="R82" s="501"/>
      <c r="S82" s="501"/>
      <c r="T82" s="501"/>
      <c r="U82" s="501"/>
      <c r="V82" s="501"/>
      <c r="W82" s="501"/>
      <c r="X82" s="501"/>
      <c r="Y82" s="501"/>
      <c r="Z82" s="501"/>
      <c r="AA82" s="501"/>
      <c r="AB82" s="501"/>
      <c r="AC82" s="501"/>
    </row>
    <row r="83" ht="15.75" spans="1:29">
      <c r="A83" s="519"/>
      <c r="B83" s="376" t="s">
        <v>1573</v>
      </c>
      <c r="C83" s="384"/>
      <c r="D83" s="384"/>
      <c r="E83" s="515"/>
      <c r="F83" s="515"/>
      <c r="G83" s="515"/>
      <c r="H83" s="515"/>
      <c r="I83" s="515"/>
      <c r="J83" s="515"/>
      <c r="K83" s="525"/>
      <c r="L83" s="526"/>
      <c r="M83" s="527"/>
      <c r="N83" s="452"/>
      <c r="O83" s="452"/>
      <c r="P83" s="453"/>
      <c r="Q83" s="442"/>
      <c r="R83" s="349"/>
      <c r="S83" s="349"/>
      <c r="T83" s="349"/>
      <c r="U83" s="349"/>
      <c r="V83" s="349"/>
      <c r="W83" s="349"/>
      <c r="X83" s="349"/>
      <c r="Y83" s="349"/>
      <c r="Z83" s="349"/>
      <c r="AA83" s="349"/>
      <c r="AB83" s="349"/>
      <c r="AC83" s="349"/>
    </row>
    <row r="84" ht="15.75" spans="1:29">
      <c r="A84" s="373"/>
      <c r="B84" s="378"/>
      <c r="C84" s="379">
        <v>100</v>
      </c>
      <c r="D84" s="379">
        <f t="shared" ref="D84:M84" si="18">C84-$K28</f>
        <v>100</v>
      </c>
      <c r="E84" s="379">
        <f t="shared" si="18"/>
        <v>100</v>
      </c>
      <c r="F84" s="379">
        <f t="shared" si="18"/>
        <v>100</v>
      </c>
      <c r="G84" s="379">
        <f t="shared" si="18"/>
        <v>100</v>
      </c>
      <c r="H84" s="379">
        <f t="shared" si="18"/>
        <v>100</v>
      </c>
      <c r="I84" s="379">
        <f t="shared" si="18"/>
        <v>100</v>
      </c>
      <c r="J84" s="379">
        <f t="shared" si="18"/>
        <v>100</v>
      </c>
      <c r="K84" s="379">
        <f t="shared" si="18"/>
        <v>100</v>
      </c>
      <c r="L84" s="379">
        <f t="shared" si="18"/>
        <v>100</v>
      </c>
      <c r="M84" s="459">
        <f t="shared" si="18"/>
        <v>100</v>
      </c>
      <c r="N84" s="455"/>
      <c r="O84" s="455"/>
      <c r="P84" s="453"/>
      <c r="Q84" s="442"/>
      <c r="R84" s="349"/>
      <c r="S84" s="349"/>
      <c r="T84" s="349"/>
      <c r="U84" s="349"/>
      <c r="V84" s="349"/>
      <c r="W84" s="349"/>
      <c r="X84" s="349"/>
      <c r="Y84" s="349"/>
      <c r="Z84" s="349"/>
      <c r="AA84" s="349"/>
      <c r="AB84" s="349"/>
      <c r="AC84" s="349"/>
    </row>
    <row r="85" ht="15.75" spans="1:29">
      <c r="A85" s="519"/>
      <c r="B85" s="376" t="s">
        <v>2390</v>
      </c>
      <c r="C85" s="389" t="str">
        <f>C86&amp;"(含)"&amp;"-"&amp;D86</f>
        <v>0.5(含)-0.6</v>
      </c>
      <c r="D85" s="389" t="str">
        <f>D86&amp;"(含)"&amp;"-"&amp;E86</f>
        <v>0.6(含)-0.7</v>
      </c>
      <c r="E85" s="389" t="str">
        <f>E86&amp;"(含)"&amp;"-"&amp;F86</f>
        <v>0.7(含)-0.8</v>
      </c>
      <c r="F85" s="389" t="str">
        <f>F86&amp;"(含)"&amp;"-"&amp;G86</f>
        <v>0.8(含)-0.9</v>
      </c>
      <c r="G85" s="389" t="str">
        <f>G86&amp;"(含)"&amp;"-"&amp;ROUND(H86,0)</f>
        <v>0.9(含)-1</v>
      </c>
      <c r="H85" s="389"/>
      <c r="I85" s="515"/>
      <c r="J85" s="515"/>
      <c r="K85" s="525"/>
      <c r="L85" s="526"/>
      <c r="M85" s="527"/>
      <c r="N85" s="452"/>
      <c r="O85" s="452"/>
      <c r="P85" s="453"/>
      <c r="Q85" s="442"/>
      <c r="R85" s="349"/>
      <c r="S85" s="349"/>
      <c r="T85" s="349"/>
      <c r="U85" s="349"/>
      <c r="V85" s="349"/>
      <c r="W85" s="349"/>
      <c r="X85" s="349"/>
      <c r="Y85" s="349"/>
      <c r="Z85" s="349"/>
      <c r="AA85" s="349"/>
      <c r="AB85" s="349"/>
      <c r="AC85" s="349"/>
    </row>
    <row r="86" ht="15" spans="1:29">
      <c r="A86" s="519"/>
      <c r="B86" s="514"/>
      <c r="C86" s="517">
        <v>0.5</v>
      </c>
      <c r="D86" s="517">
        <v>0.6</v>
      </c>
      <c r="E86" s="517">
        <v>0.7</v>
      </c>
      <c r="F86" s="517">
        <v>0.8</v>
      </c>
      <c r="G86" s="517">
        <v>0.9</v>
      </c>
      <c r="H86" s="517">
        <v>1.0001</v>
      </c>
      <c r="I86" s="572"/>
      <c r="J86" s="572"/>
      <c r="K86" s="573"/>
      <c r="L86" s="574"/>
      <c r="M86" s="575"/>
      <c r="N86" s="452"/>
      <c r="O86" s="452"/>
      <c r="P86" s="453"/>
      <c r="Q86" s="442"/>
      <c r="R86" s="349"/>
      <c r="S86" s="349"/>
      <c r="T86" s="349"/>
      <c r="U86" s="349"/>
      <c r="V86" s="349"/>
      <c r="W86" s="349"/>
      <c r="X86" s="349"/>
      <c r="Y86" s="349"/>
      <c r="Z86" s="349"/>
      <c r="AA86" s="349"/>
      <c r="AB86" s="349"/>
      <c r="AC86" s="349"/>
    </row>
    <row r="87" ht="15.75" spans="1:29">
      <c r="A87" s="373"/>
      <c r="B87" s="378"/>
      <c r="C87" s="518">
        <v>100</v>
      </c>
      <c r="D87" s="379">
        <f>C87+$K$29</f>
        <v>100</v>
      </c>
      <c r="E87" s="379">
        <f t="shared" ref="E87:M87" si="19">D87+$K$29</f>
        <v>100</v>
      </c>
      <c r="F87" s="379">
        <f t="shared" si="19"/>
        <v>100</v>
      </c>
      <c r="G87" s="379">
        <f t="shared" si="19"/>
        <v>100</v>
      </c>
      <c r="H87" s="379">
        <f t="shared" si="19"/>
        <v>100</v>
      </c>
      <c r="I87" s="379">
        <f t="shared" si="19"/>
        <v>100</v>
      </c>
      <c r="J87" s="379">
        <f t="shared" si="19"/>
        <v>100</v>
      </c>
      <c r="K87" s="379">
        <f t="shared" si="19"/>
        <v>100</v>
      </c>
      <c r="L87" s="379">
        <f t="shared" si="19"/>
        <v>100</v>
      </c>
      <c r="M87" s="379">
        <f t="shared" si="19"/>
        <v>100</v>
      </c>
      <c r="N87" s="455"/>
      <c r="O87" s="455"/>
      <c r="P87" s="453"/>
      <c r="Q87" s="442"/>
      <c r="R87" s="349"/>
      <c r="S87" s="349"/>
      <c r="T87" s="349"/>
      <c r="U87" s="349"/>
      <c r="V87" s="349"/>
      <c r="W87" s="349"/>
      <c r="X87" s="349"/>
      <c r="Y87" s="349"/>
      <c r="Z87" s="349"/>
      <c r="AA87" s="349"/>
      <c r="AB87" s="349"/>
      <c r="AC87" s="349"/>
    </row>
    <row r="88" ht="15.75" spans="1:29">
      <c r="A88" s="519"/>
      <c r="B88" s="514" t="s">
        <v>2391</v>
      </c>
      <c r="C88" s="372"/>
      <c r="D88" s="372"/>
      <c r="E88" s="372"/>
      <c r="F88" s="372"/>
      <c r="G88" s="372"/>
      <c r="H88" s="372"/>
      <c r="I88" s="372"/>
      <c r="J88" s="372"/>
      <c r="K88" s="449"/>
      <c r="L88" s="450"/>
      <c r="M88" s="451"/>
      <c r="N88" s="452"/>
      <c r="O88" s="452"/>
      <c r="P88" s="453"/>
      <c r="Q88" s="442"/>
      <c r="R88" s="349"/>
      <c r="S88" s="349"/>
      <c r="T88" s="349"/>
      <c r="U88" s="349"/>
      <c r="V88" s="349"/>
      <c r="W88" s="349"/>
      <c r="X88" s="349"/>
      <c r="Y88" s="349"/>
      <c r="Z88" s="349"/>
      <c r="AA88" s="349"/>
      <c r="AB88" s="349"/>
      <c r="AC88" s="349"/>
    </row>
    <row r="89" ht="15.75" spans="1:29">
      <c r="A89" s="373"/>
      <c r="B89" s="378"/>
      <c r="C89" s="518">
        <v>100</v>
      </c>
      <c r="D89" s="379">
        <f t="shared" ref="D89:M89" si="20">C89+$K30</f>
        <v>100</v>
      </c>
      <c r="E89" s="379">
        <f t="shared" si="20"/>
        <v>100</v>
      </c>
      <c r="F89" s="379">
        <f t="shared" si="20"/>
        <v>100</v>
      </c>
      <c r="G89" s="379">
        <f t="shared" si="20"/>
        <v>100</v>
      </c>
      <c r="H89" s="379">
        <f t="shared" si="20"/>
        <v>100</v>
      </c>
      <c r="I89" s="379">
        <f t="shared" si="20"/>
        <v>100</v>
      </c>
      <c r="J89" s="379">
        <f t="shared" si="20"/>
        <v>100</v>
      </c>
      <c r="K89" s="379">
        <f t="shared" si="20"/>
        <v>100</v>
      </c>
      <c r="L89" s="379">
        <f t="shared" si="20"/>
        <v>100</v>
      </c>
      <c r="M89" s="379">
        <f t="shared" si="20"/>
        <v>100</v>
      </c>
      <c r="N89" s="455"/>
      <c r="O89" s="455"/>
      <c r="P89" s="453"/>
      <c r="Q89" s="442"/>
      <c r="R89" s="349"/>
      <c r="S89" s="349"/>
      <c r="T89" s="349"/>
      <c r="U89" s="349"/>
      <c r="V89" s="349"/>
      <c r="W89" s="349"/>
      <c r="X89" s="349"/>
      <c r="Y89" s="349"/>
      <c r="Z89" s="349"/>
      <c r="AA89" s="349"/>
      <c r="AB89" s="349"/>
      <c r="AC89" s="349"/>
    </row>
    <row r="90" s="198" customFormat="1" ht="15.75" spans="1:29">
      <c r="A90" s="521"/>
      <c r="B90" s="376" t="s">
        <v>2392</v>
      </c>
      <c r="C90" s="389" t="str">
        <f>C91&amp;"(含)"&amp;"-"&amp;D91</f>
        <v>(含)-</v>
      </c>
      <c r="D90" s="389" t="str">
        <f t="shared" ref="D90:L90" si="21">D91&amp;"(含)"&amp;"-"&amp;E91</f>
        <v>(含)-</v>
      </c>
      <c r="E90" s="389" t="str">
        <f t="shared" si="21"/>
        <v>(含)-</v>
      </c>
      <c r="F90" s="389" t="str">
        <f t="shared" si="21"/>
        <v>(含)-</v>
      </c>
      <c r="G90" s="389" t="str">
        <f t="shared" si="21"/>
        <v>(含)-</v>
      </c>
      <c r="H90" s="389" t="str">
        <f t="shared" si="21"/>
        <v>(含)-</v>
      </c>
      <c r="I90" s="389" t="str">
        <f t="shared" si="21"/>
        <v>(含)-</v>
      </c>
      <c r="J90" s="389" t="str">
        <f t="shared" si="21"/>
        <v>(含)-</v>
      </c>
      <c r="K90" s="389" t="str">
        <f t="shared" si="21"/>
        <v>(含)-</v>
      </c>
      <c r="L90" s="389" t="str">
        <f t="shared" si="21"/>
        <v>(含)-</v>
      </c>
      <c r="M90" s="533" t="str">
        <f>M91&amp;"(含)"&amp;"-"&amp;P91</f>
        <v>(含)-</v>
      </c>
      <c r="N90" s="465"/>
      <c r="O90" s="465"/>
      <c r="P90" s="466"/>
      <c r="Q90" s="500"/>
      <c r="R90" s="501"/>
      <c r="S90" s="501"/>
      <c r="T90" s="501"/>
      <c r="U90" s="501"/>
      <c r="V90" s="501"/>
      <c r="W90" s="501"/>
      <c r="X90" s="501"/>
      <c r="Y90" s="501"/>
      <c r="Z90" s="501"/>
      <c r="AA90" s="501"/>
      <c r="AB90" s="501"/>
      <c r="AC90" s="501"/>
    </row>
    <row r="91" s="198" customFormat="1" ht="15" spans="1:29">
      <c r="A91" s="521"/>
      <c r="B91" s="514"/>
      <c r="C91" s="520"/>
      <c r="D91" s="520"/>
      <c r="E91" s="520"/>
      <c r="F91" s="520"/>
      <c r="G91" s="520"/>
      <c r="H91" s="520"/>
      <c r="I91" s="520"/>
      <c r="J91" s="534"/>
      <c r="K91" s="534"/>
      <c r="L91" s="535"/>
      <c r="M91" s="536"/>
      <c r="N91" s="465"/>
      <c r="O91" s="465"/>
      <c r="P91" s="466"/>
      <c r="Q91" s="500"/>
      <c r="R91" s="501"/>
      <c r="S91" s="501"/>
      <c r="T91" s="501"/>
      <c r="U91" s="501"/>
      <c r="V91" s="501"/>
      <c r="W91" s="501"/>
      <c r="X91" s="501"/>
      <c r="Y91" s="501"/>
      <c r="Z91" s="501"/>
      <c r="AA91" s="501"/>
      <c r="AB91" s="501"/>
      <c r="AC91" s="501"/>
    </row>
    <row r="92" s="198" customFormat="1" ht="15.75" spans="1:29">
      <c r="A92" s="383"/>
      <c r="B92" s="378"/>
      <c r="C92" s="382"/>
      <c r="D92" s="375"/>
      <c r="E92" s="375"/>
      <c r="F92" s="375"/>
      <c r="G92" s="375"/>
      <c r="H92" s="375"/>
      <c r="I92" s="375"/>
      <c r="J92" s="375"/>
      <c r="K92" s="375"/>
      <c r="L92" s="375"/>
      <c r="M92" s="454"/>
      <c r="N92" s="465"/>
      <c r="O92" s="465"/>
      <c r="P92" s="466"/>
      <c r="Q92" s="500"/>
      <c r="R92" s="501"/>
      <c r="S92" s="501"/>
      <c r="T92" s="501"/>
      <c r="U92" s="501"/>
      <c r="V92" s="501"/>
      <c r="W92" s="501"/>
      <c r="X92" s="501"/>
      <c r="Y92" s="501"/>
      <c r="Z92" s="501"/>
      <c r="AA92" s="501"/>
      <c r="AB92" s="501"/>
      <c r="AC92" s="501"/>
    </row>
    <row r="93" ht="15.75" spans="1:29">
      <c r="A93" s="519"/>
      <c r="B93" s="376" t="s">
        <v>2393</v>
      </c>
      <c r="C93" s="384"/>
      <c r="D93" s="384"/>
      <c r="E93" s="515"/>
      <c r="F93" s="515"/>
      <c r="G93" s="515"/>
      <c r="H93" s="515"/>
      <c r="I93" s="515"/>
      <c r="J93" s="515"/>
      <c r="K93" s="525"/>
      <c r="L93" s="526"/>
      <c r="M93" s="527"/>
      <c r="N93" s="452"/>
      <c r="O93" s="452"/>
      <c r="P93" s="453"/>
      <c r="Q93" s="442"/>
      <c r="R93" s="349"/>
      <c r="S93" s="349"/>
      <c r="T93" s="349"/>
      <c r="U93" s="349"/>
      <c r="V93" s="349"/>
      <c r="W93" s="349"/>
      <c r="X93" s="349"/>
      <c r="Y93" s="349"/>
      <c r="Z93" s="349"/>
      <c r="AA93" s="349"/>
      <c r="AB93" s="349"/>
      <c r="AC93" s="349"/>
    </row>
    <row r="94" ht="15.75" spans="1:29">
      <c r="A94" s="373"/>
      <c r="B94" s="378"/>
      <c r="C94" s="379">
        <v>100</v>
      </c>
      <c r="D94" s="379">
        <f t="shared" ref="D94:M94" si="22">C94-$K32</f>
        <v>100</v>
      </c>
      <c r="E94" s="379">
        <f t="shared" si="22"/>
        <v>100</v>
      </c>
      <c r="F94" s="379">
        <f t="shared" si="22"/>
        <v>100</v>
      </c>
      <c r="G94" s="379">
        <f t="shared" si="22"/>
        <v>100</v>
      </c>
      <c r="H94" s="379">
        <f t="shared" si="22"/>
        <v>100</v>
      </c>
      <c r="I94" s="379">
        <f t="shared" si="22"/>
        <v>100</v>
      </c>
      <c r="J94" s="379">
        <f t="shared" si="22"/>
        <v>100</v>
      </c>
      <c r="K94" s="379">
        <f t="shared" si="22"/>
        <v>100</v>
      </c>
      <c r="L94" s="379">
        <f t="shared" si="22"/>
        <v>100</v>
      </c>
      <c r="M94" s="459">
        <f t="shared" si="22"/>
        <v>100</v>
      </c>
      <c r="N94" s="455"/>
      <c r="O94" s="455"/>
      <c r="P94" s="453"/>
      <c r="Q94" s="442"/>
      <c r="R94" s="349"/>
      <c r="S94" s="349"/>
      <c r="T94" s="349"/>
      <c r="U94" s="349"/>
      <c r="V94" s="349"/>
      <c r="W94" s="349"/>
      <c r="X94" s="349"/>
      <c r="Y94" s="349"/>
      <c r="Z94" s="349"/>
      <c r="AA94" s="349"/>
      <c r="AB94" s="349"/>
      <c r="AC94" s="349"/>
    </row>
    <row r="95" ht="15.75" spans="1:29">
      <c r="A95" s="519"/>
      <c r="B95" s="376" t="s">
        <v>2394</v>
      </c>
      <c r="C95" s="372"/>
      <c r="D95" s="372"/>
      <c r="E95" s="372"/>
      <c r="F95" s="372"/>
      <c r="G95" s="372"/>
      <c r="H95" s="372"/>
      <c r="I95" s="372"/>
      <c r="J95" s="372"/>
      <c r="K95" s="449"/>
      <c r="L95" s="450"/>
      <c r="M95" s="451"/>
      <c r="N95" s="452"/>
      <c r="O95" s="452"/>
      <c r="P95" s="453"/>
      <c r="Q95" s="442"/>
      <c r="R95" s="349"/>
      <c r="S95" s="349"/>
      <c r="T95" s="349"/>
      <c r="U95" s="349"/>
      <c r="V95" s="349"/>
      <c r="W95" s="349"/>
      <c r="X95" s="349"/>
      <c r="Y95" s="349"/>
      <c r="Z95" s="349"/>
      <c r="AA95" s="349"/>
      <c r="AB95" s="349"/>
      <c r="AC95" s="349"/>
    </row>
    <row r="96" ht="15.75" spans="1:29">
      <c r="A96" s="373"/>
      <c r="B96" s="378"/>
      <c r="C96" s="379">
        <v>100</v>
      </c>
      <c r="D96" s="379">
        <f>C96-$K33</f>
        <v>100</v>
      </c>
      <c r="E96" s="379">
        <f>D96-$K33</f>
        <v>100</v>
      </c>
      <c r="F96" s="379">
        <f>E96-$K33</f>
        <v>100</v>
      </c>
      <c r="G96" s="379">
        <f>F96-$K33</f>
        <v>100</v>
      </c>
      <c r="H96" s="379"/>
      <c r="I96" s="379"/>
      <c r="J96" s="379"/>
      <c r="K96" s="379"/>
      <c r="L96" s="379"/>
      <c r="M96" s="459"/>
      <c r="N96" s="455"/>
      <c r="O96" s="455"/>
      <c r="P96" s="453"/>
      <c r="Q96" s="442"/>
      <c r="R96" s="349"/>
      <c r="S96" s="349"/>
      <c r="T96" s="349"/>
      <c r="U96" s="349"/>
      <c r="V96" s="349"/>
      <c r="W96" s="349"/>
      <c r="X96" s="349"/>
      <c r="Y96" s="349"/>
      <c r="Z96" s="349"/>
      <c r="AA96" s="349"/>
      <c r="AB96" s="349"/>
      <c r="AC96" s="349"/>
    </row>
    <row r="97" ht="15.75" spans="1:29">
      <c r="A97" s="519"/>
      <c r="B97" s="522">
        <f>B34</f>
        <v>111</v>
      </c>
      <c r="C97" s="381"/>
      <c r="D97" s="381"/>
      <c r="E97" s="381"/>
      <c r="F97" s="381"/>
      <c r="G97" s="384"/>
      <c r="H97" s="385"/>
      <c r="I97" s="385"/>
      <c r="J97" s="385"/>
      <c r="K97" s="385"/>
      <c r="L97" s="463"/>
      <c r="M97" s="464"/>
      <c r="N97" s="455"/>
      <c r="O97" s="455"/>
      <c r="P97" s="537"/>
      <c r="Q97" s="540"/>
      <c r="R97" s="349"/>
      <c r="S97" s="349"/>
      <c r="T97" s="349"/>
      <c r="U97" s="349"/>
      <c r="V97" s="349"/>
      <c r="W97" s="349"/>
      <c r="X97" s="349"/>
      <c r="Y97" s="349"/>
      <c r="Z97" s="349"/>
      <c r="AA97" s="349"/>
      <c r="AB97" s="349"/>
      <c r="AC97" s="349"/>
    </row>
    <row r="98" ht="15.75" spans="1:29">
      <c r="A98" s="373"/>
      <c r="B98" s="378"/>
      <c r="C98" s="382"/>
      <c r="D98" s="375"/>
      <c r="E98" s="375"/>
      <c r="F98" s="375"/>
      <c r="G98" s="382"/>
      <c r="H98" s="386"/>
      <c r="I98" s="386"/>
      <c r="J98" s="386"/>
      <c r="K98" s="386"/>
      <c r="L98" s="386"/>
      <c r="M98" s="467"/>
      <c r="N98" s="455"/>
      <c r="O98" s="455"/>
      <c r="P98" s="453"/>
      <c r="Q98" s="442"/>
      <c r="R98" s="349"/>
      <c r="S98" s="349"/>
      <c r="T98" s="349"/>
      <c r="U98" s="349"/>
      <c r="V98" s="349"/>
      <c r="W98" s="349"/>
      <c r="X98" s="349"/>
      <c r="Y98" s="349"/>
      <c r="Z98" s="349"/>
      <c r="AA98" s="349"/>
      <c r="AB98" s="349"/>
      <c r="AC98" s="349"/>
    </row>
    <row r="99" s="198" customFormat="1" ht="15.75" spans="1:29">
      <c r="A99" s="521"/>
      <c r="B99" s="376">
        <f>B35</f>
        <v>111</v>
      </c>
      <c r="C99" s="381"/>
      <c r="D99" s="381"/>
      <c r="E99" s="381"/>
      <c r="F99" s="381"/>
      <c r="G99" s="384"/>
      <c r="H99" s="385"/>
      <c r="I99" s="385"/>
      <c r="J99" s="385"/>
      <c r="K99" s="385"/>
      <c r="L99" s="463"/>
      <c r="M99" s="464"/>
      <c r="N99" s="465"/>
      <c r="O99" s="465"/>
      <c r="P99" s="466"/>
      <c r="Q99" s="500"/>
      <c r="R99" s="501"/>
      <c r="S99" s="501"/>
      <c r="T99" s="501"/>
      <c r="U99" s="501"/>
      <c r="V99" s="501"/>
      <c r="W99" s="501"/>
      <c r="X99" s="501"/>
      <c r="Y99" s="501"/>
      <c r="Z99" s="501"/>
      <c r="AA99" s="501"/>
      <c r="AB99" s="501"/>
      <c r="AC99" s="501"/>
    </row>
    <row r="100" s="198" customFormat="1" ht="15.75" spans="1:29">
      <c r="A100" s="383"/>
      <c r="B100" s="374"/>
      <c r="C100" s="382"/>
      <c r="D100" s="375"/>
      <c r="E100" s="375"/>
      <c r="F100" s="375"/>
      <c r="G100" s="382"/>
      <c r="H100" s="386"/>
      <c r="I100" s="386"/>
      <c r="J100" s="386"/>
      <c r="K100" s="386"/>
      <c r="L100" s="386"/>
      <c r="M100" s="467"/>
      <c r="N100" s="465"/>
      <c r="O100" s="465"/>
      <c r="P100" s="466"/>
      <c r="Q100" s="500"/>
      <c r="R100" s="501"/>
      <c r="S100" s="501"/>
      <c r="T100" s="501"/>
      <c r="U100" s="501"/>
      <c r="V100" s="501"/>
      <c r="W100" s="501"/>
      <c r="X100" s="501"/>
      <c r="Y100" s="501"/>
      <c r="Z100" s="501"/>
      <c r="AA100" s="501"/>
      <c r="AB100" s="501"/>
      <c r="AC100" s="501"/>
    </row>
    <row r="101" ht="15.75" spans="1:29">
      <c r="A101" s="519"/>
      <c r="B101" s="376">
        <f>B36</f>
        <v>111</v>
      </c>
      <c r="C101" s="384"/>
      <c r="D101" s="384"/>
      <c r="E101" s="384"/>
      <c r="F101" s="384"/>
      <c r="G101" s="384"/>
      <c r="H101" s="385"/>
      <c r="I101" s="385"/>
      <c r="J101" s="385"/>
      <c r="K101" s="385"/>
      <c r="L101" s="463"/>
      <c r="M101" s="464"/>
      <c r="N101" s="452"/>
      <c r="O101" s="452"/>
      <c r="P101" s="453"/>
      <c r="Q101" s="442"/>
      <c r="R101" s="349"/>
      <c r="S101" s="349"/>
      <c r="T101" s="349"/>
      <c r="U101" s="349"/>
      <c r="V101" s="349"/>
      <c r="W101" s="349"/>
      <c r="X101" s="349"/>
      <c r="Y101" s="349"/>
      <c r="Z101" s="349"/>
      <c r="AA101" s="349"/>
      <c r="AB101" s="349"/>
      <c r="AC101" s="349"/>
    </row>
    <row r="102" ht="15.75" spans="1:29">
      <c r="A102" s="373"/>
      <c r="B102" s="378"/>
      <c r="C102" s="382"/>
      <c r="D102" s="382"/>
      <c r="E102" s="382"/>
      <c r="F102" s="382"/>
      <c r="G102" s="382"/>
      <c r="H102" s="386"/>
      <c r="I102" s="386"/>
      <c r="J102" s="386"/>
      <c r="K102" s="386"/>
      <c r="L102" s="386"/>
      <c r="M102" s="467"/>
      <c r="N102" s="455"/>
      <c r="O102" s="455"/>
      <c r="P102" s="453"/>
      <c r="Q102" s="442"/>
      <c r="R102" s="349"/>
      <c r="S102" s="349"/>
      <c r="T102" s="349"/>
      <c r="U102" s="349"/>
      <c r="V102" s="349"/>
      <c r="W102" s="349"/>
      <c r="X102" s="349"/>
      <c r="Y102" s="349"/>
      <c r="Z102" s="349"/>
      <c r="AA102" s="349"/>
      <c r="AB102" s="349"/>
      <c r="AC102" s="349"/>
    </row>
    <row r="103" ht="15" spans="1:29">
      <c r="A103" s="523"/>
      <c r="B103" s="523"/>
      <c r="C103" s="523"/>
      <c r="D103" s="523"/>
      <c r="E103" s="523"/>
      <c r="F103" s="523"/>
      <c r="G103" s="523"/>
      <c r="H103" s="523"/>
      <c r="I103" s="523"/>
      <c r="J103" s="523"/>
      <c r="K103" s="538"/>
      <c r="L103" s="539"/>
      <c r="M103" s="523"/>
      <c r="N103" s="523"/>
      <c r="O103" s="523"/>
      <c r="P103" s="523"/>
      <c r="Q103" s="523"/>
      <c r="R103" s="523"/>
      <c r="S103" s="523"/>
      <c r="T103" s="523"/>
      <c r="U103" s="523"/>
      <c r="V103" s="523"/>
      <c r="W103" s="523"/>
      <c r="X103" s="523"/>
      <c r="Y103" s="523"/>
      <c r="Z103" s="523"/>
      <c r="AA103" s="523"/>
      <c r="AB103" s="523"/>
      <c r="AC103" s="523"/>
    </row>
    <row r="104" spans="1:29">
      <c r="A104" s="523"/>
      <c r="B104" s="523"/>
      <c r="C104" s="523"/>
      <c r="D104" s="523"/>
      <c r="E104" s="523"/>
      <c r="F104" s="523"/>
      <c r="G104" s="523"/>
      <c r="H104" s="523"/>
      <c r="I104" s="523"/>
      <c r="J104" s="523"/>
      <c r="K104" s="538"/>
      <c r="L104" s="539"/>
      <c r="M104" s="523"/>
      <c r="N104" s="523"/>
      <c r="O104" s="523"/>
      <c r="P104" s="523"/>
      <c r="Q104" s="523"/>
      <c r="R104" s="523"/>
      <c r="S104" s="523"/>
      <c r="T104" s="523"/>
      <c r="U104" s="523"/>
      <c r="V104" s="523"/>
      <c r="W104" s="523"/>
      <c r="X104" s="523"/>
      <c r="Y104" s="523"/>
      <c r="Z104" s="523"/>
      <c r="AA104" s="523"/>
      <c r="AB104" s="523"/>
      <c r="AC104" s="523"/>
    </row>
    <row r="105" spans="1:29">
      <c r="A105" s="523"/>
      <c r="B105" s="523"/>
      <c r="C105" s="523"/>
      <c r="D105" s="523"/>
      <c r="E105" s="523"/>
      <c r="F105" s="523"/>
      <c r="G105" s="523"/>
      <c r="H105" s="523"/>
      <c r="I105" s="523"/>
      <c r="J105" s="523"/>
      <c r="K105" s="538"/>
      <c r="L105" s="539"/>
      <c r="M105" s="523"/>
      <c r="N105" s="523"/>
      <c r="O105" s="523"/>
      <c r="P105" s="523"/>
      <c r="Q105" s="523"/>
      <c r="R105" s="523"/>
      <c r="S105" s="523"/>
      <c r="T105" s="523"/>
      <c r="U105" s="523"/>
      <c r="V105" s="523"/>
      <c r="W105" s="523"/>
      <c r="X105" s="523"/>
      <c r="Y105" s="523"/>
      <c r="Z105" s="523"/>
      <c r="AA105" s="523"/>
      <c r="AB105" s="523"/>
      <c r="AC105" s="523"/>
    </row>
    <row r="106" spans="1:29">
      <c r="A106" s="523"/>
      <c r="B106" s="523"/>
      <c r="C106" s="523"/>
      <c r="D106" s="523"/>
      <c r="E106" s="523"/>
      <c r="F106" s="523"/>
      <c r="G106" s="523"/>
      <c r="H106" s="523"/>
      <c r="I106" s="523"/>
      <c r="J106" s="523"/>
      <c r="K106" s="538"/>
      <c r="L106" s="539"/>
      <c r="M106" s="523"/>
      <c r="N106" s="523"/>
      <c r="O106" s="523"/>
      <c r="P106" s="523"/>
      <c r="Q106" s="523"/>
      <c r="R106" s="523"/>
      <c r="S106" s="523"/>
      <c r="T106" s="523"/>
      <c r="U106" s="523"/>
      <c r="V106" s="523"/>
      <c r="W106" s="523"/>
      <c r="X106" s="523"/>
      <c r="Y106" s="523"/>
      <c r="Z106" s="523"/>
      <c r="AA106" s="523"/>
      <c r="AB106" s="523"/>
      <c r="AC106" s="523"/>
    </row>
    <row r="107" spans="1:29">
      <c r="A107" s="523"/>
      <c r="B107" s="523"/>
      <c r="C107" s="523"/>
      <c r="D107" s="523"/>
      <c r="E107" s="523"/>
      <c r="F107" s="523"/>
      <c r="G107" s="523"/>
      <c r="H107" s="523"/>
      <c r="I107" s="523"/>
      <c r="J107" s="523"/>
      <c r="K107" s="538"/>
      <c r="L107" s="539"/>
      <c r="M107" s="523"/>
      <c r="N107" s="523"/>
      <c r="O107" s="523"/>
      <c r="P107" s="523"/>
      <c r="Q107" s="523"/>
      <c r="R107" s="523"/>
      <c r="S107" s="523"/>
      <c r="T107" s="523"/>
      <c r="U107" s="523"/>
      <c r="V107" s="523"/>
      <c r="W107" s="523"/>
      <c r="X107" s="523"/>
      <c r="Y107" s="523"/>
      <c r="Z107" s="523"/>
      <c r="AA107" s="523"/>
      <c r="AB107" s="523"/>
      <c r="AC107" s="523"/>
    </row>
    <row r="108" spans="1:29">
      <c r="A108" s="523"/>
      <c r="B108" s="523"/>
      <c r="C108" s="523"/>
      <c r="D108" s="523"/>
      <c r="E108" s="523"/>
      <c r="F108" s="523"/>
      <c r="G108" s="523"/>
      <c r="H108" s="523"/>
      <c r="I108" s="523"/>
      <c r="J108" s="523"/>
      <c r="K108" s="538"/>
      <c r="L108" s="539"/>
      <c r="M108" s="523"/>
      <c r="N108" s="523"/>
      <c r="O108" s="523"/>
      <c r="P108" s="523"/>
      <c r="Q108" s="523"/>
      <c r="R108" s="523"/>
      <c r="S108" s="523"/>
      <c r="T108" s="523"/>
      <c r="U108" s="523"/>
      <c r="V108" s="523"/>
      <c r="W108" s="523"/>
      <c r="X108" s="523"/>
      <c r="Y108" s="523"/>
      <c r="Z108" s="523"/>
      <c r="AA108" s="523"/>
      <c r="AB108" s="523"/>
      <c r="AC108" s="523"/>
    </row>
    <row r="109" spans="1:29">
      <c r="A109" s="523"/>
      <c r="B109" s="523"/>
      <c r="C109" s="523"/>
      <c r="D109" s="523"/>
      <c r="E109" s="523"/>
      <c r="F109" s="523"/>
      <c r="G109" s="523"/>
      <c r="H109" s="523"/>
      <c r="I109" s="523"/>
      <c r="J109" s="523"/>
      <c r="K109" s="538"/>
      <c r="L109" s="539"/>
      <c r="M109" s="523"/>
      <c r="N109" s="523"/>
      <c r="O109" s="523"/>
      <c r="P109" s="523"/>
      <c r="Q109" s="523"/>
      <c r="R109" s="523"/>
      <c r="S109" s="523"/>
      <c r="T109" s="523"/>
      <c r="U109" s="523"/>
      <c r="V109" s="523"/>
      <c r="W109" s="523"/>
      <c r="X109" s="523"/>
      <c r="Y109" s="523"/>
      <c r="Z109" s="523"/>
      <c r="AA109" s="523"/>
      <c r="AB109" s="523"/>
      <c r="AC109" s="523"/>
    </row>
    <row r="110" spans="1:29">
      <c r="A110" s="523"/>
      <c r="B110" s="523"/>
      <c r="C110" s="523"/>
      <c r="D110" s="523"/>
      <c r="E110" s="523"/>
      <c r="F110" s="523"/>
      <c r="G110" s="523"/>
      <c r="H110" s="523"/>
      <c r="I110" s="523"/>
      <c r="J110" s="523"/>
      <c r="K110" s="538"/>
      <c r="L110" s="539"/>
      <c r="M110" s="523"/>
      <c r="N110" s="523"/>
      <c r="O110" s="523"/>
      <c r="P110" s="523"/>
      <c r="Q110" s="523"/>
      <c r="R110" s="523"/>
      <c r="S110" s="523"/>
      <c r="T110" s="523"/>
      <c r="U110" s="523"/>
      <c r="V110" s="523"/>
      <c r="W110" s="523"/>
      <c r="X110" s="523"/>
      <c r="Y110" s="523"/>
      <c r="Z110" s="523"/>
      <c r="AA110" s="523"/>
      <c r="AB110" s="523"/>
      <c r="AC110" s="523"/>
    </row>
    <row r="111" spans="1:29">
      <c r="A111" s="523"/>
      <c r="B111" s="523"/>
      <c r="C111" s="523"/>
      <c r="D111" s="523"/>
      <c r="E111" s="523"/>
      <c r="F111" s="523"/>
      <c r="G111" s="523"/>
      <c r="H111" s="523"/>
      <c r="I111" s="523"/>
      <c r="J111" s="523"/>
      <c r="K111" s="538"/>
      <c r="L111" s="539"/>
      <c r="M111" s="523"/>
      <c r="N111" s="523"/>
      <c r="O111" s="523"/>
      <c r="P111" s="523"/>
      <c r="Q111" s="523"/>
      <c r="R111" s="523"/>
      <c r="S111" s="523"/>
      <c r="T111" s="523"/>
      <c r="U111" s="523"/>
      <c r="V111" s="523"/>
      <c r="W111" s="523"/>
      <c r="X111" s="523"/>
      <c r="Y111" s="523"/>
      <c r="Z111" s="523"/>
      <c r="AA111" s="523"/>
      <c r="AB111" s="523"/>
      <c r="AC111" s="523"/>
    </row>
    <row r="112" spans="1:29">
      <c r="A112" s="523"/>
      <c r="B112" s="523"/>
      <c r="C112" s="523"/>
      <c r="D112" s="523"/>
      <c r="E112" s="523"/>
      <c r="F112" s="523"/>
      <c r="G112" s="523"/>
      <c r="H112" s="523"/>
      <c r="I112" s="523"/>
      <c r="J112" s="523"/>
      <c r="K112" s="538"/>
      <c r="L112" s="539"/>
      <c r="M112" s="523"/>
      <c r="N112" s="523"/>
      <c r="O112" s="523"/>
      <c r="P112" s="523"/>
      <c r="Q112" s="523"/>
      <c r="R112" s="523"/>
      <c r="S112" s="523"/>
      <c r="T112" s="523"/>
      <c r="U112" s="523"/>
      <c r="V112" s="523"/>
      <c r="W112" s="523"/>
      <c r="X112" s="523"/>
      <c r="Y112" s="523"/>
      <c r="Z112" s="523"/>
      <c r="AA112" s="523"/>
      <c r="AB112" s="523"/>
      <c r="AC112" s="523"/>
    </row>
    <row r="113" spans="1:29">
      <c r="A113" s="523"/>
      <c r="B113" s="523"/>
      <c r="C113" s="523"/>
      <c r="D113" s="523"/>
      <c r="E113" s="523"/>
      <c r="F113" s="523"/>
      <c r="G113" s="523"/>
      <c r="H113" s="523"/>
      <c r="I113" s="523"/>
      <c r="J113" s="523"/>
      <c r="K113" s="538"/>
      <c r="L113" s="539"/>
      <c r="M113" s="523"/>
      <c r="N113" s="523"/>
      <c r="O113" s="523"/>
      <c r="P113" s="523"/>
      <c r="Q113" s="523"/>
      <c r="R113" s="523"/>
      <c r="S113" s="523"/>
      <c r="T113" s="523"/>
      <c r="U113" s="523"/>
      <c r="V113" s="523"/>
      <c r="W113" s="523"/>
      <c r="X113" s="523"/>
      <c r="Y113" s="523"/>
      <c r="Z113" s="523"/>
      <c r="AA113" s="523"/>
      <c r="AB113" s="523"/>
      <c r="AC113" s="523"/>
    </row>
    <row r="114" spans="1:29">
      <c r="A114" s="523"/>
      <c r="B114" s="523"/>
      <c r="C114" s="523"/>
      <c r="D114" s="523"/>
      <c r="E114" s="523"/>
      <c r="F114" s="523"/>
      <c r="G114" s="523"/>
      <c r="H114" s="523"/>
      <c r="I114" s="523"/>
      <c r="J114" s="523"/>
      <c r="K114" s="538"/>
      <c r="L114" s="539"/>
      <c r="M114" s="523"/>
      <c r="N114" s="523"/>
      <c r="O114" s="523"/>
      <c r="P114" s="523"/>
      <c r="Q114" s="523"/>
      <c r="R114" s="523"/>
      <c r="S114" s="523"/>
      <c r="T114" s="523"/>
      <c r="U114" s="523"/>
      <c r="V114" s="523"/>
      <c r="W114" s="523"/>
      <c r="X114" s="523"/>
      <c r="Y114" s="523"/>
      <c r="Z114" s="523"/>
      <c r="AA114" s="523"/>
      <c r="AB114" s="523"/>
      <c r="AC114" s="523"/>
    </row>
    <row r="115" spans="1:29">
      <c r="A115" s="523"/>
      <c r="B115" s="523"/>
      <c r="C115" s="523"/>
      <c r="D115" s="523"/>
      <c r="E115" s="523"/>
      <c r="F115" s="523"/>
      <c r="G115" s="523"/>
      <c r="H115" s="523"/>
      <c r="I115" s="523"/>
      <c r="J115" s="523"/>
      <c r="K115" s="538"/>
      <c r="L115" s="539"/>
      <c r="M115" s="523"/>
      <c r="N115" s="523"/>
      <c r="O115" s="523"/>
      <c r="P115" s="523"/>
      <c r="Q115" s="523"/>
      <c r="R115" s="523"/>
      <c r="S115" s="523"/>
      <c r="T115" s="523"/>
      <c r="U115" s="523"/>
      <c r="V115" s="523"/>
      <c r="W115" s="523"/>
      <c r="X115" s="523"/>
      <c r="Y115" s="523"/>
      <c r="Z115" s="523"/>
      <c r="AA115" s="523"/>
      <c r="AB115" s="523"/>
      <c r="AC115" s="523"/>
    </row>
    <row r="116" spans="1:29">
      <c r="A116" s="523"/>
      <c r="B116" s="523"/>
      <c r="C116" s="523"/>
      <c r="D116" s="523"/>
      <c r="E116" s="523"/>
      <c r="F116" s="523"/>
      <c r="G116" s="523"/>
      <c r="H116" s="523"/>
      <c r="I116" s="523"/>
      <c r="J116" s="523"/>
      <c r="K116" s="538"/>
      <c r="L116" s="539"/>
      <c r="M116" s="523"/>
      <c r="N116" s="523"/>
      <c r="O116" s="523"/>
      <c r="P116" s="523"/>
      <c r="Q116" s="523"/>
      <c r="R116" s="523"/>
      <c r="S116" s="523"/>
      <c r="T116" s="523"/>
      <c r="U116" s="523"/>
      <c r="V116" s="523"/>
      <c r="W116" s="523"/>
      <c r="X116" s="523"/>
      <c r="Y116" s="523"/>
      <c r="Z116" s="523"/>
      <c r="AA116" s="523"/>
      <c r="AB116" s="523"/>
      <c r="AC116" s="523"/>
    </row>
    <row r="117" spans="1:29">
      <c r="A117" s="523"/>
      <c r="B117" s="523"/>
      <c r="C117" s="523"/>
      <c r="D117" s="523"/>
      <c r="E117" s="523"/>
      <c r="F117" s="523"/>
      <c r="G117" s="523"/>
      <c r="H117" s="523"/>
      <c r="I117" s="523"/>
      <c r="J117" s="523"/>
      <c r="K117" s="538"/>
      <c r="L117" s="539"/>
      <c r="M117" s="523"/>
      <c r="N117" s="523"/>
      <c r="O117" s="523"/>
      <c r="P117" s="523"/>
      <c r="Q117" s="523"/>
      <c r="R117" s="523"/>
      <c r="S117" s="523"/>
      <c r="T117" s="523"/>
      <c r="U117" s="523"/>
      <c r="V117" s="523"/>
      <c r="W117" s="523"/>
      <c r="X117" s="523"/>
      <c r="Y117" s="523"/>
      <c r="Z117" s="523"/>
      <c r="AA117" s="523"/>
      <c r="AB117" s="523"/>
      <c r="AC117" s="523"/>
    </row>
    <row r="118" spans="1:29">
      <c r="A118" s="523"/>
      <c r="B118" s="523"/>
      <c r="C118" s="523"/>
      <c r="D118" s="523"/>
      <c r="E118" s="523"/>
      <c r="F118" s="523"/>
      <c r="G118" s="523"/>
      <c r="H118" s="523"/>
      <c r="I118" s="523"/>
      <c r="J118" s="523"/>
      <c r="K118" s="538"/>
      <c r="L118" s="539"/>
      <c r="M118" s="523"/>
      <c r="N118" s="523"/>
      <c r="O118" s="523"/>
      <c r="P118" s="523"/>
      <c r="Q118" s="523"/>
      <c r="R118" s="523"/>
      <c r="S118" s="523"/>
      <c r="T118" s="523"/>
      <c r="U118" s="523"/>
      <c r="V118" s="523"/>
      <c r="W118" s="523"/>
      <c r="X118" s="523"/>
      <c r="Y118" s="523"/>
      <c r="Z118" s="523"/>
      <c r="AA118" s="523"/>
      <c r="AB118" s="523"/>
      <c r="AC118" s="523"/>
    </row>
    <row r="119" spans="1:29">
      <c r="A119" s="523"/>
      <c r="B119" s="523"/>
      <c r="C119" s="523"/>
      <c r="D119" s="523"/>
      <c r="E119" s="523"/>
      <c r="F119" s="523"/>
      <c r="G119" s="523"/>
      <c r="H119" s="523"/>
      <c r="I119" s="523"/>
      <c r="J119" s="523"/>
      <c r="K119" s="538"/>
      <c r="L119" s="539"/>
      <c r="M119" s="523"/>
      <c r="N119" s="523"/>
      <c r="O119" s="523"/>
      <c r="P119" s="523"/>
      <c r="Q119" s="523"/>
      <c r="R119" s="523"/>
      <c r="S119" s="523"/>
      <c r="T119" s="523"/>
      <c r="U119" s="523"/>
      <c r="V119" s="523"/>
      <c r="W119" s="523"/>
      <c r="X119" s="523"/>
      <c r="Y119" s="523"/>
      <c r="Z119" s="523"/>
      <c r="AA119" s="523"/>
      <c r="AB119" s="523"/>
      <c r="AC119" s="523"/>
    </row>
    <row r="120" spans="1:29">
      <c r="A120" s="523"/>
      <c r="B120" s="523"/>
      <c r="C120" s="523"/>
      <c r="D120" s="523"/>
      <c r="E120" s="523"/>
      <c r="F120" s="523"/>
      <c r="G120" s="523"/>
      <c r="H120" s="523"/>
      <c r="I120" s="523"/>
      <c r="J120" s="523"/>
      <c r="K120" s="538"/>
      <c r="L120" s="539"/>
      <c r="M120" s="523"/>
      <c r="N120" s="523"/>
      <c r="O120" s="523"/>
      <c r="P120" s="523"/>
      <c r="Q120" s="523"/>
      <c r="R120" s="523"/>
      <c r="S120" s="523"/>
      <c r="T120" s="523"/>
      <c r="U120" s="523"/>
      <c r="V120" s="523"/>
      <c r="W120" s="523"/>
      <c r="X120" s="523"/>
      <c r="Y120" s="523"/>
      <c r="Z120" s="523"/>
      <c r="AA120" s="523"/>
      <c r="AB120" s="523"/>
      <c r="AC120" s="523"/>
    </row>
    <row r="121" spans="1:29">
      <c r="A121" s="523"/>
      <c r="B121" s="523"/>
      <c r="C121" s="523"/>
      <c r="D121" s="523"/>
      <c r="E121" s="523"/>
      <c r="F121" s="523"/>
      <c r="G121" s="523"/>
      <c r="H121" s="523"/>
      <c r="I121" s="523"/>
      <c r="J121" s="523"/>
      <c r="K121" s="538"/>
      <c r="L121" s="539"/>
      <c r="M121" s="523"/>
      <c r="N121" s="523"/>
      <c r="O121" s="523"/>
      <c r="P121" s="523"/>
      <c r="Q121" s="523"/>
      <c r="R121" s="523"/>
      <c r="S121" s="523"/>
      <c r="T121" s="523"/>
      <c r="U121" s="523"/>
      <c r="V121" s="523"/>
      <c r="W121" s="523"/>
      <c r="X121" s="523"/>
      <c r="Y121" s="523"/>
      <c r="Z121" s="523"/>
      <c r="AA121" s="523"/>
      <c r="AB121" s="523"/>
      <c r="AC121" s="523"/>
    </row>
    <row r="122" spans="1:29">
      <c r="A122" s="523"/>
      <c r="B122" s="523"/>
      <c r="C122" s="523"/>
      <c r="D122" s="523"/>
      <c r="E122" s="523"/>
      <c r="F122" s="523"/>
      <c r="G122" s="523"/>
      <c r="H122" s="523"/>
      <c r="I122" s="523"/>
      <c r="J122" s="523"/>
      <c r="K122" s="538"/>
      <c r="L122" s="539"/>
      <c r="M122" s="523"/>
      <c r="N122" s="523"/>
      <c r="O122" s="523"/>
      <c r="P122" s="523"/>
      <c r="Q122" s="523"/>
      <c r="R122" s="523"/>
      <c r="S122" s="523"/>
      <c r="T122" s="523"/>
      <c r="U122" s="523"/>
      <c r="V122" s="523"/>
      <c r="W122" s="523"/>
      <c r="X122" s="523"/>
      <c r="Y122" s="523"/>
      <c r="Z122" s="523"/>
      <c r="AA122" s="523"/>
      <c r="AB122" s="523"/>
      <c r="AC122" s="523"/>
    </row>
    <row r="123" spans="1:29">
      <c r="A123" s="523"/>
      <c r="B123" s="523"/>
      <c r="C123" s="523"/>
      <c r="D123" s="523"/>
      <c r="E123" s="523"/>
      <c r="F123" s="523"/>
      <c r="G123" s="523"/>
      <c r="H123" s="523"/>
      <c r="I123" s="523"/>
      <c r="J123" s="523"/>
      <c r="K123" s="538"/>
      <c r="L123" s="539"/>
      <c r="M123" s="523"/>
      <c r="N123" s="523"/>
      <c r="O123" s="523"/>
      <c r="P123" s="523"/>
      <c r="Q123" s="523"/>
      <c r="R123" s="523"/>
      <c r="S123" s="523"/>
      <c r="T123" s="523"/>
      <c r="U123" s="523"/>
      <c r="V123" s="523"/>
      <c r="W123" s="523"/>
      <c r="X123" s="523"/>
      <c r="Y123" s="523"/>
      <c r="Z123" s="523"/>
      <c r="AA123" s="523"/>
      <c r="AB123" s="523"/>
      <c r="AC123" s="523"/>
    </row>
    <row r="124" spans="1:29">
      <c r="A124" s="523"/>
      <c r="B124" s="523"/>
      <c r="C124" s="523"/>
      <c r="D124" s="523"/>
      <c r="E124" s="523"/>
      <c r="F124" s="523"/>
      <c r="G124" s="523"/>
      <c r="H124" s="523"/>
      <c r="I124" s="523"/>
      <c r="J124" s="523"/>
      <c r="K124" s="538"/>
      <c r="L124" s="539"/>
      <c r="M124" s="523"/>
      <c r="N124" s="523"/>
      <c r="O124" s="523"/>
      <c r="P124" s="523"/>
      <c r="Q124" s="523"/>
      <c r="R124" s="523"/>
      <c r="S124" s="523"/>
      <c r="T124" s="523"/>
      <c r="U124" s="523"/>
      <c r="V124" s="523"/>
      <c r="W124" s="523"/>
      <c r="X124" s="523"/>
      <c r="Y124" s="523"/>
      <c r="Z124" s="523"/>
      <c r="AA124" s="523"/>
      <c r="AB124" s="523"/>
      <c r="AC124" s="523"/>
    </row>
    <row r="125" spans="1:29">
      <c r="A125" s="523"/>
      <c r="B125" s="523"/>
      <c r="C125" s="523"/>
      <c r="D125" s="523"/>
      <c r="E125" s="523"/>
      <c r="F125" s="523"/>
      <c r="G125" s="523"/>
      <c r="H125" s="523"/>
      <c r="I125" s="523"/>
      <c r="J125" s="523"/>
      <c r="K125" s="538"/>
      <c r="L125" s="539"/>
      <c r="M125" s="523"/>
      <c r="N125" s="523"/>
      <c r="O125" s="523"/>
      <c r="P125" s="523"/>
      <c r="Q125" s="523"/>
      <c r="R125" s="523"/>
      <c r="S125" s="523"/>
      <c r="T125" s="523"/>
      <c r="U125" s="523"/>
      <c r="V125" s="523"/>
      <c r="W125" s="523"/>
      <c r="X125" s="523"/>
      <c r="Y125" s="523"/>
      <c r="Z125" s="523"/>
      <c r="AA125" s="523"/>
      <c r="AB125" s="523"/>
      <c r="AC125" s="523"/>
    </row>
    <row r="126" spans="1:29">
      <c r="A126" s="523"/>
      <c r="B126" s="523"/>
      <c r="C126" s="523"/>
      <c r="D126" s="523"/>
      <c r="E126" s="523"/>
      <c r="F126" s="523"/>
      <c r="G126" s="523"/>
      <c r="H126" s="523"/>
      <c r="I126" s="523"/>
      <c r="J126" s="523"/>
      <c r="K126" s="538"/>
      <c r="L126" s="539"/>
      <c r="M126" s="523"/>
      <c r="N126" s="523"/>
      <c r="O126" s="523"/>
      <c r="P126" s="523"/>
      <c r="Q126" s="523"/>
      <c r="R126" s="523"/>
      <c r="S126" s="523"/>
      <c r="T126" s="523"/>
      <c r="U126" s="523"/>
      <c r="V126" s="523"/>
      <c r="W126" s="523"/>
      <c r="X126" s="523"/>
      <c r="Y126" s="523"/>
      <c r="Z126" s="523"/>
      <c r="AA126" s="523"/>
      <c r="AB126" s="523"/>
      <c r="AC126" s="523"/>
    </row>
    <row r="127" spans="1:29">
      <c r="A127" s="523"/>
      <c r="B127" s="523"/>
      <c r="C127" s="523"/>
      <c r="D127" s="523"/>
      <c r="E127" s="523"/>
      <c r="F127" s="523"/>
      <c r="G127" s="523"/>
      <c r="H127" s="523"/>
      <c r="I127" s="523"/>
      <c r="J127" s="523"/>
      <c r="K127" s="538"/>
      <c r="L127" s="539"/>
      <c r="M127" s="523"/>
      <c r="N127" s="523"/>
      <c r="O127" s="523"/>
      <c r="P127" s="523"/>
      <c r="Q127" s="523"/>
      <c r="R127" s="523"/>
      <c r="S127" s="523"/>
      <c r="T127" s="523"/>
      <c r="U127" s="523"/>
      <c r="V127" s="523"/>
      <c r="W127" s="523"/>
      <c r="X127" s="523"/>
      <c r="Y127" s="523"/>
      <c r="Z127" s="523"/>
      <c r="AA127" s="523"/>
      <c r="AB127" s="523"/>
      <c r="AC127" s="523"/>
    </row>
    <row r="128" spans="1:29">
      <c r="A128" s="523"/>
      <c r="B128" s="523"/>
      <c r="C128" s="523"/>
      <c r="D128" s="523"/>
      <c r="E128" s="523"/>
      <c r="F128" s="523"/>
      <c r="G128" s="523"/>
      <c r="H128" s="523"/>
      <c r="I128" s="523"/>
      <c r="J128" s="523"/>
      <c r="K128" s="538"/>
      <c r="L128" s="539"/>
      <c r="M128" s="523"/>
      <c r="N128" s="523"/>
      <c r="O128" s="523"/>
      <c r="P128" s="523"/>
      <c r="Q128" s="523"/>
      <c r="R128" s="523"/>
      <c r="S128" s="523"/>
      <c r="T128" s="523"/>
      <c r="U128" s="523"/>
      <c r="V128" s="523"/>
      <c r="W128" s="523"/>
      <c r="X128" s="523"/>
      <c r="Y128" s="523"/>
      <c r="Z128" s="523"/>
      <c r="AA128" s="523"/>
      <c r="AB128" s="523"/>
      <c r="AC128" s="523"/>
    </row>
    <row r="129" spans="1:29">
      <c r="A129" s="523"/>
      <c r="B129" s="523"/>
      <c r="C129" s="523"/>
      <c r="D129" s="523"/>
      <c r="E129" s="523"/>
      <c r="F129" s="523"/>
      <c r="G129" s="523"/>
      <c r="H129" s="523"/>
      <c r="I129" s="523"/>
      <c r="J129" s="523"/>
      <c r="K129" s="538"/>
      <c r="L129" s="539"/>
      <c r="M129" s="523"/>
      <c r="N129" s="523"/>
      <c r="O129" s="523"/>
      <c r="P129" s="523"/>
      <c r="Q129" s="523"/>
      <c r="R129" s="523"/>
      <c r="S129" s="523"/>
      <c r="T129" s="523"/>
      <c r="U129" s="523"/>
      <c r="V129" s="523"/>
      <c r="W129" s="523"/>
      <c r="X129" s="523"/>
      <c r="Y129" s="523"/>
      <c r="Z129" s="523"/>
      <c r="AA129" s="523"/>
      <c r="AB129" s="523"/>
      <c r="AC129" s="523"/>
    </row>
    <row r="130" spans="1:29">
      <c r="A130" s="523"/>
      <c r="B130" s="523"/>
      <c r="C130" s="523"/>
      <c r="D130" s="523"/>
      <c r="E130" s="523"/>
      <c r="F130" s="523"/>
      <c r="G130" s="523"/>
      <c r="H130" s="523"/>
      <c r="I130" s="523"/>
      <c r="J130" s="523"/>
      <c r="K130" s="538"/>
      <c r="L130" s="539"/>
      <c r="M130" s="523"/>
      <c r="N130" s="523"/>
      <c r="O130" s="523"/>
      <c r="P130" s="523"/>
      <c r="Q130" s="523"/>
      <c r="R130" s="523"/>
      <c r="S130" s="523"/>
      <c r="T130" s="523"/>
      <c r="U130" s="523"/>
      <c r="V130" s="523"/>
      <c r="W130" s="523"/>
      <c r="X130" s="523"/>
      <c r="Y130" s="523"/>
      <c r="Z130" s="523"/>
      <c r="AA130" s="523"/>
      <c r="AB130" s="523"/>
      <c r="AC130" s="523"/>
    </row>
    <row r="131" spans="1:29">
      <c r="A131" s="523"/>
      <c r="B131" s="523"/>
      <c r="C131" s="523"/>
      <c r="D131" s="523"/>
      <c r="E131" s="523"/>
      <c r="F131" s="523"/>
      <c r="G131" s="523"/>
      <c r="H131" s="523"/>
      <c r="I131" s="523"/>
      <c r="J131" s="523"/>
      <c r="K131" s="538"/>
      <c r="L131" s="539"/>
      <c r="M131" s="523"/>
      <c r="N131" s="523"/>
      <c r="O131" s="523"/>
      <c r="P131" s="523"/>
      <c r="Q131" s="523"/>
      <c r="R131" s="523"/>
      <c r="S131" s="523"/>
      <c r="T131" s="523"/>
      <c r="U131" s="523"/>
      <c r="V131" s="523"/>
      <c r="W131" s="523"/>
      <c r="X131" s="523"/>
      <c r="Y131" s="523"/>
      <c r="Z131" s="523"/>
      <c r="AA131" s="523"/>
      <c r="AB131" s="523"/>
      <c r="AC131" s="523"/>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row r="210" spans="1:29">
      <c r="A210" s="523"/>
      <c r="B210" s="523"/>
      <c r="C210" s="523"/>
      <c r="D210" s="523"/>
      <c r="E210" s="523"/>
      <c r="F210" s="523"/>
      <c r="G210" s="523"/>
      <c r="H210" s="523"/>
      <c r="I210" s="523"/>
      <c r="J210" s="523"/>
      <c r="K210" s="538"/>
      <c r="L210" s="539"/>
      <c r="M210" s="523"/>
      <c r="N210" s="523"/>
      <c r="O210" s="523"/>
      <c r="P210" s="523"/>
      <c r="Q210" s="523"/>
      <c r="R210" s="523"/>
      <c r="S210" s="523"/>
      <c r="T210" s="523"/>
      <c r="U210" s="523"/>
      <c r="V210" s="523"/>
      <c r="W210" s="523"/>
      <c r="X210" s="523"/>
      <c r="Y210" s="523"/>
      <c r="Z210" s="523"/>
      <c r="AA210" s="523"/>
      <c r="AB210" s="523"/>
      <c r="AC210" s="523"/>
    </row>
    <row r="211" spans="1:29">
      <c r="A211" s="523"/>
      <c r="B211" s="523"/>
      <c r="C211" s="523"/>
      <c r="D211" s="523"/>
      <c r="E211" s="523"/>
      <c r="F211" s="523"/>
      <c r="G211" s="523"/>
      <c r="H211" s="523"/>
      <c r="I211" s="523"/>
      <c r="J211" s="523"/>
      <c r="K211" s="538"/>
      <c r="L211" s="539"/>
      <c r="M211" s="523"/>
      <c r="N211" s="523"/>
      <c r="O211" s="523"/>
      <c r="P211" s="523"/>
      <c r="Q211" s="523"/>
      <c r="R211" s="523"/>
      <c r="S211" s="523"/>
      <c r="T211" s="523"/>
      <c r="U211" s="523"/>
      <c r="V211" s="523"/>
      <c r="W211" s="523"/>
      <c r="X211" s="523"/>
      <c r="Y211" s="523"/>
      <c r="Z211" s="523"/>
      <c r="AA211" s="523"/>
      <c r="AB211" s="523"/>
      <c r="AC211" s="523"/>
    </row>
    <row r="212" spans="1:29">
      <c r="A212" s="523"/>
      <c r="B212" s="523"/>
      <c r="C212" s="523"/>
      <c r="D212" s="523"/>
      <c r="E212" s="523"/>
      <c r="F212" s="523"/>
      <c r="G212" s="523"/>
      <c r="H212" s="523"/>
      <c r="I212" s="523"/>
      <c r="J212" s="523"/>
      <c r="K212" s="538"/>
      <c r="L212" s="539"/>
      <c r="M212" s="523"/>
      <c r="N212" s="523"/>
      <c r="O212" s="523"/>
      <c r="P212" s="523"/>
      <c r="Q212" s="523"/>
      <c r="R212" s="523"/>
      <c r="S212" s="523"/>
      <c r="T212" s="523"/>
      <c r="U212" s="523"/>
      <c r="V212" s="523"/>
      <c r="W212" s="523"/>
      <c r="X212" s="523"/>
      <c r="Y212" s="523"/>
      <c r="Z212" s="523"/>
      <c r="AA212" s="523"/>
      <c r="AB212" s="523"/>
      <c r="AC212" s="523"/>
    </row>
    <row r="213" spans="1:29">
      <c r="A213" s="523"/>
      <c r="B213" s="523"/>
      <c r="C213" s="523"/>
      <c r="D213" s="523"/>
      <c r="E213" s="523"/>
      <c r="F213" s="523"/>
      <c r="G213" s="523"/>
      <c r="H213" s="523"/>
      <c r="I213" s="523"/>
      <c r="J213" s="523"/>
      <c r="K213" s="538"/>
      <c r="L213" s="539"/>
      <c r="M213" s="523"/>
      <c r="N213" s="523"/>
      <c r="O213" s="523"/>
      <c r="P213" s="523"/>
      <c r="Q213" s="523"/>
      <c r="R213" s="523"/>
      <c r="S213" s="523"/>
      <c r="T213" s="523"/>
      <c r="U213" s="523"/>
      <c r="V213" s="523"/>
      <c r="W213" s="523"/>
      <c r="X213" s="523"/>
      <c r="Y213" s="523"/>
      <c r="Z213" s="523"/>
      <c r="AA213" s="523"/>
      <c r="AB213" s="523"/>
      <c r="AC213" s="523"/>
    </row>
    <row r="214" spans="1:29">
      <c r="A214" s="523"/>
      <c r="B214" s="523"/>
      <c r="C214" s="523"/>
      <c r="D214" s="523"/>
      <c r="E214" s="523"/>
      <c r="F214" s="523"/>
      <c r="G214" s="523"/>
      <c r="H214" s="523"/>
      <c r="I214" s="523"/>
      <c r="J214" s="523"/>
      <c r="K214" s="538"/>
      <c r="L214" s="539"/>
      <c r="M214" s="523"/>
      <c r="N214" s="523"/>
      <c r="O214" s="523"/>
      <c r="P214" s="523"/>
      <c r="Q214" s="523"/>
      <c r="R214" s="523"/>
      <c r="S214" s="523"/>
      <c r="T214" s="523"/>
      <c r="U214" s="523"/>
      <c r="V214" s="523"/>
      <c r="W214" s="523"/>
      <c r="X214" s="523"/>
      <c r="Y214" s="523"/>
      <c r="Z214" s="523"/>
      <c r="AA214" s="523"/>
      <c r="AB214" s="523"/>
      <c r="AC214" s="523"/>
    </row>
    <row r="215" spans="1:29">
      <c r="A215" s="523"/>
      <c r="B215" s="523"/>
      <c r="C215" s="523"/>
      <c r="D215" s="523"/>
      <c r="E215" s="523"/>
      <c r="F215" s="523"/>
      <c r="G215" s="523"/>
      <c r="H215" s="523"/>
      <c r="I215" s="523"/>
      <c r="J215" s="523"/>
      <c r="K215" s="538"/>
      <c r="L215" s="539"/>
      <c r="M215" s="523"/>
      <c r="N215" s="523"/>
      <c r="O215" s="523"/>
      <c r="P215" s="523"/>
      <c r="Q215" s="523"/>
      <c r="R215" s="523"/>
      <c r="S215" s="523"/>
      <c r="T215" s="523"/>
      <c r="U215" s="523"/>
      <c r="V215" s="523"/>
      <c r="W215" s="523"/>
      <c r="X215" s="523"/>
      <c r="Y215" s="523"/>
      <c r="Z215" s="523"/>
      <c r="AA215" s="523"/>
      <c r="AB215" s="523"/>
      <c r="AC215" s="523"/>
    </row>
    <row r="216" spans="1:29">
      <c r="A216" s="523"/>
      <c r="B216" s="523"/>
      <c r="C216" s="523"/>
      <c r="D216" s="523"/>
      <c r="E216" s="523"/>
      <c r="F216" s="523"/>
      <c r="G216" s="523"/>
      <c r="H216" s="523"/>
      <c r="I216" s="523"/>
      <c r="J216" s="523"/>
      <c r="K216" s="538"/>
      <c r="L216" s="539"/>
      <c r="M216" s="523"/>
      <c r="N216" s="523"/>
      <c r="O216" s="523"/>
      <c r="P216" s="523"/>
      <c r="Q216" s="523"/>
      <c r="R216" s="523"/>
      <c r="S216" s="523"/>
      <c r="T216" s="523"/>
      <c r="U216" s="523"/>
      <c r="V216" s="523"/>
      <c r="W216" s="523"/>
      <c r="X216" s="523"/>
      <c r="Y216" s="523"/>
      <c r="Z216" s="523"/>
      <c r="AA216" s="523"/>
      <c r="AB216" s="523"/>
      <c r="AC216" s="523"/>
    </row>
    <row r="217" spans="1:29">
      <c r="A217" s="523"/>
      <c r="B217" s="523"/>
      <c r="C217" s="523"/>
      <c r="D217" s="523"/>
      <c r="E217" s="523"/>
      <c r="F217" s="523"/>
      <c r="G217" s="523"/>
      <c r="H217" s="523"/>
      <c r="I217" s="523"/>
      <c r="J217" s="523"/>
      <c r="K217" s="538"/>
      <c r="L217" s="539"/>
      <c r="M217" s="523"/>
      <c r="N217" s="523"/>
      <c r="O217" s="523"/>
      <c r="P217" s="523"/>
      <c r="Q217" s="523"/>
      <c r="R217" s="523"/>
      <c r="S217" s="523"/>
      <c r="T217" s="523"/>
      <c r="U217" s="523"/>
      <c r="V217" s="523"/>
      <c r="W217" s="523"/>
      <c r="X217" s="523"/>
      <c r="Y217" s="523"/>
      <c r="Z217" s="523"/>
      <c r="AA217" s="523"/>
      <c r="AB217" s="523"/>
      <c r="AC217" s="523"/>
    </row>
    <row r="218" spans="1:29">
      <c r="A218" s="523"/>
      <c r="B218" s="523"/>
      <c r="C218" s="523"/>
      <c r="D218" s="523"/>
      <c r="E218" s="523"/>
      <c r="F218" s="523"/>
      <c r="G218" s="523"/>
      <c r="H218" s="523"/>
      <c r="I218" s="523"/>
      <c r="J218" s="523"/>
      <c r="K218" s="538"/>
      <c r="L218" s="539"/>
      <c r="M218" s="523"/>
      <c r="N218" s="523"/>
      <c r="O218" s="523"/>
      <c r="P218" s="523"/>
      <c r="Q218" s="523"/>
      <c r="R218" s="523"/>
      <c r="S218" s="523"/>
      <c r="T218" s="523"/>
      <c r="U218" s="523"/>
      <c r="V218" s="523"/>
      <c r="W218" s="523"/>
      <c r="X218" s="523"/>
      <c r="Y218" s="523"/>
      <c r="Z218" s="523"/>
      <c r="AA218" s="523"/>
      <c r="AB218" s="523"/>
      <c r="AC218" s="523"/>
    </row>
    <row r="219" spans="1:29">
      <c r="A219" s="523"/>
      <c r="B219" s="523"/>
      <c r="C219" s="523"/>
      <c r="D219" s="523"/>
      <c r="E219" s="523"/>
      <c r="F219" s="523"/>
      <c r="G219" s="523"/>
      <c r="H219" s="523"/>
      <c r="I219" s="523"/>
      <c r="J219" s="523"/>
      <c r="K219" s="538"/>
      <c r="L219" s="539"/>
      <c r="M219" s="523"/>
      <c r="N219" s="523"/>
      <c r="O219" s="523"/>
      <c r="P219" s="523"/>
      <c r="Q219" s="523"/>
      <c r="R219" s="523"/>
      <c r="S219" s="523"/>
      <c r="T219" s="523"/>
      <c r="U219" s="523"/>
      <c r="V219" s="523"/>
      <c r="W219" s="523"/>
      <c r="X219" s="523"/>
      <c r="Y219" s="523"/>
      <c r="Z219" s="523"/>
      <c r="AA219" s="523"/>
      <c r="AB219" s="523"/>
      <c r="AC219" s="523"/>
    </row>
    <row r="220" spans="1:29">
      <c r="A220" s="523"/>
      <c r="B220" s="523"/>
      <c r="C220" s="523"/>
      <c r="D220" s="523"/>
      <c r="E220" s="523"/>
      <c r="F220" s="523"/>
      <c r="G220" s="523"/>
      <c r="H220" s="523"/>
      <c r="I220" s="523"/>
      <c r="J220" s="523"/>
      <c r="K220" s="538"/>
      <c r="L220" s="539"/>
      <c r="M220" s="523"/>
      <c r="N220" s="523"/>
      <c r="O220" s="523"/>
      <c r="P220" s="523"/>
      <c r="Q220" s="523"/>
      <c r="R220" s="523"/>
      <c r="S220" s="523"/>
      <c r="T220" s="523"/>
      <c r="U220" s="523"/>
      <c r="V220" s="523"/>
      <c r="W220" s="523"/>
      <c r="X220" s="523"/>
      <c r="Y220" s="523"/>
      <c r="Z220" s="523"/>
      <c r="AA220" s="523"/>
      <c r="AB220" s="523"/>
      <c r="AC220" s="523"/>
    </row>
    <row r="221" spans="1:29">
      <c r="A221" s="523"/>
      <c r="B221" s="523"/>
      <c r="C221" s="523"/>
      <c r="D221" s="523"/>
      <c r="E221" s="523"/>
      <c r="F221" s="523"/>
      <c r="G221" s="523"/>
      <c r="H221" s="523"/>
      <c r="I221" s="523"/>
      <c r="J221" s="523"/>
      <c r="K221" s="538"/>
      <c r="L221" s="539"/>
      <c r="M221" s="523"/>
      <c r="N221" s="523"/>
      <c r="O221" s="523"/>
      <c r="P221" s="523"/>
      <c r="Q221" s="523"/>
      <c r="R221" s="523"/>
      <c r="S221" s="523"/>
      <c r="T221" s="523"/>
      <c r="U221" s="523"/>
      <c r="V221" s="523"/>
      <c r="W221" s="523"/>
      <c r="X221" s="523"/>
      <c r="Y221" s="523"/>
      <c r="Z221" s="523"/>
      <c r="AA221" s="523"/>
      <c r="AB221" s="523"/>
      <c r="AC221" s="523"/>
    </row>
    <row r="222" spans="1:29">
      <c r="A222" s="523"/>
      <c r="B222" s="523"/>
      <c r="C222" s="523"/>
      <c r="D222" s="523"/>
      <c r="E222" s="523"/>
      <c r="F222" s="523"/>
      <c r="G222" s="523"/>
      <c r="H222" s="523"/>
      <c r="I222" s="523"/>
      <c r="J222" s="523"/>
      <c r="K222" s="538"/>
      <c r="L222" s="539"/>
      <c r="M222" s="523"/>
      <c r="N222" s="523"/>
      <c r="O222" s="523"/>
      <c r="P222" s="523"/>
      <c r="Q222" s="523"/>
      <c r="R222" s="523"/>
      <c r="S222" s="523"/>
      <c r="T222" s="523"/>
      <c r="U222" s="523"/>
      <c r="V222" s="523"/>
      <c r="W222" s="523"/>
      <c r="X222" s="523"/>
      <c r="Y222" s="523"/>
      <c r="Z222" s="523"/>
      <c r="AA222" s="523"/>
      <c r="AB222" s="523"/>
      <c r="AC222" s="523"/>
    </row>
    <row r="223" spans="1:29">
      <c r="A223" s="523"/>
      <c r="B223" s="523"/>
      <c r="C223" s="523"/>
      <c r="D223" s="523"/>
      <c r="E223" s="523"/>
      <c r="F223" s="523"/>
      <c r="G223" s="523"/>
      <c r="H223" s="523"/>
      <c r="I223" s="523"/>
      <c r="J223" s="523"/>
      <c r="K223" s="538"/>
      <c r="L223" s="539"/>
      <c r="M223" s="523"/>
      <c r="N223" s="523"/>
      <c r="O223" s="523"/>
      <c r="P223" s="523"/>
      <c r="Q223" s="523"/>
      <c r="R223" s="523"/>
      <c r="S223" s="523"/>
      <c r="T223" s="523"/>
      <c r="U223" s="523"/>
      <c r="V223" s="523"/>
      <c r="W223" s="523"/>
      <c r="X223" s="523"/>
      <c r="Y223" s="523"/>
      <c r="Z223" s="523"/>
      <c r="AA223" s="523"/>
      <c r="AB223" s="523"/>
      <c r="AC223" s="523"/>
    </row>
    <row r="224" spans="1:29">
      <c r="A224" s="523"/>
      <c r="B224" s="523"/>
      <c r="C224" s="523"/>
      <c r="D224" s="523"/>
      <c r="E224" s="523"/>
      <c r="F224" s="523"/>
      <c r="G224" s="523"/>
      <c r="H224" s="523"/>
      <c r="I224" s="523"/>
      <c r="J224" s="523"/>
      <c r="K224" s="538"/>
      <c r="L224" s="539"/>
      <c r="M224" s="523"/>
      <c r="N224" s="523"/>
      <c r="O224" s="523"/>
      <c r="P224" s="523"/>
      <c r="Q224" s="523"/>
      <c r="R224" s="523"/>
      <c r="S224" s="523"/>
      <c r="T224" s="523"/>
      <c r="U224" s="523"/>
      <c r="V224" s="523"/>
      <c r="W224" s="523"/>
      <c r="X224" s="523"/>
      <c r="Y224" s="523"/>
      <c r="Z224" s="523"/>
      <c r="AA224" s="523"/>
      <c r="AB224" s="523"/>
      <c r="AC224" s="523"/>
    </row>
    <row r="225" spans="1:29">
      <c r="A225" s="523"/>
      <c r="B225" s="523"/>
      <c r="C225" s="523"/>
      <c r="D225" s="523"/>
      <c r="E225" s="523"/>
      <c r="F225" s="523"/>
      <c r="G225" s="523"/>
      <c r="H225" s="523"/>
      <c r="I225" s="523"/>
      <c r="J225" s="523"/>
      <c r="K225" s="538"/>
      <c r="L225" s="539"/>
      <c r="M225" s="523"/>
      <c r="N225" s="523"/>
      <c r="O225" s="523"/>
      <c r="P225" s="523"/>
      <c r="Q225" s="523"/>
      <c r="R225" s="523"/>
      <c r="S225" s="523"/>
      <c r="T225" s="523"/>
      <c r="U225" s="523"/>
      <c r="V225" s="523"/>
      <c r="W225" s="523"/>
      <c r="X225" s="523"/>
      <c r="Y225" s="523"/>
      <c r="Z225" s="523"/>
      <c r="AA225" s="523"/>
      <c r="AB225" s="523"/>
      <c r="AC225" s="523"/>
    </row>
    <row r="226" spans="1:29">
      <c r="A226" s="523"/>
      <c r="B226" s="523"/>
      <c r="C226" s="523"/>
      <c r="D226" s="523"/>
      <c r="E226" s="523"/>
      <c r="F226" s="523"/>
      <c r="G226" s="523"/>
      <c r="H226" s="523"/>
      <c r="I226" s="523"/>
      <c r="J226" s="523"/>
      <c r="K226" s="538"/>
      <c r="L226" s="539"/>
      <c r="M226" s="523"/>
      <c r="N226" s="523"/>
      <c r="O226" s="523"/>
      <c r="P226" s="523"/>
      <c r="Q226" s="523"/>
      <c r="R226" s="523"/>
      <c r="S226" s="523"/>
      <c r="T226" s="523"/>
      <c r="U226" s="523"/>
      <c r="V226" s="523"/>
      <c r="W226" s="523"/>
      <c r="X226" s="523"/>
      <c r="Y226" s="523"/>
      <c r="Z226" s="523"/>
      <c r="AA226" s="523"/>
      <c r="AB226" s="523"/>
      <c r="AC226" s="523"/>
    </row>
    <row r="227" spans="1:29">
      <c r="A227" s="523"/>
      <c r="B227" s="523"/>
      <c r="C227" s="523"/>
      <c r="D227" s="523"/>
      <c r="E227" s="523"/>
      <c r="F227" s="523"/>
      <c r="G227" s="523"/>
      <c r="H227" s="523"/>
      <c r="I227" s="523"/>
      <c r="J227" s="523"/>
      <c r="K227" s="538"/>
      <c r="L227" s="539"/>
      <c r="M227" s="523"/>
      <c r="N227" s="523"/>
      <c r="O227" s="523"/>
      <c r="P227" s="523"/>
      <c r="Q227" s="523"/>
      <c r="R227" s="523"/>
      <c r="S227" s="523"/>
      <c r="T227" s="523"/>
      <c r="U227" s="523"/>
      <c r="V227" s="523"/>
      <c r="W227" s="523"/>
      <c r="X227" s="523"/>
      <c r="Y227" s="523"/>
      <c r="Z227" s="523"/>
      <c r="AA227" s="523"/>
      <c r="AB227" s="523"/>
      <c r="AC227" s="523"/>
    </row>
    <row r="228" spans="1:29">
      <c r="A228" s="523"/>
      <c r="B228" s="523"/>
      <c r="C228" s="523"/>
      <c r="D228" s="523"/>
      <c r="E228" s="523"/>
      <c r="F228" s="523"/>
      <c r="G228" s="523"/>
      <c r="H228" s="523"/>
      <c r="I228" s="523"/>
      <c r="J228" s="523"/>
      <c r="K228" s="538"/>
      <c r="L228" s="539"/>
      <c r="M228" s="523"/>
      <c r="N228" s="523"/>
      <c r="O228" s="523"/>
      <c r="P228" s="523"/>
      <c r="Q228" s="523"/>
      <c r="R228" s="523"/>
      <c r="S228" s="523"/>
      <c r="T228" s="523"/>
      <c r="U228" s="523"/>
      <c r="V228" s="523"/>
      <c r="W228" s="523"/>
      <c r="X228" s="523"/>
      <c r="Y228" s="523"/>
      <c r="Z228" s="523"/>
      <c r="AA228" s="523"/>
      <c r="AB228" s="523"/>
      <c r="AC228" s="523"/>
    </row>
    <row r="229" spans="1:29">
      <c r="A229" s="523"/>
      <c r="B229" s="523"/>
      <c r="C229" s="523"/>
      <c r="D229" s="523"/>
      <c r="E229" s="523"/>
      <c r="F229" s="523"/>
      <c r="G229" s="523"/>
      <c r="H229" s="523"/>
      <c r="I229" s="523"/>
      <c r="J229" s="523"/>
      <c r="K229" s="538"/>
      <c r="L229" s="539"/>
      <c r="M229" s="523"/>
      <c r="N229" s="523"/>
      <c r="O229" s="523"/>
      <c r="P229" s="523"/>
      <c r="Q229" s="523"/>
      <c r="R229" s="523"/>
      <c r="S229" s="523"/>
      <c r="T229" s="523"/>
      <c r="U229" s="523"/>
      <c r="V229" s="523"/>
      <c r="W229" s="523"/>
      <c r="X229" s="523"/>
      <c r="Y229" s="523"/>
      <c r="Z229" s="523"/>
      <c r="AA229" s="523"/>
      <c r="AB229" s="523"/>
      <c r="AC229" s="523"/>
    </row>
    <row r="230" spans="1:29">
      <c r="A230" s="523"/>
      <c r="B230" s="523"/>
      <c r="C230" s="523"/>
      <c r="D230" s="523"/>
      <c r="E230" s="523"/>
      <c r="F230" s="523"/>
      <c r="G230" s="523"/>
      <c r="H230" s="523"/>
      <c r="I230" s="523"/>
      <c r="J230" s="523"/>
      <c r="K230" s="538"/>
      <c r="L230" s="539"/>
      <c r="M230" s="523"/>
      <c r="N230" s="523"/>
      <c r="O230" s="523"/>
      <c r="P230" s="523"/>
      <c r="Q230" s="523"/>
      <c r="R230" s="523"/>
      <c r="S230" s="523"/>
      <c r="T230" s="523"/>
      <c r="U230" s="523"/>
      <c r="V230" s="523"/>
      <c r="W230" s="523"/>
      <c r="X230" s="523"/>
      <c r="Y230" s="523"/>
      <c r="Z230" s="523"/>
      <c r="AA230" s="523"/>
      <c r="AB230" s="523"/>
      <c r="AC230" s="523"/>
    </row>
    <row r="231" spans="1:29">
      <c r="A231" s="523"/>
      <c r="B231" s="523"/>
      <c r="C231" s="523"/>
      <c r="D231" s="523"/>
      <c r="E231" s="523"/>
      <c r="F231" s="523"/>
      <c r="G231" s="523"/>
      <c r="H231" s="523"/>
      <c r="I231" s="523"/>
      <c r="J231" s="523"/>
      <c r="K231" s="538"/>
      <c r="L231" s="539"/>
      <c r="M231" s="523"/>
      <c r="N231" s="523"/>
      <c r="O231" s="523"/>
      <c r="P231" s="523"/>
      <c r="Q231" s="523"/>
      <c r="R231" s="523"/>
      <c r="S231" s="523"/>
      <c r="T231" s="523"/>
      <c r="U231" s="523"/>
      <c r="V231" s="523"/>
      <c r="W231" s="523"/>
      <c r="X231" s="523"/>
      <c r="Y231" s="523"/>
      <c r="Z231" s="523"/>
      <c r="AA231" s="523"/>
      <c r="AB231" s="523"/>
      <c r="AC231" s="523"/>
    </row>
    <row r="232" spans="1:29">
      <c r="A232" s="523"/>
      <c r="B232" s="523"/>
      <c r="C232" s="523"/>
      <c r="D232" s="523"/>
      <c r="E232" s="523"/>
      <c r="F232" s="523"/>
      <c r="G232" s="523"/>
      <c r="H232" s="523"/>
      <c r="I232" s="523"/>
      <c r="J232" s="523"/>
      <c r="K232" s="538"/>
      <c r="L232" s="539"/>
      <c r="M232" s="523"/>
      <c r="N232" s="523"/>
      <c r="O232" s="523"/>
      <c r="P232" s="523"/>
      <c r="Q232" s="523"/>
      <c r="R232" s="523"/>
      <c r="S232" s="523"/>
      <c r="T232" s="523"/>
      <c r="U232" s="523"/>
      <c r="V232" s="523"/>
      <c r="W232" s="523"/>
      <c r="X232" s="523"/>
      <c r="Y232" s="523"/>
      <c r="Z232" s="523"/>
      <c r="AA232" s="523"/>
      <c r="AB232" s="523"/>
      <c r="AC232" s="523"/>
    </row>
    <row r="233" spans="1:29">
      <c r="A233" s="523"/>
      <c r="B233" s="523"/>
      <c r="C233" s="523"/>
      <c r="D233" s="523"/>
      <c r="E233" s="523"/>
      <c r="F233" s="523"/>
      <c r="G233" s="523"/>
      <c r="H233" s="523"/>
      <c r="I233" s="523"/>
      <c r="J233" s="523"/>
      <c r="K233" s="538"/>
      <c r="L233" s="539"/>
      <c r="M233" s="523"/>
      <c r="N233" s="523"/>
      <c r="O233" s="523"/>
      <c r="P233" s="523"/>
      <c r="Q233" s="523"/>
      <c r="R233" s="523"/>
      <c r="S233" s="523"/>
      <c r="T233" s="523"/>
      <c r="U233" s="523"/>
      <c r="V233" s="523"/>
      <c r="W233" s="523"/>
      <c r="X233" s="523"/>
      <c r="Y233" s="523"/>
      <c r="Z233" s="523"/>
      <c r="AA233" s="523"/>
      <c r="AB233" s="523"/>
      <c r="AC233" s="523"/>
    </row>
    <row r="234" spans="1:29">
      <c r="A234" s="523"/>
      <c r="B234" s="523"/>
      <c r="C234" s="523"/>
      <c r="D234" s="523"/>
      <c r="E234" s="523"/>
      <c r="F234" s="523"/>
      <c r="G234" s="523"/>
      <c r="H234" s="523"/>
      <c r="I234" s="523"/>
      <c r="J234" s="523"/>
      <c r="K234" s="538"/>
      <c r="L234" s="539"/>
      <c r="M234" s="523"/>
      <c r="N234" s="523"/>
      <c r="O234" s="523"/>
      <c r="P234" s="523"/>
      <c r="Q234" s="523"/>
      <c r="R234" s="523"/>
      <c r="S234" s="523"/>
      <c r="T234" s="523"/>
      <c r="U234" s="523"/>
      <c r="V234" s="523"/>
      <c r="W234" s="523"/>
      <c r="X234" s="523"/>
      <c r="Y234" s="523"/>
      <c r="Z234" s="523"/>
      <c r="AA234" s="523"/>
      <c r="AB234" s="523"/>
      <c r="AC234" s="523"/>
    </row>
    <row r="235" spans="1:29">
      <c r="A235" s="523"/>
      <c r="B235" s="523"/>
      <c r="C235" s="523"/>
      <c r="D235" s="523"/>
      <c r="E235" s="523"/>
      <c r="F235" s="523"/>
      <c r="G235" s="523"/>
      <c r="H235" s="523"/>
      <c r="I235" s="523"/>
      <c r="J235" s="523"/>
      <c r="K235" s="538"/>
      <c r="L235" s="539"/>
      <c r="M235" s="523"/>
      <c r="N235" s="523"/>
      <c r="O235" s="523"/>
      <c r="P235" s="523"/>
      <c r="Q235" s="523"/>
      <c r="R235" s="523"/>
      <c r="S235" s="523"/>
      <c r="T235" s="523"/>
      <c r="U235" s="523"/>
      <c r="V235" s="523"/>
      <c r="W235" s="523"/>
      <c r="X235" s="523"/>
      <c r="Y235" s="523"/>
      <c r="Z235" s="523"/>
      <c r="AA235" s="523"/>
      <c r="AB235" s="523"/>
      <c r="AC235"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7" priority="4">
      <formula>$D$38="简单平均"</formula>
    </cfRule>
  </conditionalFormatting>
  <conditionalFormatting sqref="H38">
    <cfRule type="expression" dxfId="7" priority="3">
      <formula>$D$38="简单平均"</formula>
    </cfRule>
  </conditionalFormatting>
  <conditionalFormatting sqref="J38">
    <cfRule type="expression" dxfId="7"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8"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D38">
      <formula1>"简单平均,加权平均"</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209"/>
  <sheetViews>
    <sheetView view="pageBreakPreview" zoomScale="60" zoomScaleNormal="60" workbookViewId="0">
      <selection activeCell="D31" sqref="D31"/>
    </sheetView>
  </sheetViews>
  <sheetFormatPr defaultColWidth="9" defaultRowHeight="14.25"/>
  <cols>
    <col min="1" max="1" width="10.5" style="201" customWidth="1"/>
    <col min="2" max="2" width="15.75" style="201" customWidth="1"/>
    <col min="3" max="3" width="14.375" style="201" customWidth="1"/>
    <col min="4" max="4" width="12.25" style="201" customWidth="1"/>
    <col min="5" max="5" width="14.375" style="201" customWidth="1"/>
    <col min="6" max="6" width="12.25" style="201" customWidth="1"/>
    <col min="7" max="7" width="14.5" style="201" customWidth="1"/>
    <col min="8" max="8" width="12.25" style="201" customWidth="1"/>
    <col min="9" max="9" width="14.5" style="201" customWidth="1"/>
    <col min="10" max="10" width="12.25" style="201" customWidth="1"/>
    <col min="11" max="11" width="12.25" style="202" customWidth="1"/>
    <col min="12" max="12" width="12.25" style="203" customWidth="1"/>
    <col min="13" max="15" width="12.25" style="201" customWidth="1"/>
    <col min="16" max="16" width="4.75" style="201" customWidth="1"/>
    <col min="17" max="17" width="19.5" style="201" customWidth="1"/>
    <col min="18" max="22" width="6.125" style="201" customWidth="1"/>
    <col min="23" max="23" width="5.75" style="201" customWidth="1"/>
    <col min="24" max="24" width="4.25" style="201" customWidth="1"/>
    <col min="25" max="25" width="3.5" style="201" customWidth="1"/>
    <col min="26" max="26" width="19.75" style="201" customWidth="1"/>
    <col min="27" max="28" width="9.375" style="201" customWidth="1"/>
    <col min="29" max="16384" width="9" style="201"/>
  </cols>
  <sheetData>
    <row r="1" s="195" customFormat="1" ht="28.5" customHeight="1" spans="1:29">
      <c r="A1" s="204" t="s">
        <v>1556</v>
      </c>
      <c r="B1" s="205"/>
      <c r="C1" s="206" t="s">
        <v>1558</v>
      </c>
      <c r="D1" s="207"/>
      <c r="E1" s="208"/>
      <c r="F1" s="209"/>
      <c r="G1" s="210" t="s">
        <v>1559</v>
      </c>
      <c r="H1" s="208"/>
      <c r="I1" s="208"/>
      <c r="J1" s="208"/>
      <c r="K1" s="390"/>
      <c r="L1" s="391"/>
      <c r="M1" s="392"/>
      <c r="N1" s="392"/>
      <c r="O1" s="392"/>
      <c r="P1" s="393"/>
      <c r="Q1" s="393"/>
      <c r="R1" s="393"/>
      <c r="S1" s="393"/>
      <c r="T1" s="393"/>
      <c r="U1" s="393"/>
      <c r="V1" s="393"/>
      <c r="W1" s="393"/>
      <c r="X1" s="393"/>
      <c r="Y1" s="393"/>
      <c r="Z1" s="393"/>
      <c r="AA1" s="393"/>
      <c r="AB1" s="393"/>
      <c r="AC1" s="503"/>
    </row>
    <row r="2" s="195" customFormat="1" ht="28.5" customHeight="1" spans="1:29">
      <c r="A2" s="211" t="s">
        <v>1202</v>
      </c>
      <c r="B2" s="212" t="e">
        <f>ROUND(B3*D3/10000,0)</f>
        <v>#DIV/0!</v>
      </c>
      <c r="C2" s="213"/>
      <c r="D2" s="213"/>
      <c r="E2" s="214"/>
      <c r="F2" s="215"/>
      <c r="G2" s="214"/>
      <c r="H2" s="214"/>
      <c r="I2" s="214"/>
      <c r="J2" s="214"/>
      <c r="K2" s="394"/>
      <c r="L2" s="395"/>
      <c r="M2" s="393"/>
      <c r="N2" s="393"/>
      <c r="O2" s="393"/>
      <c r="P2" s="393"/>
      <c r="Q2" s="393"/>
      <c r="R2" s="393"/>
      <c r="S2" s="393"/>
      <c r="T2" s="393"/>
      <c r="U2" s="393"/>
      <c r="V2" s="393"/>
      <c r="W2" s="393"/>
      <c r="X2" s="393"/>
      <c r="Y2" s="393"/>
      <c r="Z2" s="393"/>
      <c r="AA2" s="393"/>
      <c r="AB2" s="393"/>
      <c r="AC2" s="503"/>
    </row>
    <row r="3" s="195" customFormat="1" ht="28.5" customHeight="1" spans="1:29">
      <c r="A3" s="216" t="s">
        <v>1368</v>
      </c>
      <c r="B3" s="217" t="e">
        <f>C37</f>
        <v>#DIV/0!</v>
      </c>
      <c r="C3" s="218" t="s">
        <v>1560</v>
      </c>
      <c r="D3" s="219">
        <f>SUMIF('数据-汇总表'!$C19:$C33,D1,'数据-汇总表'!$E19:$E33)</f>
        <v>0</v>
      </c>
      <c r="E3" s="214"/>
      <c r="F3" s="215"/>
      <c r="G3" s="214"/>
      <c r="H3" s="214"/>
      <c r="I3" s="214"/>
      <c r="J3" s="214"/>
      <c r="K3" s="394"/>
      <c r="L3" s="395"/>
      <c r="M3" s="393"/>
      <c r="N3" s="393"/>
      <c r="O3" s="393"/>
      <c r="P3" s="393"/>
      <c r="Q3" s="393"/>
      <c r="R3" s="393"/>
      <c r="S3" s="393"/>
      <c r="T3" s="393"/>
      <c r="U3" s="393"/>
      <c r="V3" s="393"/>
      <c r="W3" s="393"/>
      <c r="X3" s="393"/>
      <c r="Y3" s="393"/>
      <c r="Z3" s="393"/>
      <c r="AA3" s="393"/>
      <c r="AB3" s="504"/>
      <c r="AC3" s="505"/>
    </row>
    <row r="4" ht="15" spans="1:29">
      <c r="A4" s="220" t="s">
        <v>1284</v>
      </c>
      <c r="B4" s="221"/>
      <c r="C4" s="222" t="s">
        <v>1285</v>
      </c>
      <c r="D4" s="223"/>
      <c r="E4" s="224" t="s">
        <v>1286</v>
      </c>
      <c r="F4" s="225"/>
      <c r="G4" s="222" t="s">
        <v>1287</v>
      </c>
      <c r="H4" s="223"/>
      <c r="I4" s="222" t="s">
        <v>1288</v>
      </c>
      <c r="J4" s="223"/>
      <c r="K4" s="396" t="s">
        <v>1289</v>
      </c>
      <c r="L4" s="397"/>
      <c r="M4" s="398"/>
      <c r="N4" s="398"/>
      <c r="O4" s="398"/>
      <c r="P4" s="399" t="s">
        <v>1290</v>
      </c>
      <c r="Q4" s="472"/>
      <c r="R4" s="473" t="s">
        <v>1286</v>
      </c>
      <c r="S4" s="474"/>
      <c r="T4" s="473" t="s">
        <v>1287</v>
      </c>
      <c r="U4" s="474"/>
      <c r="V4" s="475" t="s">
        <v>1288</v>
      </c>
      <c r="W4" s="475"/>
      <c r="X4" s="476"/>
      <c r="Y4" s="473" t="s">
        <v>1290</v>
      </c>
      <c r="Z4" s="474"/>
      <c r="AA4" s="506" t="s">
        <v>1286</v>
      </c>
      <c r="AB4" s="476" t="s">
        <v>1287</v>
      </c>
      <c r="AC4" s="506" t="s">
        <v>1288</v>
      </c>
    </row>
    <row r="5" ht="15" spans="1:29">
      <c r="A5" s="226"/>
      <c r="B5" s="227"/>
      <c r="C5" s="228" t="s">
        <v>1291</v>
      </c>
      <c r="D5" s="229"/>
      <c r="E5" s="230" t="s">
        <v>1292</v>
      </c>
      <c r="F5" s="231"/>
      <c r="G5" s="228" t="s">
        <v>1293</v>
      </c>
      <c r="H5" s="229"/>
      <c r="I5" s="228" t="s">
        <v>1294</v>
      </c>
      <c r="J5" s="229"/>
      <c r="K5" s="396"/>
      <c r="L5" s="397"/>
      <c r="M5" s="398"/>
      <c r="N5" s="398"/>
      <c r="O5" s="398"/>
      <c r="P5" s="400"/>
      <c r="Q5" s="477"/>
      <c r="R5" s="478"/>
      <c r="S5" s="479"/>
      <c r="T5" s="478"/>
      <c r="U5" s="479"/>
      <c r="V5" s="475"/>
      <c r="W5" s="475"/>
      <c r="X5" s="476"/>
      <c r="Y5" s="478"/>
      <c r="Z5" s="479"/>
      <c r="AA5" s="476"/>
      <c r="AB5" s="476"/>
      <c r="AC5" s="476"/>
    </row>
    <row r="6" ht="15.75" spans="1:29">
      <c r="A6" s="232"/>
      <c r="B6" s="233"/>
      <c r="C6" s="234" t="s">
        <v>1295</v>
      </c>
      <c r="D6" s="235"/>
      <c r="E6" s="236" t="s">
        <v>1295</v>
      </c>
      <c r="F6" s="237"/>
      <c r="G6" s="234" t="s">
        <v>1295</v>
      </c>
      <c r="H6" s="235"/>
      <c r="I6" s="234" t="s">
        <v>1295</v>
      </c>
      <c r="J6" s="235"/>
      <c r="K6" s="396" t="s">
        <v>1296</v>
      </c>
      <c r="L6" s="397"/>
      <c r="M6" s="398"/>
      <c r="N6" s="398"/>
      <c r="O6" s="398"/>
      <c r="P6" s="401"/>
      <c r="Q6" s="480"/>
      <c r="R6" s="478"/>
      <c r="S6" s="479"/>
      <c r="T6" s="481"/>
      <c r="U6" s="482"/>
      <c r="V6" s="475"/>
      <c r="W6" s="475"/>
      <c r="X6" s="476"/>
      <c r="Y6" s="481"/>
      <c r="Z6" s="482"/>
      <c r="AA6" s="507"/>
      <c r="AB6" s="507"/>
      <c r="AC6" s="507"/>
    </row>
    <row r="7" s="196" customFormat="1" ht="15.75" spans="1:29">
      <c r="A7" s="238"/>
      <c r="B7" s="239" t="s">
        <v>1297</v>
      </c>
      <c r="C7" s="240">
        <f>'数据-取费表'!B2</f>
        <v>44519</v>
      </c>
      <c r="D7" s="241">
        <v>100</v>
      </c>
      <c r="E7" s="242"/>
      <c r="F7" s="243">
        <f>SUMIF(46:46,YEAR(E7)&amp;"-"&amp;MONTH(E7),47:47)</f>
        <v>0</v>
      </c>
      <c r="G7" s="244"/>
      <c r="H7" s="241">
        <f>SUMIF(46:46,YEAR(G7)&amp;"-"&amp;MONTH(G7),47:47)</f>
        <v>0</v>
      </c>
      <c r="I7" s="244"/>
      <c r="J7" s="241">
        <f>SUMIF(46:46,YEAR(I7)&amp;"-"&amp;MONTH(I7),47:47)</f>
        <v>0</v>
      </c>
      <c r="K7" s="402"/>
      <c r="L7" s="403"/>
      <c r="M7" s="404"/>
      <c r="N7" s="404"/>
      <c r="O7" s="404"/>
      <c r="P7" s="405" t="s">
        <v>1298</v>
      </c>
      <c r="Q7" s="483"/>
      <c r="R7" s="484" t="s">
        <v>1299</v>
      </c>
      <c r="S7" s="485">
        <f t="shared" ref="S7:S14" si="0">F7</f>
        <v>0</v>
      </c>
      <c r="T7" s="484" t="s">
        <v>1299</v>
      </c>
      <c r="U7" s="485">
        <f t="shared" ref="U7:U14" si="1">H7</f>
        <v>0</v>
      </c>
      <c r="V7" s="484" t="s">
        <v>1299</v>
      </c>
      <c r="W7" s="485">
        <f t="shared" ref="W7:W14" si="2">J7</f>
        <v>0</v>
      </c>
      <c r="X7" s="486"/>
      <c r="Y7" s="405" t="s">
        <v>1298</v>
      </c>
      <c r="Z7" s="487"/>
      <c r="AA7" s="508" t="e">
        <f>D7/F7</f>
        <v>#DIV/0!</v>
      </c>
      <c r="AB7" s="508" t="e">
        <f>D7/H7</f>
        <v>#DIV/0!</v>
      </c>
      <c r="AC7" s="508" t="e">
        <f>D7/J7</f>
        <v>#DIV/0!</v>
      </c>
    </row>
    <row r="8" s="196" customFormat="1" ht="15.75" spans="1:29">
      <c r="A8" s="245"/>
      <c r="B8" s="246" t="s">
        <v>1300</v>
      </c>
      <c r="C8" s="247" t="s">
        <v>1301</v>
      </c>
      <c r="D8" s="241">
        <v>100</v>
      </c>
      <c r="E8" s="247"/>
      <c r="F8" s="243">
        <f>SUMIF(49:49,E8,50:50)-SUMIF(49:49,C8,50:50)+100</f>
        <v>0</v>
      </c>
      <c r="G8" s="247"/>
      <c r="H8" s="241">
        <f>SUMIF(49:49,G8,50:50)-SUMIF(49:49,C8,50:50)+100</f>
        <v>0</v>
      </c>
      <c r="I8" s="247"/>
      <c r="J8" s="241">
        <f>SUMIF(49:49,I8,50:50)-SUMIF(49:49,C8,50:50)+100</f>
        <v>0</v>
      </c>
      <c r="K8" s="402"/>
      <c r="L8" s="403"/>
      <c r="M8" s="404"/>
      <c r="N8" s="404"/>
      <c r="O8" s="404"/>
      <c r="P8" s="405" t="s">
        <v>1302</v>
      </c>
      <c r="Q8" s="487"/>
      <c r="R8" s="484" t="s">
        <v>1299</v>
      </c>
      <c r="S8" s="485">
        <f t="shared" si="0"/>
        <v>0</v>
      </c>
      <c r="T8" s="484" t="s">
        <v>1299</v>
      </c>
      <c r="U8" s="485">
        <f t="shared" si="1"/>
        <v>0</v>
      </c>
      <c r="V8" s="484" t="s">
        <v>1299</v>
      </c>
      <c r="W8" s="485">
        <f t="shared" si="2"/>
        <v>0</v>
      </c>
      <c r="X8" s="486"/>
      <c r="Y8" s="405" t="s">
        <v>1302</v>
      </c>
      <c r="Z8" s="487"/>
      <c r="AA8" s="508" t="e">
        <f t="shared" ref="AA8:AA34" si="3">D8/F8</f>
        <v>#DIV/0!</v>
      </c>
      <c r="AB8" s="508" t="e">
        <f t="shared" ref="AB8:AB34" si="4">D8/H8</f>
        <v>#DIV/0!</v>
      </c>
      <c r="AC8" s="508" t="e">
        <f t="shared" ref="AC8:AC34" si="5">D8/J8</f>
        <v>#DIV/0!</v>
      </c>
    </row>
    <row r="9" s="196" customFormat="1" ht="15" spans="1:29">
      <c r="A9" s="248"/>
      <c r="B9" s="249" t="s">
        <v>1303</v>
      </c>
      <c r="C9" s="250"/>
      <c r="D9" s="251">
        <v>100</v>
      </c>
      <c r="E9" s="252"/>
      <c r="F9" s="251">
        <f>SUMIF(51:51,E9,52:52)-SUMIF(51:51,C9,52:52)+100</f>
        <v>100</v>
      </c>
      <c r="G9" s="252"/>
      <c r="H9" s="251">
        <f>SUMIF(51:51,G9,52:52)-SUMIF(51:51,C9,52:52)+100</f>
        <v>100</v>
      </c>
      <c r="I9" s="252"/>
      <c r="J9" s="251">
        <f>SUMIF(51:51,I9,52:52)-SUMIF(51:51,C9,52:52)+100</f>
        <v>100</v>
      </c>
      <c r="K9" s="402"/>
      <c r="L9" s="403"/>
      <c r="M9" s="404"/>
      <c r="N9" s="404"/>
      <c r="O9" s="406"/>
      <c r="P9" s="407" t="s">
        <v>1304</v>
      </c>
      <c r="Q9" s="488" t="str">
        <f t="shared" ref="Q9:Q14" si="6">B9</f>
        <v>用途</v>
      </c>
      <c r="R9" s="484" t="s">
        <v>1299</v>
      </c>
      <c r="S9" s="485">
        <f t="shared" si="0"/>
        <v>100</v>
      </c>
      <c r="T9" s="484" t="s">
        <v>1299</v>
      </c>
      <c r="U9" s="485">
        <f t="shared" si="1"/>
        <v>100</v>
      </c>
      <c r="V9" s="484" t="s">
        <v>1299</v>
      </c>
      <c r="W9" s="485">
        <f t="shared" si="2"/>
        <v>100</v>
      </c>
      <c r="X9" s="486"/>
      <c r="Y9" s="488" t="s">
        <v>1305</v>
      </c>
      <c r="Z9" s="509" t="str">
        <f t="shared" ref="Z9:Z14" si="7">Q9</f>
        <v>用途</v>
      </c>
      <c r="AA9" s="508">
        <f t="shared" si="3"/>
        <v>1</v>
      </c>
      <c r="AB9" s="508">
        <f t="shared" si="4"/>
        <v>1</v>
      </c>
      <c r="AC9" s="508">
        <f t="shared" si="5"/>
        <v>1</v>
      </c>
    </row>
    <row r="10" s="197" customFormat="1" ht="27" spans="1:29">
      <c r="A10" s="253"/>
      <c r="B10" s="246" t="s">
        <v>1306</v>
      </c>
      <c r="C10" s="254"/>
      <c r="D10" s="255">
        <v>100</v>
      </c>
      <c r="E10" s="254"/>
      <c r="F10" s="255">
        <f>SUMIF(53:53,E10,54:54)-SUMIF(53:53,C10,54:54)+100</f>
        <v>100</v>
      </c>
      <c r="G10" s="256"/>
      <c r="H10" s="255">
        <f>SUMIF(53:53,G10,54:54)-SUMIF(53:53,C10,54:54)+100</f>
        <v>100</v>
      </c>
      <c r="I10" s="254"/>
      <c r="J10" s="255">
        <f>SUMIF(53:53,I10,54:54)-SUMIF(53:53,C10,54:54)+100</f>
        <v>100</v>
      </c>
      <c r="K10" s="408"/>
      <c r="L10" s="409"/>
      <c r="M10" s="410"/>
      <c r="N10" s="410"/>
      <c r="O10" s="411"/>
      <c r="P10" s="407"/>
      <c r="Q10" s="488" t="str">
        <f t="shared" si="6"/>
        <v>土地使用年限（年）</v>
      </c>
      <c r="R10" s="484" t="s">
        <v>1299</v>
      </c>
      <c r="S10" s="485">
        <f t="shared" si="0"/>
        <v>100</v>
      </c>
      <c r="T10" s="484" t="s">
        <v>1299</v>
      </c>
      <c r="U10" s="485">
        <f t="shared" si="1"/>
        <v>100</v>
      </c>
      <c r="V10" s="484" t="s">
        <v>1299</v>
      </c>
      <c r="W10" s="485">
        <f t="shared" si="2"/>
        <v>100</v>
      </c>
      <c r="X10" s="486"/>
      <c r="Y10" s="488"/>
      <c r="Z10" s="509" t="str">
        <f t="shared" si="7"/>
        <v>土地使用年限（年）</v>
      </c>
      <c r="AA10" s="508">
        <f t="shared" si="3"/>
        <v>1</v>
      </c>
      <c r="AB10" s="508">
        <f t="shared" si="4"/>
        <v>1</v>
      </c>
      <c r="AC10" s="508">
        <f t="shared" si="5"/>
        <v>1</v>
      </c>
    </row>
    <row r="11" ht="15" spans="1:29">
      <c r="A11" s="257"/>
      <c r="B11" s="258">
        <v>111</v>
      </c>
      <c r="C11" s="259"/>
      <c r="D11" s="255">
        <v>100</v>
      </c>
      <c r="E11" s="260"/>
      <c r="F11" s="255">
        <f>SUMIF(55:55,E11,56:56)-SUMIF(55:55,C11,56:56)+100</f>
        <v>100</v>
      </c>
      <c r="G11" s="260"/>
      <c r="H11" s="255">
        <f>SUMIF(55:55,G11,56:56)-SUMIF(55:55,C11,56:56)+100</f>
        <v>100</v>
      </c>
      <c r="I11" s="260"/>
      <c r="J11" s="255">
        <f>SUMIF(55:55,I11,56:56)-SUMIF(55:55,C11,56:56)+100</f>
        <v>100</v>
      </c>
      <c r="K11" s="412"/>
      <c r="L11" s="413"/>
      <c r="M11" s="398"/>
      <c r="N11" s="398"/>
      <c r="O11" s="414"/>
      <c r="P11" s="407"/>
      <c r="Q11" s="488">
        <f t="shared" si="6"/>
        <v>111</v>
      </c>
      <c r="R11" s="484" t="s">
        <v>1299</v>
      </c>
      <c r="S11" s="485">
        <f t="shared" si="0"/>
        <v>100</v>
      </c>
      <c r="T11" s="484" t="s">
        <v>1299</v>
      </c>
      <c r="U11" s="485">
        <f t="shared" si="1"/>
        <v>100</v>
      </c>
      <c r="V11" s="484" t="s">
        <v>1299</v>
      </c>
      <c r="W11" s="485">
        <f t="shared" si="2"/>
        <v>100</v>
      </c>
      <c r="X11" s="486"/>
      <c r="Y11" s="488"/>
      <c r="Z11" s="509">
        <f t="shared" si="7"/>
        <v>111</v>
      </c>
      <c r="AA11" s="508">
        <f t="shared" si="3"/>
        <v>1</v>
      </c>
      <c r="AB11" s="508">
        <f t="shared" si="4"/>
        <v>1</v>
      </c>
      <c r="AC11" s="508">
        <f t="shared" si="5"/>
        <v>1</v>
      </c>
    </row>
    <row r="12" s="196" customFormat="1" ht="15" spans="1:29">
      <c r="A12" s="257"/>
      <c r="B12" s="258">
        <v>111</v>
      </c>
      <c r="C12" s="259"/>
      <c r="D12" s="261">
        <v>100</v>
      </c>
      <c r="E12" s="260"/>
      <c r="F12" s="255">
        <f>SUMIF(57:57,E12,58:58)-SUMIF(57:57,C12,58:58)+100</f>
        <v>100</v>
      </c>
      <c r="G12" s="260"/>
      <c r="H12" s="255">
        <f>SUMIF(57:57,G12,58:58)-SUMIF(57:57,C12,58:58)+100</f>
        <v>100</v>
      </c>
      <c r="I12" s="260"/>
      <c r="J12" s="255">
        <f>SUMIF(57:57,I12,58:58)-SUMIF(57:57,C12,58:58)+100</f>
        <v>100</v>
      </c>
      <c r="K12" s="412"/>
      <c r="L12" s="403"/>
      <c r="M12" s="404"/>
      <c r="N12" s="404"/>
      <c r="O12" s="406"/>
      <c r="P12" s="407"/>
      <c r="Q12" s="488">
        <f t="shared" si="6"/>
        <v>111</v>
      </c>
      <c r="R12" s="484" t="s">
        <v>1299</v>
      </c>
      <c r="S12" s="485">
        <f t="shared" si="0"/>
        <v>100</v>
      </c>
      <c r="T12" s="484" t="s">
        <v>1299</v>
      </c>
      <c r="U12" s="485">
        <f t="shared" si="1"/>
        <v>100</v>
      </c>
      <c r="V12" s="484" t="s">
        <v>1299</v>
      </c>
      <c r="W12" s="485">
        <f t="shared" si="2"/>
        <v>100</v>
      </c>
      <c r="X12" s="486"/>
      <c r="Y12" s="488"/>
      <c r="Z12" s="509">
        <f t="shared" si="7"/>
        <v>111</v>
      </c>
      <c r="AA12" s="508">
        <f t="shared" si="3"/>
        <v>1</v>
      </c>
      <c r="AB12" s="508">
        <f t="shared" si="4"/>
        <v>1</v>
      </c>
      <c r="AC12" s="508">
        <f t="shared" si="5"/>
        <v>1</v>
      </c>
    </row>
    <row r="13" ht="15.75" spans="1:29">
      <c r="A13" s="262"/>
      <c r="B13" s="263">
        <v>111</v>
      </c>
      <c r="C13" s="264"/>
      <c r="D13" s="265">
        <v>100</v>
      </c>
      <c r="E13" s="260"/>
      <c r="F13" s="255">
        <f>SUMIF(59:59,E13,60:60)-SUMIF(59:59,C13,60:60)+100</f>
        <v>100</v>
      </c>
      <c r="G13" s="260"/>
      <c r="H13" s="265">
        <f>SUMIF(59:59,G13,60:60)-SUMIF(59:59,C13,60:60)+100</f>
        <v>100</v>
      </c>
      <c r="I13" s="260"/>
      <c r="J13" s="265">
        <f>SUMIF(59:59,I13,60:60)-SUMIF(59:59,C13,60:60)+100</f>
        <v>100</v>
      </c>
      <c r="K13" s="412"/>
      <c r="L13" s="415"/>
      <c r="M13" s="398"/>
      <c r="N13" s="398"/>
      <c r="O13" s="414"/>
      <c r="P13" s="407"/>
      <c r="Q13" s="488">
        <f t="shared" si="6"/>
        <v>111</v>
      </c>
      <c r="R13" s="484" t="s">
        <v>1299</v>
      </c>
      <c r="S13" s="485">
        <f t="shared" si="0"/>
        <v>100</v>
      </c>
      <c r="T13" s="484" t="s">
        <v>1299</v>
      </c>
      <c r="U13" s="485">
        <f t="shared" si="1"/>
        <v>100</v>
      </c>
      <c r="V13" s="484" t="s">
        <v>1299</v>
      </c>
      <c r="W13" s="485">
        <f t="shared" si="2"/>
        <v>100</v>
      </c>
      <c r="X13" s="486"/>
      <c r="Y13" s="488"/>
      <c r="Z13" s="509">
        <f t="shared" si="7"/>
        <v>111</v>
      </c>
      <c r="AA13" s="508">
        <f t="shared" si="3"/>
        <v>1</v>
      </c>
      <c r="AB13" s="508">
        <f t="shared" si="4"/>
        <v>1</v>
      </c>
      <c r="AC13" s="508">
        <f t="shared" si="5"/>
        <v>1</v>
      </c>
    </row>
    <row r="14" ht="81" spans="1:29">
      <c r="A14" s="266" t="s">
        <v>1309</v>
      </c>
      <c r="B14" s="267" t="s">
        <v>229</v>
      </c>
      <c r="C14" s="268" t="str">
        <f>IF(B1="工业",估价对象房地状况!G4,估价对象房地状况!C6)</f>
        <v>估价对象周边道路状况、公共交通通达情况、停车便捷程度，综合评价交通便捷度较好</v>
      </c>
      <c r="D14" s="269">
        <v>100</v>
      </c>
      <c r="E14" s="270"/>
      <c r="F14" s="271">
        <f>SUMIF(61:61,E15,62:62)-SUMIF(61:61,C15,62:62)+100</f>
        <v>100</v>
      </c>
      <c r="G14" s="272"/>
      <c r="H14" s="269">
        <f>SUMIF(61:61,G15,62:62)-SUMIF(61:61,C15,62:62)+100</f>
        <v>100</v>
      </c>
      <c r="I14" s="270"/>
      <c r="J14" s="269">
        <f>SUMIF(61:61,I15,62:62)-SUMIF(61:61,C15,62:62)+100</f>
        <v>100</v>
      </c>
      <c r="K14" s="416"/>
      <c r="L14" s="415"/>
      <c r="M14" s="398"/>
      <c r="N14" s="398"/>
      <c r="O14" s="414"/>
      <c r="P14" s="417" t="s">
        <v>1310</v>
      </c>
      <c r="Q14" s="407" t="str">
        <f t="shared" si="6"/>
        <v>交通便捷度</v>
      </c>
      <c r="R14" s="489" t="s">
        <v>1299</v>
      </c>
      <c r="S14" s="490">
        <f t="shared" si="0"/>
        <v>100</v>
      </c>
      <c r="T14" s="489" t="s">
        <v>1299</v>
      </c>
      <c r="U14" s="490">
        <f t="shared" si="1"/>
        <v>100</v>
      </c>
      <c r="V14" s="489" t="s">
        <v>1299</v>
      </c>
      <c r="W14" s="490">
        <f t="shared" si="2"/>
        <v>100</v>
      </c>
      <c r="X14" s="476"/>
      <c r="Y14" s="417" t="s">
        <v>1310</v>
      </c>
      <c r="Z14" s="475" t="str">
        <f t="shared" si="7"/>
        <v>交通便捷度</v>
      </c>
      <c r="AA14" s="495">
        <f t="shared" si="3"/>
        <v>1</v>
      </c>
      <c r="AB14" s="495">
        <f t="shared" si="4"/>
        <v>1</v>
      </c>
      <c r="AC14" s="495">
        <f t="shared" si="5"/>
        <v>1</v>
      </c>
    </row>
    <row r="15" ht="15" spans="1:29">
      <c r="A15" s="273"/>
      <c r="B15" s="274"/>
      <c r="C15" s="275"/>
      <c r="D15" s="276"/>
      <c r="E15" s="275"/>
      <c r="F15" s="277"/>
      <c r="G15" s="275"/>
      <c r="H15" s="278"/>
      <c r="I15" s="275"/>
      <c r="J15" s="276"/>
      <c r="K15" s="418"/>
      <c r="L15" s="415"/>
      <c r="M15" s="398"/>
      <c r="N15" s="398"/>
      <c r="O15" s="414"/>
      <c r="P15" s="419"/>
      <c r="Q15" s="407"/>
      <c r="R15" s="489"/>
      <c r="S15" s="490"/>
      <c r="T15" s="489"/>
      <c r="U15" s="490"/>
      <c r="V15" s="489"/>
      <c r="W15" s="490"/>
      <c r="X15" s="476"/>
      <c r="Y15" s="419"/>
      <c r="Z15" s="475"/>
      <c r="AA15" s="495">
        <v>1</v>
      </c>
      <c r="AB15" s="495">
        <v>1</v>
      </c>
      <c r="AC15" s="495">
        <v>1</v>
      </c>
    </row>
    <row r="16" ht="40.5" spans="1:29">
      <c r="A16" s="273"/>
      <c r="B16" s="279" t="s">
        <v>231</v>
      </c>
      <c r="C16" s="280" t="str">
        <f>IF(B1="工业",估价对象房地状况!G5,估价对象房地状况!C7)</f>
        <v>估价对象所在区域公共配套设施齐备情况</v>
      </c>
      <c r="D16" s="281">
        <v>100</v>
      </c>
      <c r="E16" s="282"/>
      <c r="F16" s="283">
        <f>SUMIF(63:63,E17,64:64)-SUMIF(63:63,C17,64:64)+100</f>
        <v>100</v>
      </c>
      <c r="G16" s="284"/>
      <c r="H16" s="281">
        <f>SUMIF(63:63,G17,64:64)-SUMIF(63:63,C17,64:64)+100</f>
        <v>100</v>
      </c>
      <c r="I16" s="282"/>
      <c r="J16" s="281">
        <f>SUMIF(63:63,I17,64:64)-SUMIF(63:63,C17,64:64)+100</f>
        <v>100</v>
      </c>
      <c r="K16" s="416"/>
      <c r="L16" s="415"/>
      <c r="M16" s="398"/>
      <c r="N16" s="398"/>
      <c r="O16" s="414"/>
      <c r="P16" s="419"/>
      <c r="Q16" s="407" t="str">
        <f>B16</f>
        <v>公共配套设施</v>
      </c>
      <c r="R16" s="489" t="s">
        <v>1299</v>
      </c>
      <c r="S16" s="490">
        <f>F16</f>
        <v>100</v>
      </c>
      <c r="T16" s="489" t="s">
        <v>1299</v>
      </c>
      <c r="U16" s="490">
        <f>H16</f>
        <v>100</v>
      </c>
      <c r="V16" s="489" t="s">
        <v>1299</v>
      </c>
      <c r="W16" s="490">
        <f>J16</f>
        <v>100</v>
      </c>
      <c r="X16" s="476"/>
      <c r="Y16" s="419"/>
      <c r="Z16" s="475" t="str">
        <f>Q16</f>
        <v>公共配套设施</v>
      </c>
      <c r="AA16" s="495">
        <f t="shared" si="3"/>
        <v>1</v>
      </c>
      <c r="AB16" s="495">
        <f t="shared" si="4"/>
        <v>1</v>
      </c>
      <c r="AC16" s="495">
        <f t="shared" si="5"/>
        <v>1</v>
      </c>
    </row>
    <row r="17" ht="15" spans="1:29">
      <c r="A17" s="273"/>
      <c r="B17" s="285"/>
      <c r="C17" s="286"/>
      <c r="D17" s="276"/>
      <c r="E17" s="275"/>
      <c r="F17" s="277"/>
      <c r="G17" s="275"/>
      <c r="H17" s="276"/>
      <c r="I17" s="275"/>
      <c r="J17" s="276"/>
      <c r="K17" s="418"/>
      <c r="L17" s="415"/>
      <c r="M17" s="398"/>
      <c r="N17" s="398"/>
      <c r="O17" s="414"/>
      <c r="P17" s="419"/>
      <c r="Q17" s="407"/>
      <c r="R17" s="489"/>
      <c r="S17" s="490"/>
      <c r="T17" s="489"/>
      <c r="U17" s="490"/>
      <c r="V17" s="489"/>
      <c r="W17" s="490"/>
      <c r="X17" s="476"/>
      <c r="Y17" s="419"/>
      <c r="Z17" s="475"/>
      <c r="AA17" s="495">
        <v>1</v>
      </c>
      <c r="AB17" s="495">
        <v>1</v>
      </c>
      <c r="AC17" s="495">
        <v>1</v>
      </c>
    </row>
    <row r="18" ht="27" spans="1:29">
      <c r="A18" s="273"/>
      <c r="B18" s="287" t="s">
        <v>232</v>
      </c>
      <c r="C18" s="280" t="str">
        <f>IF(B1="工业",估价对象房地状况!G6,估价对象房地状况!C8)</f>
        <v>估价对象所在区域基础设施水平</v>
      </c>
      <c r="D18" s="278">
        <v>100</v>
      </c>
      <c r="E18" s="288"/>
      <c r="F18" s="289">
        <f>SUMIF(65:65,E19,66:66)-SUMIF(65:65,C19,66:66)+100</f>
        <v>100</v>
      </c>
      <c r="G18" s="290"/>
      <c r="H18" s="281">
        <f>SUMIF(65:65,G19,66:66)-SUMIF(65:65,C19,66:66)+100</f>
        <v>100</v>
      </c>
      <c r="I18" s="282"/>
      <c r="J18" s="281">
        <f>SUMIF(65:65,I19,66:66)-SUMIF(65:65,C19,66:66)+100</f>
        <v>100</v>
      </c>
      <c r="K18" s="416"/>
      <c r="L18" s="415"/>
      <c r="M18" s="398"/>
      <c r="N18" s="398"/>
      <c r="O18" s="414"/>
      <c r="P18" s="419"/>
      <c r="Q18" s="407" t="str">
        <f>B18</f>
        <v>基础设施水平</v>
      </c>
      <c r="R18" s="489" t="s">
        <v>1299</v>
      </c>
      <c r="S18" s="490">
        <f>F18</f>
        <v>100</v>
      </c>
      <c r="T18" s="489" t="s">
        <v>1299</v>
      </c>
      <c r="U18" s="490">
        <f>H18</f>
        <v>100</v>
      </c>
      <c r="V18" s="489" t="s">
        <v>1299</v>
      </c>
      <c r="W18" s="490">
        <f>J18</f>
        <v>100</v>
      </c>
      <c r="X18" s="476"/>
      <c r="Y18" s="419"/>
      <c r="Z18" s="475" t="str">
        <f>Q18</f>
        <v>基础设施水平</v>
      </c>
      <c r="AA18" s="495">
        <f t="shared" ref="AA18" si="8">D18/F18</f>
        <v>1</v>
      </c>
      <c r="AB18" s="495">
        <f t="shared" ref="AB18" si="9">D18/H18</f>
        <v>1</v>
      </c>
      <c r="AC18" s="495">
        <f t="shared" ref="AC18" si="10">D18/J18</f>
        <v>1</v>
      </c>
    </row>
    <row r="19" ht="15" spans="1:29">
      <c r="A19" s="273"/>
      <c r="B19" s="291"/>
      <c r="C19" s="286"/>
      <c r="D19" s="278"/>
      <c r="E19" s="286"/>
      <c r="F19" s="289"/>
      <c r="G19" s="286"/>
      <c r="H19" s="276"/>
      <c r="I19" s="275"/>
      <c r="J19" s="276"/>
      <c r="K19" s="420"/>
      <c r="L19" s="415"/>
      <c r="M19" s="398"/>
      <c r="N19" s="398"/>
      <c r="O19" s="414"/>
      <c r="P19" s="419"/>
      <c r="Q19" s="407"/>
      <c r="R19" s="489"/>
      <c r="S19" s="490"/>
      <c r="T19" s="489"/>
      <c r="U19" s="490"/>
      <c r="V19" s="489"/>
      <c r="W19" s="490"/>
      <c r="X19" s="476"/>
      <c r="Y19" s="419"/>
      <c r="Z19" s="475"/>
      <c r="AA19" s="495">
        <v>1</v>
      </c>
      <c r="AB19" s="495">
        <v>1</v>
      </c>
      <c r="AC19" s="495">
        <v>1</v>
      </c>
    </row>
    <row r="20" ht="54" spans="1:29">
      <c r="A20" s="273"/>
      <c r="B20" s="292" t="s">
        <v>2353</v>
      </c>
      <c r="C20" s="280" t="str">
        <f>IF(B1="工业",估价对象房地状况!G7,估价对象房地状况!C9)</f>
        <v>区域自然环境：；人文环境；综合评价环境状况一般</v>
      </c>
      <c r="D20" s="281">
        <v>100</v>
      </c>
      <c r="E20" s="282"/>
      <c r="F20" s="283">
        <f>SUMIF(67:67,E21,68:68)-SUMIF(67:67,C21,68:68)+100</f>
        <v>100</v>
      </c>
      <c r="G20" s="284"/>
      <c r="H20" s="278">
        <f>SUMIF(67:67,G21,68:68)-SUMIF(67:67,C21,68:68)+100</f>
        <v>100</v>
      </c>
      <c r="I20" s="288"/>
      <c r="J20" s="278">
        <f>SUMIF(67:67,I21,68:68)-SUMIF(67:67,C21,68:68)+100</f>
        <v>100</v>
      </c>
      <c r="K20" s="416"/>
      <c r="L20" s="415"/>
      <c r="M20" s="398"/>
      <c r="N20" s="398"/>
      <c r="O20" s="414"/>
      <c r="P20" s="419"/>
      <c r="Q20" s="407" t="str">
        <f>B20</f>
        <v>自然及人文环境</v>
      </c>
      <c r="R20" s="489" t="s">
        <v>1299</v>
      </c>
      <c r="S20" s="490">
        <f>F20</f>
        <v>100</v>
      </c>
      <c r="T20" s="489" t="s">
        <v>1299</v>
      </c>
      <c r="U20" s="490">
        <f>H20</f>
        <v>100</v>
      </c>
      <c r="V20" s="489" t="s">
        <v>1299</v>
      </c>
      <c r="W20" s="490">
        <f>J20</f>
        <v>100</v>
      </c>
      <c r="X20" s="476"/>
      <c r="Y20" s="419"/>
      <c r="Z20" s="475" t="str">
        <f>Q20</f>
        <v>自然及人文环境</v>
      </c>
      <c r="AA20" s="495">
        <f t="shared" si="3"/>
        <v>1</v>
      </c>
      <c r="AB20" s="495">
        <f t="shared" si="4"/>
        <v>1</v>
      </c>
      <c r="AC20" s="495">
        <f t="shared" si="5"/>
        <v>1</v>
      </c>
    </row>
    <row r="21" ht="15" spans="1:29">
      <c r="A21" s="273"/>
      <c r="B21" s="293"/>
      <c r="C21" s="275"/>
      <c r="D21" s="276"/>
      <c r="E21" s="275"/>
      <c r="F21" s="277"/>
      <c r="G21" s="275"/>
      <c r="H21" s="276"/>
      <c r="I21" s="275"/>
      <c r="J21" s="276"/>
      <c r="K21" s="418"/>
      <c r="L21" s="415"/>
      <c r="M21" s="398"/>
      <c r="N21" s="398"/>
      <c r="O21" s="414"/>
      <c r="P21" s="419"/>
      <c r="Q21" s="407"/>
      <c r="R21" s="489"/>
      <c r="S21" s="490"/>
      <c r="T21" s="489"/>
      <c r="U21" s="490"/>
      <c r="V21" s="489"/>
      <c r="W21" s="490"/>
      <c r="X21" s="476"/>
      <c r="Y21" s="419"/>
      <c r="Z21" s="475"/>
      <c r="AA21" s="495">
        <v>1</v>
      </c>
      <c r="AB21" s="495">
        <v>1</v>
      </c>
      <c r="AC21" s="495">
        <v>1</v>
      </c>
    </row>
    <row r="22" ht="15" spans="1:29">
      <c r="A22" s="273"/>
      <c r="B22" s="292" t="s">
        <v>1566</v>
      </c>
      <c r="C22" s="294"/>
      <c r="D22" s="278">
        <v>100</v>
      </c>
      <c r="E22" s="294"/>
      <c r="F22" s="295">
        <f>SUMIF(69:69,E22,70:70)-SUMIF(69:69,C22,70:70)+100</f>
        <v>100</v>
      </c>
      <c r="G22" s="294"/>
      <c r="H22" s="265">
        <f>SUMIF(69:69,G22,70:70)-SUMIF(69:69,C22,70:70)+100</f>
        <v>100</v>
      </c>
      <c r="I22" s="294"/>
      <c r="J22" s="265">
        <f>SUMIF(69:69,I22,70:70)-SUMIF(69:69,C22,70:70)+100</f>
        <v>100</v>
      </c>
      <c r="K22" s="408"/>
      <c r="L22" s="415"/>
      <c r="M22" s="398"/>
      <c r="N22" s="398"/>
      <c r="O22" s="414"/>
      <c r="P22" s="419"/>
      <c r="Q22" s="407" t="str">
        <f>B22</f>
        <v>楼层</v>
      </c>
      <c r="R22" s="489" t="s">
        <v>1299</v>
      </c>
      <c r="S22" s="490">
        <f>F22</f>
        <v>100</v>
      </c>
      <c r="T22" s="489" t="s">
        <v>1299</v>
      </c>
      <c r="U22" s="490">
        <f>H22</f>
        <v>100</v>
      </c>
      <c r="V22" s="489" t="s">
        <v>1299</v>
      </c>
      <c r="W22" s="490">
        <f>J22</f>
        <v>100</v>
      </c>
      <c r="X22" s="476"/>
      <c r="Y22" s="419"/>
      <c r="Z22" s="475" t="str">
        <f>Q22</f>
        <v>楼层</v>
      </c>
      <c r="AA22" s="495">
        <f t="shared" si="3"/>
        <v>1</v>
      </c>
      <c r="AB22" s="495">
        <f t="shared" si="4"/>
        <v>1</v>
      </c>
      <c r="AC22" s="495">
        <f t="shared" si="5"/>
        <v>1</v>
      </c>
    </row>
    <row r="23" ht="15" spans="1:29">
      <c r="A23" s="226"/>
      <c r="B23" s="296">
        <v>111</v>
      </c>
      <c r="C23" s="259"/>
      <c r="D23" s="265">
        <v>100</v>
      </c>
      <c r="E23" s="264"/>
      <c r="F23" s="295">
        <f>SUMIF(71:71,E23,72:72)-SUMIF(71:71,C23,72:72)+100</f>
        <v>100</v>
      </c>
      <c r="G23" s="264"/>
      <c r="H23" s="265">
        <f>SUMIF(71:71,G23,72:72)-SUMIF(71:71,C23,72:72)+100</f>
        <v>100</v>
      </c>
      <c r="I23" s="264"/>
      <c r="J23" s="265">
        <f>SUMIF(71:71,I23,72:72)-SUMIF(71:71,C23,72:72)+100</f>
        <v>100</v>
      </c>
      <c r="K23" s="412"/>
      <c r="L23" s="415"/>
      <c r="M23" s="398"/>
      <c r="N23" s="398"/>
      <c r="O23" s="414"/>
      <c r="P23" s="419"/>
      <c r="Q23" s="407">
        <f>B23</f>
        <v>111</v>
      </c>
      <c r="R23" s="489" t="s">
        <v>1299</v>
      </c>
      <c r="S23" s="490">
        <f>F23</f>
        <v>100</v>
      </c>
      <c r="T23" s="489" t="s">
        <v>1299</v>
      </c>
      <c r="U23" s="490">
        <f>H23</f>
        <v>100</v>
      </c>
      <c r="V23" s="489" t="s">
        <v>1299</v>
      </c>
      <c r="W23" s="490">
        <f>J23</f>
        <v>100</v>
      </c>
      <c r="X23" s="476"/>
      <c r="Y23" s="419"/>
      <c r="Z23" s="475">
        <f>Q23</f>
        <v>111</v>
      </c>
      <c r="AA23" s="495">
        <f t="shared" si="3"/>
        <v>1</v>
      </c>
      <c r="AB23" s="495">
        <f t="shared" si="4"/>
        <v>1</v>
      </c>
      <c r="AC23" s="495">
        <f t="shared" si="5"/>
        <v>1</v>
      </c>
    </row>
    <row r="24" ht="15" spans="1:29">
      <c r="A24" s="273"/>
      <c r="B24" s="296">
        <v>111</v>
      </c>
      <c r="C24" s="259"/>
      <c r="D24" s="265">
        <v>100</v>
      </c>
      <c r="E24" s="264"/>
      <c r="F24" s="295">
        <f>SUMIF(73:73,E24,74:74)-SUMIF(73:73,C24,74:74)+100</f>
        <v>100</v>
      </c>
      <c r="G24" s="264"/>
      <c r="H24" s="265">
        <f>SUMIF(73:73,G24,74:74)-SUMIF(73:73,C24,74:74)+100</f>
        <v>100</v>
      </c>
      <c r="I24" s="264"/>
      <c r="J24" s="265">
        <f>SUMIF(73:73,I24,74:74)-SUMIF(73:73,C24,74:74)+100</f>
        <v>100</v>
      </c>
      <c r="K24" s="412"/>
      <c r="L24" s="415"/>
      <c r="M24" s="398"/>
      <c r="N24" s="398"/>
      <c r="O24" s="414"/>
      <c r="P24" s="419"/>
      <c r="Q24" s="407">
        <f t="shared" ref="Q24:Q34" si="11">B24</f>
        <v>111</v>
      </c>
      <c r="R24" s="489" t="s">
        <v>1299</v>
      </c>
      <c r="S24" s="490">
        <f>F24</f>
        <v>100</v>
      </c>
      <c r="T24" s="489" t="s">
        <v>1299</v>
      </c>
      <c r="U24" s="490">
        <f>H24</f>
        <v>100</v>
      </c>
      <c r="V24" s="489" t="s">
        <v>1299</v>
      </c>
      <c r="W24" s="490">
        <f>J24</f>
        <v>100</v>
      </c>
      <c r="X24" s="476"/>
      <c r="Y24" s="419"/>
      <c r="Z24" s="475">
        <f>Q24</f>
        <v>111</v>
      </c>
      <c r="AA24" s="495">
        <f t="shared" si="3"/>
        <v>1</v>
      </c>
      <c r="AB24" s="495">
        <f t="shared" si="4"/>
        <v>1</v>
      </c>
      <c r="AC24" s="495">
        <f t="shared" si="5"/>
        <v>1</v>
      </c>
    </row>
    <row r="25" s="196" customFormat="1" ht="15.75" spans="1:29">
      <c r="A25" s="297"/>
      <c r="B25" s="296">
        <v>111</v>
      </c>
      <c r="C25" s="298"/>
      <c r="D25" s="299">
        <v>100</v>
      </c>
      <c r="E25" s="298"/>
      <c r="F25" s="300">
        <f>SUMIF(75:75,E25,76:76)-SUMIF(75:75,C25,76:76)+100</f>
        <v>100</v>
      </c>
      <c r="G25" s="298"/>
      <c r="H25" s="299">
        <f>SUMIF(75:75,G25,76:76)-SUMIF(75:75,C25,76:76)+100</f>
        <v>100</v>
      </c>
      <c r="I25" s="298"/>
      <c r="J25" s="299">
        <f>SUMIF(75:75,I25,76:76)-SUMIF(75:75,C25,76:76)+100</f>
        <v>100</v>
      </c>
      <c r="K25" s="412"/>
      <c r="L25" s="403"/>
      <c r="M25" s="404"/>
      <c r="N25" s="404"/>
      <c r="O25" s="406"/>
      <c r="P25" s="419"/>
      <c r="Q25" s="488">
        <f t="shared" si="11"/>
        <v>111</v>
      </c>
      <c r="R25" s="484" t="s">
        <v>1299</v>
      </c>
      <c r="S25" s="485">
        <f>F25</f>
        <v>100</v>
      </c>
      <c r="T25" s="484" t="s">
        <v>1299</v>
      </c>
      <c r="U25" s="485">
        <f>H25</f>
        <v>100</v>
      </c>
      <c r="V25" s="484" t="s">
        <v>1299</v>
      </c>
      <c r="W25" s="485">
        <f>J25</f>
        <v>100</v>
      </c>
      <c r="X25" s="486"/>
      <c r="Y25" s="419"/>
      <c r="Z25" s="509">
        <f>Q25</f>
        <v>111</v>
      </c>
      <c r="AA25" s="495">
        <f t="shared" si="3"/>
        <v>1</v>
      </c>
      <c r="AB25" s="495">
        <f t="shared" si="4"/>
        <v>1</v>
      </c>
      <c r="AC25" s="495">
        <f t="shared" si="5"/>
        <v>1</v>
      </c>
    </row>
    <row r="26" ht="15" spans="1:29">
      <c r="A26" s="301" t="s">
        <v>1315</v>
      </c>
      <c r="B26" s="302" t="s">
        <v>1573</v>
      </c>
      <c r="C26" s="303"/>
      <c r="D26" s="304">
        <v>100</v>
      </c>
      <c r="E26" s="303"/>
      <c r="F26" s="305">
        <f>SUMIF(77:77,E26,78:78)-SUMIF(77:77,C26,78:78)+100</f>
        <v>100</v>
      </c>
      <c r="G26" s="303"/>
      <c r="H26" s="304">
        <f>SUMIF(77:77,G26,78:78)-SUMIF(77:77,C26,78:78)+100</f>
        <v>100</v>
      </c>
      <c r="I26" s="303"/>
      <c r="J26" s="304">
        <f>SUMIF(77:77,I26,78:78)-SUMIF(77:77,C26,78:78)+100</f>
        <v>100</v>
      </c>
      <c r="K26" s="408"/>
      <c r="L26" s="415"/>
      <c r="M26" s="398"/>
      <c r="N26" s="398"/>
      <c r="O26" s="414"/>
      <c r="P26" s="421" t="s">
        <v>1314</v>
      </c>
      <c r="Q26" s="407" t="str">
        <f t="shared" si="11"/>
        <v>公共部分装修</v>
      </c>
      <c r="R26" s="489" t="s">
        <v>1299</v>
      </c>
      <c r="S26" s="490">
        <f t="shared" ref="S26:S34" si="12">F26</f>
        <v>100</v>
      </c>
      <c r="T26" s="489" t="s">
        <v>1299</v>
      </c>
      <c r="U26" s="490">
        <f t="shared" ref="U26:U34" si="13">H26</f>
        <v>100</v>
      </c>
      <c r="V26" s="489" t="s">
        <v>1299</v>
      </c>
      <c r="W26" s="490">
        <f t="shared" ref="W26:W34" si="14">J26</f>
        <v>100</v>
      </c>
      <c r="X26" s="476"/>
      <c r="Y26" s="424" t="s">
        <v>1314</v>
      </c>
      <c r="Z26" s="475" t="str">
        <f t="shared" ref="Z26:Z34" si="15">Q26</f>
        <v>公共部分装修</v>
      </c>
      <c r="AA26" s="495">
        <f t="shared" si="3"/>
        <v>1</v>
      </c>
      <c r="AB26" s="495">
        <f t="shared" si="4"/>
        <v>1</v>
      </c>
      <c r="AC26" s="495">
        <f t="shared" si="5"/>
        <v>1</v>
      </c>
    </row>
    <row r="27" s="198" customFormat="1" ht="15" spans="1:29">
      <c r="A27" s="306"/>
      <c r="B27" s="307" t="s">
        <v>2390</v>
      </c>
      <c r="C27" s="308"/>
      <c r="D27" s="255">
        <v>100</v>
      </c>
      <c r="E27" s="309"/>
      <c r="F27" s="295" t="e">
        <f>LOOKUP(E27,80:80,81:81)-LOOKUP(C27,80:80,81:81)+100</f>
        <v>#N/A</v>
      </c>
      <c r="G27" s="310"/>
      <c r="H27" s="265" t="e">
        <f>LOOKUP(G27,80:80,81:81)-LOOKUP(C27,80:80,81:81)+100</f>
        <v>#N/A</v>
      </c>
      <c r="I27" s="310"/>
      <c r="J27" s="265" t="e">
        <f>LOOKUP(I27,80:80,81:81)-LOOKUP(C27,80:80,81:81)+100</f>
        <v>#N/A</v>
      </c>
      <c r="K27" s="408"/>
      <c r="L27" s="413"/>
      <c r="M27" s="422"/>
      <c r="N27" s="422"/>
      <c r="O27" s="423"/>
      <c r="P27" s="424"/>
      <c r="Q27" s="491" t="str">
        <f t="shared" si="11"/>
        <v>成新率</v>
      </c>
      <c r="R27" s="492" t="s">
        <v>1299</v>
      </c>
      <c r="S27" s="493" t="e">
        <f t="shared" si="12"/>
        <v>#N/A</v>
      </c>
      <c r="T27" s="492" t="s">
        <v>1299</v>
      </c>
      <c r="U27" s="493" t="e">
        <f t="shared" si="13"/>
        <v>#N/A</v>
      </c>
      <c r="V27" s="492" t="s">
        <v>1299</v>
      </c>
      <c r="W27" s="493" t="e">
        <f t="shared" si="14"/>
        <v>#N/A</v>
      </c>
      <c r="X27" s="494"/>
      <c r="Y27" s="424"/>
      <c r="Z27" s="510" t="str">
        <f t="shared" si="15"/>
        <v>成新率</v>
      </c>
      <c r="AA27" s="495" t="e">
        <f t="shared" si="3"/>
        <v>#N/A</v>
      </c>
      <c r="AB27" s="495" t="e">
        <f t="shared" si="4"/>
        <v>#N/A</v>
      </c>
      <c r="AC27" s="495" t="e">
        <f t="shared" si="5"/>
        <v>#N/A</v>
      </c>
    </row>
    <row r="28" ht="15" spans="1:29">
      <c r="A28" s="311"/>
      <c r="B28" s="307" t="s">
        <v>2391</v>
      </c>
      <c r="C28" s="312"/>
      <c r="D28" s="265">
        <v>100</v>
      </c>
      <c r="E28" s="312"/>
      <c r="F28" s="295">
        <f>SUMIF(82:82,E28,83:83)-SUMIF(82:82,C28,83:83)+100</f>
        <v>100</v>
      </c>
      <c r="G28" s="312"/>
      <c r="H28" s="265">
        <f>SUMIF(82:82,G28,83:83)-SUMIF(82:82,C28,83:83)+100</f>
        <v>100</v>
      </c>
      <c r="I28" s="312"/>
      <c r="J28" s="265">
        <f>SUMIF(82:82,I28,83:83)-SUMIF(82:82,C28,83:83)+100</f>
        <v>100</v>
      </c>
      <c r="K28" s="408"/>
      <c r="L28" s="415"/>
      <c r="M28" s="398"/>
      <c r="N28" s="398"/>
      <c r="O28" s="414"/>
      <c r="P28" s="424"/>
      <c r="Q28" s="407" t="str">
        <f t="shared" si="11"/>
        <v>物业等级</v>
      </c>
      <c r="R28" s="489" t="s">
        <v>1299</v>
      </c>
      <c r="S28" s="490">
        <f t="shared" si="12"/>
        <v>100</v>
      </c>
      <c r="T28" s="489" t="s">
        <v>1299</v>
      </c>
      <c r="U28" s="490">
        <f t="shared" si="13"/>
        <v>100</v>
      </c>
      <c r="V28" s="489" t="s">
        <v>1299</v>
      </c>
      <c r="W28" s="490">
        <f t="shared" si="14"/>
        <v>100</v>
      </c>
      <c r="X28" s="476"/>
      <c r="Y28" s="424"/>
      <c r="Z28" s="475" t="str">
        <f t="shared" si="15"/>
        <v>物业等级</v>
      </c>
      <c r="AA28" s="495">
        <f t="shared" si="3"/>
        <v>1</v>
      </c>
      <c r="AB28" s="495">
        <f t="shared" si="4"/>
        <v>1</v>
      </c>
      <c r="AC28" s="495">
        <f t="shared" si="5"/>
        <v>1</v>
      </c>
    </row>
    <row r="29" ht="15" spans="1:29">
      <c r="A29" s="311"/>
      <c r="B29" s="307" t="s">
        <v>2397</v>
      </c>
      <c r="C29" s="313"/>
      <c r="D29" s="265">
        <v>100</v>
      </c>
      <c r="E29" s="313"/>
      <c r="F29" s="295">
        <f>SUMIF(84:84,E29,85:85)-SUMIF(84:84,C29,85:85)+100</f>
        <v>100</v>
      </c>
      <c r="G29" s="313"/>
      <c r="H29" s="265">
        <f>SUMIF(84:84,G29,85:85)-SUMIF(84:84,C29,85:85)+100</f>
        <v>100</v>
      </c>
      <c r="I29" s="313"/>
      <c r="J29" s="265">
        <f>SUMIF(84:84,I29,85:85)-SUMIF(84:84,C29,85:85)+100</f>
        <v>100</v>
      </c>
      <c r="K29" s="408"/>
      <c r="L29" s="415"/>
      <c r="M29" s="398"/>
      <c r="N29" s="398"/>
      <c r="O29" s="414"/>
      <c r="P29" s="424"/>
      <c r="Q29" s="407" t="str">
        <f t="shared" si="11"/>
        <v>有无电梯</v>
      </c>
      <c r="R29" s="489" t="s">
        <v>1299</v>
      </c>
      <c r="S29" s="490">
        <f t="shared" si="12"/>
        <v>100</v>
      </c>
      <c r="T29" s="489" t="s">
        <v>1299</v>
      </c>
      <c r="U29" s="490">
        <f t="shared" si="13"/>
        <v>100</v>
      </c>
      <c r="V29" s="489" t="s">
        <v>1299</v>
      </c>
      <c r="W29" s="490">
        <f t="shared" si="14"/>
        <v>100</v>
      </c>
      <c r="X29" s="476"/>
      <c r="Y29" s="424"/>
      <c r="Z29" s="475" t="str">
        <f t="shared" si="15"/>
        <v>有无电梯</v>
      </c>
      <c r="AA29" s="495">
        <f t="shared" si="3"/>
        <v>1</v>
      </c>
      <c r="AB29" s="495">
        <f t="shared" si="4"/>
        <v>1</v>
      </c>
      <c r="AC29" s="495">
        <f t="shared" si="5"/>
        <v>1</v>
      </c>
    </row>
    <row r="30" ht="15" spans="1:29">
      <c r="A30" s="311"/>
      <c r="B30" s="307" t="s">
        <v>563</v>
      </c>
      <c r="C30" s="260"/>
      <c r="D30" s="265">
        <v>100</v>
      </c>
      <c r="E30" s="260"/>
      <c r="F30" s="295" t="e">
        <f>LOOKUP(E30,87:87,88:88)-LOOKUP(C30,87:87,88:88)+100</f>
        <v>#N/A</v>
      </c>
      <c r="G30" s="260"/>
      <c r="H30" s="265" t="e">
        <f>LOOKUP(G30,87:87,88:88)-LOOKUP(C30,87:87,88:88)+100</f>
        <v>#N/A</v>
      </c>
      <c r="I30" s="260"/>
      <c r="J30" s="265" t="e">
        <f>LOOKUP(I30,87:87,88:88)-LOOKUP(C30,87:87,88:88)+100</f>
        <v>#N/A</v>
      </c>
      <c r="K30" s="412"/>
      <c r="L30" s="415"/>
      <c r="M30" s="398"/>
      <c r="N30" s="398"/>
      <c r="O30" s="414"/>
      <c r="P30" s="424"/>
      <c r="Q30" s="407" t="str">
        <f t="shared" si="11"/>
        <v>建筑面积</v>
      </c>
      <c r="R30" s="489" t="s">
        <v>1299</v>
      </c>
      <c r="S30" s="490" t="e">
        <f t="shared" si="12"/>
        <v>#N/A</v>
      </c>
      <c r="T30" s="489" t="s">
        <v>1299</v>
      </c>
      <c r="U30" s="490" t="e">
        <f t="shared" si="13"/>
        <v>#N/A</v>
      </c>
      <c r="V30" s="489" t="s">
        <v>1299</v>
      </c>
      <c r="W30" s="490" t="e">
        <f t="shared" si="14"/>
        <v>#N/A</v>
      </c>
      <c r="X30" s="476"/>
      <c r="Y30" s="424"/>
      <c r="Z30" s="475" t="str">
        <f t="shared" si="15"/>
        <v>建筑面积</v>
      </c>
      <c r="AA30" s="495" t="e">
        <f t="shared" si="3"/>
        <v>#N/A</v>
      </c>
      <c r="AB30" s="495" t="e">
        <f t="shared" si="4"/>
        <v>#N/A</v>
      </c>
      <c r="AC30" s="495" t="e">
        <f t="shared" si="5"/>
        <v>#N/A</v>
      </c>
    </row>
    <row r="31" s="196" customFormat="1" ht="15" spans="1:29">
      <c r="A31" s="314"/>
      <c r="B31" s="307" t="s">
        <v>2398</v>
      </c>
      <c r="C31" s="313"/>
      <c r="D31" s="255">
        <v>100</v>
      </c>
      <c r="E31" s="313"/>
      <c r="F31" s="295">
        <f>SUMIF(89:89,E31,90:90)-SUMIF(89:89,C31,90:90)+100</f>
        <v>100</v>
      </c>
      <c r="G31" s="313"/>
      <c r="H31" s="265">
        <f>SUMIF(89:89,G31,90:90)-SUMIF(89:89,C31,90:90)+100</f>
        <v>100</v>
      </c>
      <c r="I31" s="313"/>
      <c r="J31" s="265">
        <f>SUMIF(89:89,I31,90:90)-SUMIF(89:89,C31,90:90)+100</f>
        <v>100</v>
      </c>
      <c r="K31" s="408"/>
      <c r="L31" s="403"/>
      <c r="M31" s="404"/>
      <c r="N31" s="404"/>
      <c r="O31" s="406"/>
      <c r="P31" s="424"/>
      <c r="Q31" s="488" t="str">
        <f t="shared" si="11"/>
        <v>是否封闭</v>
      </c>
      <c r="R31" s="484" t="s">
        <v>1299</v>
      </c>
      <c r="S31" s="485">
        <f t="shared" si="12"/>
        <v>100</v>
      </c>
      <c r="T31" s="484" t="s">
        <v>1299</v>
      </c>
      <c r="U31" s="485">
        <f t="shared" si="13"/>
        <v>100</v>
      </c>
      <c r="V31" s="484" t="s">
        <v>1299</v>
      </c>
      <c r="W31" s="485">
        <f t="shared" si="14"/>
        <v>100</v>
      </c>
      <c r="X31" s="486"/>
      <c r="Y31" s="424"/>
      <c r="Z31" s="509" t="str">
        <f t="shared" si="15"/>
        <v>是否封闭</v>
      </c>
      <c r="AA31" s="508">
        <f t="shared" si="3"/>
        <v>1</v>
      </c>
      <c r="AB31" s="508">
        <f t="shared" si="4"/>
        <v>1</v>
      </c>
      <c r="AC31" s="508">
        <f t="shared" si="5"/>
        <v>1</v>
      </c>
    </row>
    <row r="32" ht="15" spans="1:29">
      <c r="A32" s="311"/>
      <c r="B32" s="296">
        <v>111</v>
      </c>
      <c r="C32" s="259"/>
      <c r="D32" s="265">
        <v>100</v>
      </c>
      <c r="E32" s="260"/>
      <c r="F32" s="295">
        <f>SUMIF(91:91,E32,92:92)-SUMIF(91:91,C32,92:92)+100</f>
        <v>100</v>
      </c>
      <c r="G32" s="260"/>
      <c r="H32" s="265">
        <f>SUMIF(91:91,G32,92:92)-SUMIF(91:91,C32,92:92)+100</f>
        <v>100</v>
      </c>
      <c r="I32" s="260"/>
      <c r="J32" s="265">
        <f>SUMIF(91:91,I32,92:92)-SUMIF(91:91,C32,92:92)+100</f>
        <v>100</v>
      </c>
      <c r="K32" s="412"/>
      <c r="L32" s="415"/>
      <c r="M32" s="398"/>
      <c r="N32" s="398"/>
      <c r="O32" s="414"/>
      <c r="P32" s="424" t="s">
        <v>1314</v>
      </c>
      <c r="Q32" s="407">
        <f t="shared" si="11"/>
        <v>111</v>
      </c>
      <c r="R32" s="489" t="s">
        <v>1299</v>
      </c>
      <c r="S32" s="490">
        <f t="shared" si="12"/>
        <v>100</v>
      </c>
      <c r="T32" s="489" t="s">
        <v>1299</v>
      </c>
      <c r="U32" s="490">
        <f t="shared" si="13"/>
        <v>100</v>
      </c>
      <c r="V32" s="489" t="s">
        <v>1299</v>
      </c>
      <c r="W32" s="490">
        <f t="shared" si="14"/>
        <v>100</v>
      </c>
      <c r="X32" s="476"/>
      <c r="Y32" s="424" t="s">
        <v>1314</v>
      </c>
      <c r="Z32" s="475">
        <f t="shared" si="15"/>
        <v>111</v>
      </c>
      <c r="AA32" s="495">
        <f t="shared" si="3"/>
        <v>1</v>
      </c>
      <c r="AB32" s="495">
        <f t="shared" si="4"/>
        <v>1</v>
      </c>
      <c r="AC32" s="495">
        <f t="shared" si="5"/>
        <v>1</v>
      </c>
    </row>
    <row r="33" ht="15" spans="1:29">
      <c r="A33" s="311"/>
      <c r="B33" s="296">
        <v>111</v>
      </c>
      <c r="C33" s="259"/>
      <c r="D33" s="265">
        <v>100</v>
      </c>
      <c r="E33" s="260"/>
      <c r="F33" s="295">
        <f>SUMIF(93:93,E33,94:94)-SUMIF(93:93,C33,94:94)+100</f>
        <v>100</v>
      </c>
      <c r="G33" s="260"/>
      <c r="H33" s="265">
        <f>SUMIF(93:93,G33,94:94)-SUMIF(93:93,C33,94:94)+100</f>
        <v>100</v>
      </c>
      <c r="I33" s="260"/>
      <c r="J33" s="265">
        <f>SUMIF(93:93,I33,94:94)-SUMIF(93:93,C33,94:94)+100</f>
        <v>100</v>
      </c>
      <c r="K33" s="412"/>
      <c r="L33" s="415"/>
      <c r="M33" s="398"/>
      <c r="N33" s="398"/>
      <c r="O33" s="414"/>
      <c r="P33" s="424"/>
      <c r="Q33" s="407">
        <f t="shared" si="11"/>
        <v>111</v>
      </c>
      <c r="R33" s="489" t="s">
        <v>1299</v>
      </c>
      <c r="S33" s="490">
        <f t="shared" si="12"/>
        <v>100</v>
      </c>
      <c r="T33" s="489" t="s">
        <v>1299</v>
      </c>
      <c r="U33" s="490">
        <f t="shared" si="13"/>
        <v>100</v>
      </c>
      <c r="V33" s="489" t="s">
        <v>1299</v>
      </c>
      <c r="W33" s="490">
        <f t="shared" si="14"/>
        <v>100</v>
      </c>
      <c r="X33" s="476"/>
      <c r="Y33" s="424"/>
      <c r="Z33" s="475">
        <f t="shared" si="15"/>
        <v>111</v>
      </c>
      <c r="AA33" s="495">
        <f t="shared" si="3"/>
        <v>1</v>
      </c>
      <c r="AB33" s="495">
        <f t="shared" si="4"/>
        <v>1</v>
      </c>
      <c r="AC33" s="495">
        <f t="shared" si="5"/>
        <v>1</v>
      </c>
    </row>
    <row r="34" ht="15.75" spans="1:29">
      <c r="A34" s="315"/>
      <c r="B34" s="316">
        <v>111</v>
      </c>
      <c r="C34" s="317"/>
      <c r="D34" s="318">
        <v>100</v>
      </c>
      <c r="E34" s="319"/>
      <c r="F34" s="320">
        <f>SUMIF(95:95,E34,96:96)-SUMIF(95:95,C34,96:96)+100</f>
        <v>100</v>
      </c>
      <c r="G34" s="319"/>
      <c r="H34" s="318">
        <f>SUMIF(95:95,G34,96:96)-SUMIF(95:95,C34,96:96)+100</f>
        <v>100</v>
      </c>
      <c r="I34" s="319"/>
      <c r="J34" s="318">
        <f>SUMIF(95:95,I34,96:96)-SUMIF(95:95,C34,96:96)+100</f>
        <v>100</v>
      </c>
      <c r="K34" s="412"/>
      <c r="L34" s="415"/>
      <c r="M34" s="398"/>
      <c r="N34" s="398"/>
      <c r="O34" s="414"/>
      <c r="P34" s="424"/>
      <c r="Q34" s="407">
        <f t="shared" si="11"/>
        <v>111</v>
      </c>
      <c r="R34" s="489" t="s">
        <v>1299</v>
      </c>
      <c r="S34" s="490">
        <f t="shared" si="12"/>
        <v>100</v>
      </c>
      <c r="T34" s="489" t="s">
        <v>1299</v>
      </c>
      <c r="U34" s="490">
        <f t="shared" si="13"/>
        <v>100</v>
      </c>
      <c r="V34" s="489" t="s">
        <v>1299</v>
      </c>
      <c r="W34" s="490">
        <f t="shared" si="14"/>
        <v>100</v>
      </c>
      <c r="X34" s="476"/>
      <c r="Y34" s="424"/>
      <c r="Z34" s="475">
        <f t="shared" si="15"/>
        <v>111</v>
      </c>
      <c r="AA34" s="495">
        <f t="shared" si="3"/>
        <v>1</v>
      </c>
      <c r="AB34" s="495">
        <f t="shared" si="4"/>
        <v>1</v>
      </c>
      <c r="AC34" s="495">
        <f t="shared" si="5"/>
        <v>1</v>
      </c>
    </row>
    <row r="35" ht="15" spans="1:29">
      <c r="A35" s="321" t="s">
        <v>1584</v>
      </c>
      <c r="B35" s="322"/>
      <c r="C35" s="323" t="s">
        <v>138</v>
      </c>
      <c r="D35" s="324"/>
      <c r="E35" s="325"/>
      <c r="F35" s="326"/>
      <c r="G35" s="327"/>
      <c r="H35" s="328"/>
      <c r="I35" s="325"/>
      <c r="J35" s="328"/>
      <c r="K35" s="425"/>
      <c r="L35" s="426"/>
      <c r="M35" s="349"/>
      <c r="N35" s="398"/>
      <c r="O35" s="349"/>
      <c r="P35" s="407" t="str">
        <f>A35</f>
        <v>成交单价（元/平方米）</v>
      </c>
      <c r="Q35" s="407"/>
      <c r="R35" s="495">
        <f>E35</f>
        <v>0</v>
      </c>
      <c r="S35" s="495"/>
      <c r="T35" s="495">
        <f>G35</f>
        <v>0</v>
      </c>
      <c r="U35" s="495"/>
      <c r="V35" s="495">
        <f>I35</f>
        <v>0</v>
      </c>
      <c r="W35" s="495"/>
      <c r="X35" s="351"/>
      <c r="Y35" s="511"/>
      <c r="Z35" s="351"/>
      <c r="AA35" s="351"/>
      <c r="AB35" s="351"/>
      <c r="AC35" s="351"/>
    </row>
    <row r="36" ht="15.75" spans="1:29">
      <c r="A36" s="329" t="s">
        <v>1323</v>
      </c>
      <c r="B36" s="330"/>
      <c r="C36" s="331" t="e">
        <f>R37</f>
        <v>#DIV/0!</v>
      </c>
      <c r="D36" s="332" t="s">
        <v>2399</v>
      </c>
      <c r="E36" s="333" t="e">
        <f>R36</f>
        <v>#DIV/0!</v>
      </c>
      <c r="F36" s="334"/>
      <c r="G36" s="331" t="e">
        <f>T36</f>
        <v>#DIV/0!</v>
      </c>
      <c r="H36" s="334"/>
      <c r="I36" s="333" t="e">
        <f>V36</f>
        <v>#DIV/0!</v>
      </c>
      <c r="J36" s="334"/>
      <c r="K36" s="427">
        <f>F36+H36+J36</f>
        <v>0</v>
      </c>
      <c r="L36" s="426"/>
      <c r="M36" s="349"/>
      <c r="N36" s="398"/>
      <c r="O36" s="349"/>
      <c r="P36" s="407" t="str">
        <f>A36</f>
        <v>比较价格（元/平方米）</v>
      </c>
      <c r="Q36" s="407"/>
      <c r="R36" s="495" t="e">
        <f>IF(F1="售价",ROUND(PRODUCT(R35,AA7:AA34),0),ROUND(PRODUCT(R35,AA7:AA34),1))</f>
        <v>#DIV/0!</v>
      </c>
      <c r="S36" s="495"/>
      <c r="T36" s="495" t="e">
        <f>IF(F1="售价",ROUND(PRODUCT(T35,AB7:AB34),0),ROUND(PRODUCT(T35,AB7:AB34),1))</f>
        <v>#DIV/0!</v>
      </c>
      <c r="U36" s="495"/>
      <c r="V36" s="495" t="e">
        <f>IF(F1="售价",ROUND(PRODUCT(V35,AC7:AC34),0),ROUND(PRODUCT(V35,AC7:AC34),1))</f>
        <v>#DIV/0!</v>
      </c>
      <c r="W36" s="495"/>
      <c r="X36" s="351"/>
      <c r="Y36" s="351"/>
      <c r="Z36" s="351"/>
      <c r="AA36" s="351"/>
      <c r="AB36" s="351"/>
      <c r="AC36" s="351"/>
    </row>
    <row r="37" ht="15.75" spans="1:29">
      <c r="A37" s="335" t="s">
        <v>1325</v>
      </c>
      <c r="B37" s="336"/>
      <c r="C37" s="337" t="e">
        <f>R37</f>
        <v>#DIV/0!</v>
      </c>
      <c r="D37" s="337"/>
      <c r="E37" s="337"/>
      <c r="F37" s="337"/>
      <c r="G37" s="337"/>
      <c r="H37" s="337"/>
      <c r="I37" s="337"/>
      <c r="J37" s="337"/>
      <c r="K37" s="428"/>
      <c r="L37" s="426"/>
      <c r="M37" s="349"/>
      <c r="N37" s="349"/>
      <c r="O37" s="349"/>
      <c r="P37" s="429" t="str">
        <f>A37</f>
        <v>估价对象XX用房的比较价格（楼面单价，元/平方米）</v>
      </c>
      <c r="Q37" s="496"/>
      <c r="R37" s="497" t="e">
        <f>IF(F1="售价",ROUND(IF(D36="简单平均",AVERAGE(R36:W36),R36*F36+T36*H36+V36*J36),0),ROUND(IF(D36="简单平均",AVERAGE(R36:V36),R36*F36+T36*H36+V36*J36),1))</f>
        <v>#DIV/0!</v>
      </c>
      <c r="S37" s="497"/>
      <c r="T37" s="497"/>
      <c r="U37" s="497"/>
      <c r="V37" s="497"/>
      <c r="W37" s="497"/>
      <c r="X37" s="351"/>
      <c r="Y37" s="351"/>
      <c r="Z37" s="351"/>
      <c r="AA37" s="351"/>
      <c r="AB37" s="351"/>
      <c r="AC37" s="351"/>
    </row>
    <row r="38" spans="1:29">
      <c r="A38" s="338"/>
      <c r="B38" s="338"/>
      <c r="C38" s="338"/>
      <c r="D38" s="338"/>
      <c r="E38" s="338"/>
      <c r="F38" s="338"/>
      <c r="G38" s="339"/>
      <c r="H38" s="338"/>
      <c r="I38" s="338"/>
      <c r="J38" s="338"/>
      <c r="K38" s="430"/>
      <c r="L38" s="431"/>
      <c r="M38" s="349"/>
      <c r="N38" s="349"/>
      <c r="O38" s="349"/>
      <c r="P38" s="349"/>
      <c r="Q38" s="349"/>
      <c r="R38" s="349"/>
      <c r="S38" s="349"/>
      <c r="T38" s="349"/>
      <c r="U38" s="349"/>
      <c r="V38" s="349"/>
      <c r="W38" s="349"/>
      <c r="X38" s="349"/>
      <c r="Y38" s="349"/>
      <c r="Z38" s="349"/>
      <c r="AA38" s="349"/>
      <c r="AB38" s="349"/>
      <c r="AC38" s="349"/>
    </row>
    <row r="39" spans="1:29">
      <c r="A39" s="338"/>
      <c r="B39" s="338"/>
      <c r="C39" s="338"/>
      <c r="D39" s="338"/>
      <c r="E39" s="338"/>
      <c r="F39" s="338"/>
      <c r="G39" s="338"/>
      <c r="H39" s="338"/>
      <c r="I39" s="338"/>
      <c r="J39" s="338"/>
      <c r="K39" s="430"/>
      <c r="L39" s="431"/>
      <c r="M39" s="349"/>
      <c r="N39" s="349"/>
      <c r="O39" s="349"/>
      <c r="P39" s="349"/>
      <c r="Q39" s="349"/>
      <c r="R39" s="349"/>
      <c r="S39" s="349"/>
      <c r="T39" s="349"/>
      <c r="U39" s="349"/>
      <c r="V39" s="349"/>
      <c r="W39" s="349"/>
      <c r="X39" s="349"/>
      <c r="Y39" s="349"/>
      <c r="Z39" s="349"/>
      <c r="AA39" s="349"/>
      <c r="AB39" s="349"/>
      <c r="AC39" s="349"/>
    </row>
    <row r="40" ht="13.5" customHeight="1" spans="1:29">
      <c r="A40" s="338"/>
      <c r="B40" s="338"/>
      <c r="C40" s="340" t="s">
        <v>1326</v>
      </c>
      <c r="D40" s="341"/>
      <c r="E40" s="342" t="e">
        <f>IF(E35&lt;E36,E36/E35-1,E35/E36-1)</f>
        <v>#DIV/0!</v>
      </c>
      <c r="F40" s="343" t="e">
        <f>IF(OR(E40&gt;=0.3,E40&lt;=-0.3),"超过30%","")</f>
        <v>#DIV/0!</v>
      </c>
      <c r="G40" s="342" t="e">
        <f>IF(G35&lt;G36,G36/G35-1,G35/G36-1)</f>
        <v>#DIV/0!</v>
      </c>
      <c r="H40" s="343" t="e">
        <f>IF(OR(G40&gt;=0.3,G40&lt;=-0.3),"超过30%","")</f>
        <v>#DIV/0!</v>
      </c>
      <c r="I40" s="342" t="e">
        <f>IF(I35&lt;I36,I36/I35-1,I35/I36-1)</f>
        <v>#DIV/0!</v>
      </c>
      <c r="J40" s="343" t="e">
        <f>IF(OR(I40&gt;=0.3,I40&lt;=-0.3),"超过30%","")</f>
        <v>#DIV/0!</v>
      </c>
      <c r="K40" s="430"/>
      <c r="L40" s="431"/>
      <c r="M40" s="349"/>
      <c r="N40" s="349"/>
      <c r="O40" s="349"/>
      <c r="P40" s="349"/>
      <c r="Q40" s="349"/>
      <c r="R40" s="349"/>
      <c r="S40" s="349"/>
      <c r="T40" s="349"/>
      <c r="U40" s="349"/>
      <c r="V40" s="349"/>
      <c r="W40" s="349"/>
      <c r="X40" s="349"/>
      <c r="Y40" s="349"/>
      <c r="Z40" s="349"/>
      <c r="AA40" s="349"/>
      <c r="AB40" s="349"/>
      <c r="AC40" s="349"/>
    </row>
    <row r="41" ht="13.5" customHeight="1" spans="1:29">
      <c r="A41" s="338"/>
      <c r="B41" s="338"/>
      <c r="C41" s="340" t="s">
        <v>1327</v>
      </c>
      <c r="D41" s="344"/>
      <c r="E41" s="342" t="e">
        <f>IF(E36&lt;G36,G36/E36-1,E36/G36-1)</f>
        <v>#DIV/0!</v>
      </c>
      <c r="F41" s="343" t="e">
        <f>IF(OR(E41&gt;=0.2,E41&lt;=-0.2),"超过20%","")</f>
        <v>#DIV/0!</v>
      </c>
      <c r="G41" s="342" t="e">
        <f>IF(G36&lt;I36,I36/G36-1,G36/I36-1)</f>
        <v>#DIV/0!</v>
      </c>
      <c r="H41" s="343" t="e">
        <f>IF(OR(G41&gt;=0.2,G41&lt;=-0.2),"超过20%","")</f>
        <v>#DIV/0!</v>
      </c>
      <c r="I41" s="342" t="e">
        <f>IF(I36&lt;E36,E36/I36-1,I36/E36-1)</f>
        <v>#DIV/0!</v>
      </c>
      <c r="J41" s="343" t="e">
        <f>IF(OR(I41&gt;=0.2,I41&lt;=-0.2),"超过20%","")</f>
        <v>#DIV/0!</v>
      </c>
      <c r="K41" s="430"/>
      <c r="L41" s="431"/>
      <c r="M41" s="349"/>
      <c r="N41" s="349"/>
      <c r="O41" s="349"/>
      <c r="P41" s="349"/>
      <c r="Q41" s="349"/>
      <c r="R41" s="349"/>
      <c r="S41" s="349"/>
      <c r="T41" s="349"/>
      <c r="U41" s="349"/>
      <c r="V41" s="349"/>
      <c r="W41" s="349"/>
      <c r="X41" s="349"/>
      <c r="Y41" s="349"/>
      <c r="Z41" s="349"/>
      <c r="AA41" s="349"/>
      <c r="AB41" s="349"/>
      <c r="AC41" s="349"/>
    </row>
    <row r="42" s="199" customFormat="1" ht="13.5" customHeight="1" spans="1:29">
      <c r="A42" s="345"/>
      <c r="B42" s="345"/>
      <c r="C42" s="340" t="s">
        <v>1328</v>
      </c>
      <c r="D42" s="344"/>
      <c r="E42" s="342" t="e">
        <f>IF(E35&lt;G35,G35/E35-1,E35/G35-1)</f>
        <v>#DIV/0!</v>
      </c>
      <c r="F42" s="343" t="e">
        <f>IF(OR(E42&gt;=0.3,E42&lt;=-0.3),"超过30%","")</f>
        <v>#DIV/0!</v>
      </c>
      <c r="G42" s="342" t="e">
        <f>IF(G35&lt;I35,I35/G35-1,G35/I35-1)</f>
        <v>#DIV/0!</v>
      </c>
      <c r="H42" s="343" t="e">
        <f>IF(OR(G42&gt;=0.3,G42&lt;=-0.3),"超过30%","")</f>
        <v>#DIV/0!</v>
      </c>
      <c r="I42" s="342" t="e">
        <f>IF(I35&lt;E35,E35/I35-1,I35/E35-1)</f>
        <v>#DIV/0!</v>
      </c>
      <c r="J42" s="343" t="e">
        <f>IF(OR(I42&gt;=0.3,I42&lt;=-0.3),"超过30%","")</f>
        <v>#DIV/0!</v>
      </c>
      <c r="K42" s="432"/>
      <c r="L42" s="433"/>
      <c r="M42" s="346"/>
      <c r="N42" s="346"/>
      <c r="O42" s="346"/>
      <c r="P42" s="346"/>
      <c r="Q42" s="346"/>
      <c r="R42" s="346"/>
      <c r="S42" s="346"/>
      <c r="T42" s="346"/>
      <c r="U42" s="346"/>
      <c r="V42" s="346"/>
      <c r="W42" s="346"/>
      <c r="X42" s="346"/>
      <c r="Y42" s="346"/>
      <c r="Z42" s="346"/>
      <c r="AA42" s="346"/>
      <c r="AB42" s="346"/>
      <c r="AC42" s="346"/>
    </row>
    <row r="43" s="199" customFormat="1" spans="1:29">
      <c r="A43" s="346"/>
      <c r="B43" s="347"/>
      <c r="C43" s="348"/>
      <c r="D43" s="346"/>
      <c r="E43" s="346"/>
      <c r="F43" s="346"/>
      <c r="G43" s="346"/>
      <c r="H43" s="346"/>
      <c r="I43" s="346"/>
      <c r="J43" s="346"/>
      <c r="K43" s="434"/>
      <c r="L43" s="433"/>
      <c r="M43" s="346"/>
      <c r="N43" s="346"/>
      <c r="O43" s="346"/>
      <c r="P43" s="346"/>
      <c r="Q43" s="346"/>
      <c r="R43" s="346"/>
      <c r="S43" s="346"/>
      <c r="T43" s="346"/>
      <c r="U43" s="346"/>
      <c r="V43" s="346"/>
      <c r="W43" s="346"/>
      <c r="X43" s="346"/>
      <c r="Y43" s="346"/>
      <c r="Z43" s="346"/>
      <c r="AA43" s="346"/>
      <c r="AB43" s="346"/>
      <c r="AC43" s="346"/>
    </row>
    <row r="44" spans="1:29">
      <c r="A44" s="349"/>
      <c r="B44" s="347"/>
      <c r="C44" s="348"/>
      <c r="D44" s="349"/>
      <c r="E44" s="349"/>
      <c r="F44" s="349"/>
      <c r="G44" s="349"/>
      <c r="H44" s="349"/>
      <c r="I44" s="349"/>
      <c r="J44" s="349"/>
      <c r="K44" s="435"/>
      <c r="L44" s="431"/>
      <c r="M44" s="349"/>
      <c r="N44" s="349"/>
      <c r="O44" s="349"/>
      <c r="P44" s="349"/>
      <c r="Q44" s="349"/>
      <c r="R44" s="349"/>
      <c r="S44" s="349"/>
      <c r="T44" s="349"/>
      <c r="U44" s="349"/>
      <c r="V44" s="349"/>
      <c r="W44" s="349"/>
      <c r="X44" s="349"/>
      <c r="Y44" s="349"/>
      <c r="Z44" s="349"/>
      <c r="AA44" s="349"/>
      <c r="AB44" s="349"/>
      <c r="AC44" s="349"/>
    </row>
    <row r="45" ht="21" spans="1:29">
      <c r="A45" s="350" t="s">
        <v>1350</v>
      </c>
      <c r="B45" s="351"/>
      <c r="C45" s="352"/>
      <c r="D45" s="352"/>
      <c r="E45" s="352"/>
      <c r="F45" s="353"/>
      <c r="G45" s="353"/>
      <c r="H45" s="352"/>
      <c r="I45" s="352"/>
      <c r="J45" s="352"/>
      <c r="K45" s="436"/>
      <c r="L45" s="437"/>
      <c r="M45" s="352"/>
      <c r="N45" s="438"/>
      <c r="O45" s="438"/>
      <c r="P45" s="438"/>
      <c r="Q45" s="442"/>
      <c r="R45" s="349"/>
      <c r="S45" s="349"/>
      <c r="T45" s="349"/>
      <c r="U45" s="349"/>
      <c r="V45" s="349"/>
      <c r="W45" s="349"/>
      <c r="X45" s="349"/>
      <c r="Y45" s="349"/>
      <c r="Z45" s="349"/>
      <c r="AA45" s="349"/>
      <c r="AB45" s="349"/>
      <c r="AC45" s="349"/>
    </row>
    <row r="46" s="200" customFormat="1" ht="15" spans="1:29">
      <c r="A46" s="354" t="s">
        <v>1297</v>
      </c>
      <c r="B46" s="355"/>
      <c r="C46" s="356" t="str">
        <f>YEAR(C7)&amp;"-"&amp;MONTH(C7)</f>
        <v>2021-11</v>
      </c>
      <c r="D46" s="357">
        <f>EDATE(C46,-1)</f>
        <v>44470</v>
      </c>
      <c r="E46" s="357">
        <f t="shared" ref="E46:O46" si="16">EDATE(D46,-1)</f>
        <v>44440</v>
      </c>
      <c r="F46" s="357">
        <f t="shared" si="16"/>
        <v>44409</v>
      </c>
      <c r="G46" s="357">
        <f t="shared" si="16"/>
        <v>44378</v>
      </c>
      <c r="H46" s="357">
        <f t="shared" si="16"/>
        <v>44348</v>
      </c>
      <c r="I46" s="357">
        <f t="shared" si="16"/>
        <v>44317</v>
      </c>
      <c r="J46" s="357">
        <f t="shared" si="16"/>
        <v>44287</v>
      </c>
      <c r="K46" s="357">
        <f t="shared" si="16"/>
        <v>44256</v>
      </c>
      <c r="L46" s="357">
        <f t="shared" si="16"/>
        <v>44228</v>
      </c>
      <c r="M46" s="357">
        <f t="shared" si="16"/>
        <v>44197</v>
      </c>
      <c r="N46" s="357">
        <f t="shared" si="16"/>
        <v>44166</v>
      </c>
      <c r="O46" s="357">
        <f t="shared" si="16"/>
        <v>44136</v>
      </c>
      <c r="P46" s="439"/>
      <c r="Q46" s="498"/>
      <c r="R46" s="498"/>
      <c r="S46" s="498"/>
      <c r="T46" s="498"/>
      <c r="U46" s="498"/>
      <c r="V46" s="498"/>
      <c r="W46" s="498"/>
      <c r="X46" s="498"/>
      <c r="Y46" s="498"/>
      <c r="Z46" s="498"/>
      <c r="AA46" s="498"/>
      <c r="AB46" s="498"/>
      <c r="AC46" s="498"/>
    </row>
    <row r="47" s="196" customFormat="1" ht="15" spans="1:29">
      <c r="A47" s="358"/>
      <c r="B47" s="359"/>
      <c r="C47" s="360">
        <v>100</v>
      </c>
      <c r="D47" s="361"/>
      <c r="E47" s="361"/>
      <c r="F47" s="361"/>
      <c r="G47" s="361"/>
      <c r="H47" s="361"/>
      <c r="I47" s="361"/>
      <c r="J47" s="361"/>
      <c r="K47" s="361"/>
      <c r="L47" s="361"/>
      <c r="M47" s="440"/>
      <c r="N47" s="361"/>
      <c r="O47" s="441"/>
      <c r="P47" s="442"/>
      <c r="Q47" s="499"/>
      <c r="R47" s="499"/>
      <c r="S47" s="499"/>
      <c r="T47" s="499"/>
      <c r="U47" s="499"/>
      <c r="V47" s="499"/>
      <c r="W47" s="499"/>
      <c r="X47" s="499"/>
      <c r="Y47" s="499"/>
      <c r="Z47" s="499"/>
      <c r="AA47" s="499"/>
      <c r="AB47" s="499"/>
      <c r="AC47" s="499"/>
    </row>
    <row r="48" s="196" customFormat="1" ht="15.75" spans="1:29">
      <c r="A48" s="362" t="s">
        <v>1366</v>
      </c>
      <c r="B48" s="363"/>
      <c r="C48" s="364"/>
      <c r="D48" s="365"/>
      <c r="E48" s="365"/>
      <c r="F48" s="365"/>
      <c r="G48" s="365"/>
      <c r="H48" s="365"/>
      <c r="I48" s="365"/>
      <c r="J48" s="365"/>
      <c r="K48" s="365"/>
      <c r="L48" s="365"/>
      <c r="M48" s="443"/>
      <c r="N48" s="365"/>
      <c r="O48" s="444"/>
      <c r="P48" s="442"/>
      <c r="Q48" s="442"/>
      <c r="R48" s="499"/>
      <c r="S48" s="499"/>
      <c r="T48" s="499"/>
      <c r="U48" s="499"/>
      <c r="V48" s="499"/>
      <c r="W48" s="499"/>
      <c r="X48" s="499"/>
      <c r="Y48" s="499"/>
      <c r="Z48" s="499"/>
      <c r="AA48" s="499"/>
      <c r="AB48" s="499"/>
      <c r="AC48" s="499"/>
    </row>
    <row r="49" s="196" customFormat="1" ht="15" spans="1:29">
      <c r="A49" s="366" t="s">
        <v>1300</v>
      </c>
      <c r="B49" s="359"/>
      <c r="C49" s="367" t="s">
        <v>1301</v>
      </c>
      <c r="D49" s="368"/>
      <c r="E49" s="368"/>
      <c r="F49" s="368"/>
      <c r="G49" s="368"/>
      <c r="H49" s="368"/>
      <c r="I49" s="368"/>
      <c r="J49" s="368"/>
      <c r="K49" s="368"/>
      <c r="L49" s="445"/>
      <c r="M49" s="446"/>
      <c r="N49" s="447"/>
      <c r="O49" s="447"/>
      <c r="P49" s="448"/>
      <c r="Q49" s="442"/>
      <c r="R49" s="499"/>
      <c r="S49" s="499"/>
      <c r="T49" s="499"/>
      <c r="U49" s="499"/>
      <c r="V49" s="499"/>
      <c r="W49" s="499"/>
      <c r="X49" s="499"/>
      <c r="Y49" s="499"/>
      <c r="Z49" s="499"/>
      <c r="AA49" s="499"/>
      <c r="AB49" s="499"/>
      <c r="AC49" s="499"/>
    </row>
    <row r="50" s="196" customFormat="1" ht="15.75" spans="1:29">
      <c r="A50" s="366"/>
      <c r="B50" s="359"/>
      <c r="C50" s="360">
        <v>100</v>
      </c>
      <c r="D50" s="361"/>
      <c r="E50" s="361"/>
      <c r="F50" s="361"/>
      <c r="G50" s="361"/>
      <c r="H50" s="361"/>
      <c r="I50" s="361"/>
      <c r="J50" s="361"/>
      <c r="K50" s="361"/>
      <c r="L50" s="361"/>
      <c r="M50" s="441"/>
      <c r="N50" s="447"/>
      <c r="O50" s="447"/>
      <c r="P50" s="442"/>
      <c r="Q50" s="442"/>
      <c r="R50" s="499"/>
      <c r="S50" s="499"/>
      <c r="T50" s="499"/>
      <c r="U50" s="499"/>
      <c r="V50" s="499"/>
      <c r="W50" s="499"/>
      <c r="X50" s="499"/>
      <c r="Y50" s="499"/>
      <c r="Z50" s="499"/>
      <c r="AA50" s="499"/>
      <c r="AB50" s="499"/>
      <c r="AC50" s="499"/>
    </row>
    <row r="51" spans="1:29">
      <c r="A51" s="369" t="s">
        <v>1353</v>
      </c>
      <c r="B51" s="370" t="s">
        <v>1354</v>
      </c>
      <c r="C51" s="371">
        <f>C9</f>
        <v>0</v>
      </c>
      <c r="D51" s="372"/>
      <c r="E51" s="372"/>
      <c r="F51" s="372"/>
      <c r="G51" s="372"/>
      <c r="H51" s="372"/>
      <c r="I51" s="372"/>
      <c r="J51" s="372"/>
      <c r="K51" s="449"/>
      <c r="L51" s="450"/>
      <c r="M51" s="451"/>
      <c r="N51" s="452"/>
      <c r="O51" s="452"/>
      <c r="P51" s="453"/>
      <c r="Q51" s="442"/>
      <c r="R51" s="349"/>
      <c r="S51" s="349"/>
      <c r="T51" s="349"/>
      <c r="U51" s="349"/>
      <c r="V51" s="349"/>
      <c r="W51" s="349"/>
      <c r="X51" s="349"/>
      <c r="Y51" s="349"/>
      <c r="Z51" s="349"/>
      <c r="AA51" s="349"/>
      <c r="AB51" s="349"/>
      <c r="AC51" s="349"/>
    </row>
    <row r="52" ht="15.75" spans="1:29">
      <c r="A52" s="373"/>
      <c r="B52" s="374"/>
      <c r="C52" s="375">
        <v>100</v>
      </c>
      <c r="D52" s="375"/>
      <c r="E52" s="375"/>
      <c r="F52" s="375"/>
      <c r="G52" s="375"/>
      <c r="H52" s="375"/>
      <c r="I52" s="375"/>
      <c r="J52" s="375"/>
      <c r="K52" s="375"/>
      <c r="L52" s="375"/>
      <c r="M52" s="454"/>
      <c r="N52" s="455"/>
      <c r="O52" s="455"/>
      <c r="P52" s="453"/>
      <c r="Q52" s="442"/>
      <c r="R52" s="349"/>
      <c r="S52" s="349"/>
      <c r="T52" s="349"/>
      <c r="U52" s="349"/>
      <c r="V52" s="349"/>
      <c r="W52" s="349"/>
      <c r="X52" s="349"/>
      <c r="Y52" s="349"/>
      <c r="Z52" s="349"/>
      <c r="AA52" s="349"/>
      <c r="AB52" s="349"/>
      <c r="AC52" s="349"/>
    </row>
    <row r="53" ht="27.75" spans="1:29">
      <c r="A53" s="373"/>
      <c r="B53" s="376" t="s">
        <v>1355</v>
      </c>
      <c r="C53" s="377" t="s">
        <v>1585</v>
      </c>
      <c r="D53" s="377" t="s">
        <v>1586</v>
      </c>
      <c r="E53" s="377" t="s">
        <v>1587</v>
      </c>
      <c r="F53" s="377" t="s">
        <v>1588</v>
      </c>
      <c r="G53" s="377" t="s">
        <v>1589</v>
      </c>
      <c r="H53" s="377" t="s">
        <v>1590</v>
      </c>
      <c r="I53" s="377" t="s">
        <v>1591</v>
      </c>
      <c r="J53" s="377"/>
      <c r="K53" s="456"/>
      <c r="L53" s="457"/>
      <c r="M53" s="458"/>
      <c r="N53" s="452"/>
      <c r="O53" s="452"/>
      <c r="P53" s="453"/>
      <c r="Q53" s="442"/>
      <c r="R53" s="349"/>
      <c r="S53" s="349"/>
      <c r="T53" s="349"/>
      <c r="U53" s="349"/>
      <c r="V53" s="349"/>
      <c r="W53" s="349"/>
      <c r="X53" s="349"/>
      <c r="Y53" s="349"/>
      <c r="Z53" s="349"/>
      <c r="AA53" s="349"/>
      <c r="AB53" s="349"/>
      <c r="AC53" s="349"/>
    </row>
    <row r="54" ht="15.75" spans="1:29">
      <c r="A54" s="373"/>
      <c r="B54" s="378"/>
      <c r="C54" s="379" t="s">
        <v>1349</v>
      </c>
      <c r="D54" s="379" t="s">
        <v>1349</v>
      </c>
      <c r="E54" s="379">
        <v>100</v>
      </c>
      <c r="F54" s="379">
        <f>E54-$K10</f>
        <v>100</v>
      </c>
      <c r="G54" s="379">
        <f>F54-$K10</f>
        <v>100</v>
      </c>
      <c r="H54" s="379">
        <f>G54-$K10</f>
        <v>100</v>
      </c>
      <c r="I54" s="379">
        <f>H54-$K10</f>
        <v>100</v>
      </c>
      <c r="J54" s="379"/>
      <c r="K54" s="379"/>
      <c r="L54" s="379"/>
      <c r="M54" s="459"/>
      <c r="N54" s="455"/>
      <c r="O54" s="455"/>
      <c r="P54" s="453"/>
      <c r="Q54" s="442"/>
      <c r="R54" s="349"/>
      <c r="S54" s="349"/>
      <c r="T54" s="349"/>
      <c r="U54" s="349"/>
      <c r="V54" s="349"/>
      <c r="W54" s="349"/>
      <c r="X54" s="349"/>
      <c r="Y54" s="349"/>
      <c r="Z54" s="349"/>
      <c r="AA54" s="349"/>
      <c r="AB54" s="349"/>
      <c r="AC54" s="349"/>
    </row>
    <row r="55" ht="15.75" spans="1:29">
      <c r="A55" s="373"/>
      <c r="B55" s="380">
        <f>B11</f>
        <v>111</v>
      </c>
      <c r="C55" s="381"/>
      <c r="D55" s="381"/>
      <c r="E55" s="381"/>
      <c r="F55" s="381"/>
      <c r="G55" s="381"/>
      <c r="H55" s="381"/>
      <c r="I55" s="381"/>
      <c r="J55" s="381"/>
      <c r="K55" s="460"/>
      <c r="L55" s="461"/>
      <c r="M55" s="462"/>
      <c r="N55" s="452"/>
      <c r="O55" s="452"/>
      <c r="P55" s="453"/>
      <c r="Q55" s="442"/>
      <c r="R55" s="349"/>
      <c r="S55" s="349"/>
      <c r="T55" s="349"/>
      <c r="U55" s="349"/>
      <c r="V55" s="349"/>
      <c r="W55" s="349"/>
      <c r="X55" s="349"/>
      <c r="Y55" s="349"/>
      <c r="Z55" s="349"/>
      <c r="AA55" s="349"/>
      <c r="AB55" s="349"/>
      <c r="AC55" s="349"/>
    </row>
    <row r="56" ht="15.75" spans="1:29">
      <c r="A56" s="373"/>
      <c r="B56" s="374"/>
      <c r="C56" s="382"/>
      <c r="D56" s="375"/>
      <c r="E56" s="375"/>
      <c r="F56" s="375"/>
      <c r="G56" s="375"/>
      <c r="H56" s="375"/>
      <c r="I56" s="375"/>
      <c r="J56" s="375"/>
      <c r="K56" s="375"/>
      <c r="L56" s="375"/>
      <c r="M56" s="454"/>
      <c r="N56" s="455"/>
      <c r="O56" s="455"/>
      <c r="P56" s="453"/>
      <c r="Q56" s="442"/>
      <c r="R56" s="349"/>
      <c r="S56" s="349"/>
      <c r="T56" s="349"/>
      <c r="U56" s="349"/>
      <c r="V56" s="349"/>
      <c r="W56" s="349"/>
      <c r="X56" s="349"/>
      <c r="Y56" s="349"/>
      <c r="Z56" s="349"/>
      <c r="AA56" s="349"/>
      <c r="AB56" s="349"/>
      <c r="AC56" s="349"/>
    </row>
    <row r="57" s="198" customFormat="1" ht="15.75" spans="1:29">
      <c r="A57" s="383"/>
      <c r="B57" s="376">
        <f>B12</f>
        <v>111</v>
      </c>
      <c r="C57" s="381"/>
      <c r="D57" s="381"/>
      <c r="E57" s="381"/>
      <c r="F57" s="381"/>
      <c r="G57" s="384"/>
      <c r="H57" s="385"/>
      <c r="I57" s="385"/>
      <c r="J57" s="385"/>
      <c r="K57" s="385"/>
      <c r="L57" s="463"/>
      <c r="M57" s="464"/>
      <c r="N57" s="465"/>
      <c r="O57" s="465"/>
      <c r="P57" s="466"/>
      <c r="Q57" s="500"/>
      <c r="R57" s="501"/>
      <c r="S57" s="501"/>
      <c r="T57" s="501"/>
      <c r="U57" s="501"/>
      <c r="V57" s="501"/>
      <c r="W57" s="501"/>
      <c r="X57" s="501"/>
      <c r="Y57" s="501"/>
      <c r="Z57" s="501"/>
      <c r="AA57" s="501"/>
      <c r="AB57" s="501"/>
      <c r="AC57" s="501"/>
    </row>
    <row r="58" s="198" customFormat="1" ht="15.75" spans="1:29">
      <c r="A58" s="383"/>
      <c r="B58" s="378"/>
      <c r="C58" s="382"/>
      <c r="D58" s="375"/>
      <c r="E58" s="375"/>
      <c r="F58" s="375"/>
      <c r="G58" s="375"/>
      <c r="H58" s="375"/>
      <c r="I58" s="375"/>
      <c r="J58" s="375"/>
      <c r="K58" s="375"/>
      <c r="L58" s="375"/>
      <c r="M58" s="454"/>
      <c r="N58" s="455"/>
      <c r="O58" s="455"/>
      <c r="P58" s="466"/>
      <c r="Q58" s="500"/>
      <c r="R58" s="501"/>
      <c r="S58" s="501"/>
      <c r="T58" s="501"/>
      <c r="U58" s="501"/>
      <c r="V58" s="501"/>
      <c r="W58" s="501"/>
      <c r="X58" s="501"/>
      <c r="Y58" s="501"/>
      <c r="Z58" s="501"/>
      <c r="AA58" s="501"/>
      <c r="AB58" s="501"/>
      <c r="AC58" s="501"/>
    </row>
    <row r="59" s="198" customFormat="1" ht="15.75" spans="1:29">
      <c r="A59" s="383"/>
      <c r="B59" s="376">
        <f>B13</f>
        <v>111</v>
      </c>
      <c r="C59" s="381"/>
      <c r="D59" s="381"/>
      <c r="E59" s="381"/>
      <c r="F59" s="381"/>
      <c r="G59" s="384"/>
      <c r="H59" s="385"/>
      <c r="I59" s="385"/>
      <c r="J59" s="385"/>
      <c r="K59" s="385"/>
      <c r="L59" s="463"/>
      <c r="M59" s="464"/>
      <c r="N59" s="465"/>
      <c r="O59" s="465"/>
      <c r="P59" s="422"/>
      <c r="Q59" s="502"/>
      <c r="R59" s="501"/>
      <c r="S59" s="501"/>
      <c r="T59" s="501"/>
      <c r="U59" s="501"/>
      <c r="V59" s="501"/>
      <c r="W59" s="501"/>
      <c r="X59" s="501"/>
      <c r="Y59" s="501"/>
      <c r="Z59" s="501"/>
      <c r="AA59" s="501"/>
      <c r="AB59" s="501"/>
      <c r="AC59" s="501"/>
    </row>
    <row r="60" s="198" customFormat="1" ht="15.75" spans="1:29">
      <c r="A60" s="383"/>
      <c r="B60" s="378"/>
      <c r="C60" s="382"/>
      <c r="D60" s="382"/>
      <c r="E60" s="382"/>
      <c r="F60" s="382"/>
      <c r="G60" s="382"/>
      <c r="H60" s="386"/>
      <c r="I60" s="386"/>
      <c r="J60" s="386"/>
      <c r="K60" s="386"/>
      <c r="L60" s="386"/>
      <c r="M60" s="467"/>
      <c r="N60" s="465"/>
      <c r="O60" s="465"/>
      <c r="P60" s="466"/>
      <c r="Q60" s="500"/>
      <c r="R60" s="501"/>
      <c r="S60" s="501"/>
      <c r="T60" s="501"/>
      <c r="U60" s="501"/>
      <c r="V60" s="501"/>
      <c r="W60" s="501"/>
      <c r="X60" s="501"/>
      <c r="Y60" s="501"/>
      <c r="Z60" s="501"/>
      <c r="AA60" s="501"/>
      <c r="AB60" s="501"/>
      <c r="AC60" s="501"/>
    </row>
    <row r="61" ht="15" spans="1:29">
      <c r="A61" s="369" t="s">
        <v>1357</v>
      </c>
      <c r="B61" s="370" t="s">
        <v>229</v>
      </c>
      <c r="C61" s="387" t="s">
        <v>246</v>
      </c>
      <c r="D61" s="387" t="s">
        <v>258</v>
      </c>
      <c r="E61" s="387" t="s">
        <v>269</v>
      </c>
      <c r="F61" s="387" t="s">
        <v>279</v>
      </c>
      <c r="G61" s="387" t="s">
        <v>287</v>
      </c>
      <c r="H61" s="371"/>
      <c r="I61" s="371"/>
      <c r="J61" s="371"/>
      <c r="K61" s="468"/>
      <c r="L61" s="469"/>
      <c r="M61" s="470"/>
      <c r="N61" s="452"/>
      <c r="O61" s="452"/>
      <c r="P61" s="471"/>
      <c r="Q61" s="442"/>
      <c r="R61" s="349"/>
      <c r="S61" s="349"/>
      <c r="T61" s="349"/>
      <c r="U61" s="349"/>
      <c r="V61" s="349"/>
      <c r="W61" s="349"/>
      <c r="X61" s="349"/>
      <c r="Y61" s="349"/>
      <c r="Z61" s="349"/>
      <c r="AA61" s="349"/>
      <c r="AB61" s="349"/>
      <c r="AC61" s="349"/>
    </row>
    <row r="62" ht="15.75" spans="1:29">
      <c r="A62" s="373"/>
      <c r="B62" s="378"/>
      <c r="C62" s="379">
        <v>100</v>
      </c>
      <c r="D62" s="379">
        <f>C62-$K14</f>
        <v>100</v>
      </c>
      <c r="E62" s="379">
        <f>D62-$K14</f>
        <v>100</v>
      </c>
      <c r="F62" s="379">
        <f>E62-$K14</f>
        <v>100</v>
      </c>
      <c r="G62" s="379">
        <f>F62-$K14</f>
        <v>100</v>
      </c>
      <c r="H62" s="379"/>
      <c r="I62" s="379"/>
      <c r="J62" s="379"/>
      <c r="K62" s="379"/>
      <c r="L62" s="379"/>
      <c r="M62" s="459"/>
      <c r="N62" s="455"/>
      <c r="O62" s="455"/>
      <c r="P62" s="453"/>
      <c r="Q62" s="442"/>
      <c r="R62" s="349"/>
      <c r="S62" s="349"/>
      <c r="T62" s="349"/>
      <c r="U62" s="349"/>
      <c r="V62" s="349"/>
      <c r="W62" s="349"/>
      <c r="X62" s="349"/>
      <c r="Y62" s="349"/>
      <c r="Z62" s="349"/>
      <c r="AA62" s="349"/>
      <c r="AB62" s="349"/>
      <c r="AC62" s="349"/>
    </row>
    <row r="63" ht="15.75" spans="1:29">
      <c r="A63" s="373"/>
      <c r="B63" s="388" t="s">
        <v>231</v>
      </c>
      <c r="C63" s="389" t="s">
        <v>246</v>
      </c>
      <c r="D63" s="389" t="s">
        <v>258</v>
      </c>
      <c r="E63" s="389" t="s">
        <v>269</v>
      </c>
      <c r="F63" s="389" t="s">
        <v>279</v>
      </c>
      <c r="G63" s="389" t="s">
        <v>287</v>
      </c>
      <c r="H63" s="377"/>
      <c r="I63" s="377"/>
      <c r="J63" s="377"/>
      <c r="K63" s="456"/>
      <c r="L63" s="457"/>
      <c r="M63" s="458"/>
      <c r="N63" s="452"/>
      <c r="O63" s="452"/>
      <c r="P63" s="453"/>
      <c r="Q63" s="442"/>
      <c r="R63" s="349"/>
      <c r="S63" s="349"/>
      <c r="T63" s="349"/>
      <c r="U63" s="349"/>
      <c r="V63" s="349"/>
      <c r="W63" s="349"/>
      <c r="X63" s="349"/>
      <c r="Y63" s="349"/>
      <c r="Z63" s="349"/>
      <c r="AA63" s="349"/>
      <c r="AB63" s="349"/>
      <c r="AC63" s="349"/>
    </row>
    <row r="64" ht="15.75" spans="1:29">
      <c r="A64" s="373"/>
      <c r="B64" s="378"/>
      <c r="C64" s="379">
        <v>100</v>
      </c>
      <c r="D64" s="379">
        <f>C64-$K16</f>
        <v>100</v>
      </c>
      <c r="E64" s="379">
        <f>D64-$K16</f>
        <v>100</v>
      </c>
      <c r="F64" s="379">
        <f>E64-$K16</f>
        <v>100</v>
      </c>
      <c r="G64" s="379">
        <f>F64-$K16</f>
        <v>100</v>
      </c>
      <c r="H64" s="379"/>
      <c r="I64" s="379"/>
      <c r="J64" s="379"/>
      <c r="K64" s="379"/>
      <c r="L64" s="379"/>
      <c r="M64" s="459"/>
      <c r="N64" s="455"/>
      <c r="O64" s="455"/>
      <c r="P64" s="453"/>
      <c r="Q64" s="442"/>
      <c r="R64" s="349"/>
      <c r="S64" s="349"/>
      <c r="T64" s="349"/>
      <c r="U64" s="349"/>
      <c r="V64" s="349"/>
      <c r="W64" s="349"/>
      <c r="X64" s="349"/>
      <c r="Y64" s="349"/>
      <c r="Z64" s="349"/>
      <c r="AA64" s="349"/>
      <c r="AB64" s="349"/>
      <c r="AC64" s="349"/>
    </row>
    <row r="65" ht="15.75" spans="1:29">
      <c r="A65" s="373"/>
      <c r="B65" s="512" t="s">
        <v>232</v>
      </c>
      <c r="C65" s="513" t="s">
        <v>247</v>
      </c>
      <c r="D65" s="513" t="s">
        <v>259</v>
      </c>
      <c r="E65" s="513" t="s">
        <v>270</v>
      </c>
      <c r="F65" s="513" t="s">
        <v>280</v>
      </c>
      <c r="G65" s="513" t="s">
        <v>288</v>
      </c>
      <c r="H65" s="377"/>
      <c r="I65" s="377"/>
      <c r="J65" s="377"/>
      <c r="K65" s="377"/>
      <c r="L65" s="377"/>
      <c r="M65" s="524"/>
      <c r="N65" s="455"/>
      <c r="O65" s="455"/>
      <c r="P65" s="453"/>
      <c r="Q65" s="442"/>
      <c r="R65" s="349"/>
      <c r="S65" s="349"/>
      <c r="T65" s="349"/>
      <c r="U65" s="349"/>
      <c r="V65" s="349"/>
      <c r="W65" s="349"/>
      <c r="X65" s="349"/>
      <c r="Y65" s="349"/>
      <c r="Z65" s="349"/>
      <c r="AA65" s="349"/>
      <c r="AB65" s="349"/>
      <c r="AC65" s="349"/>
    </row>
    <row r="66" ht="15.75" spans="1:29">
      <c r="A66" s="373"/>
      <c r="B66" s="514"/>
      <c r="C66" s="379">
        <v>100</v>
      </c>
      <c r="D66" s="379">
        <f>C66-$K18</f>
        <v>100</v>
      </c>
      <c r="E66" s="379">
        <f>D66-$K18</f>
        <v>100</v>
      </c>
      <c r="F66" s="379">
        <f>E66-$K18</f>
        <v>100</v>
      </c>
      <c r="G66" s="379">
        <f>F66-$K18</f>
        <v>100</v>
      </c>
      <c r="H66" s="380"/>
      <c r="I66" s="380"/>
      <c r="J66" s="380"/>
      <c r="K66" s="380"/>
      <c r="L66" s="380"/>
      <c r="M66" s="278"/>
      <c r="N66" s="455"/>
      <c r="O66" s="455"/>
      <c r="P66" s="453"/>
      <c r="Q66" s="442"/>
      <c r="R66" s="349"/>
      <c r="S66" s="349"/>
      <c r="T66" s="349"/>
      <c r="U66" s="349"/>
      <c r="V66" s="349"/>
      <c r="W66" s="349"/>
      <c r="X66" s="349"/>
      <c r="Y66" s="349"/>
      <c r="Z66" s="349"/>
      <c r="AA66" s="349"/>
      <c r="AB66" s="349"/>
      <c r="AC66" s="349"/>
    </row>
    <row r="67" ht="15.75" spans="1:29">
      <c r="A67" s="373"/>
      <c r="B67" s="376" t="s">
        <v>2353</v>
      </c>
      <c r="C67" s="389" t="s">
        <v>246</v>
      </c>
      <c r="D67" s="389" t="s">
        <v>258</v>
      </c>
      <c r="E67" s="389" t="s">
        <v>269</v>
      </c>
      <c r="F67" s="389" t="s">
        <v>279</v>
      </c>
      <c r="G67" s="389" t="s">
        <v>287</v>
      </c>
      <c r="H67" s="377"/>
      <c r="I67" s="377"/>
      <c r="J67" s="377"/>
      <c r="K67" s="456"/>
      <c r="L67" s="457"/>
      <c r="M67" s="458"/>
      <c r="N67" s="452"/>
      <c r="O67" s="452"/>
      <c r="P67" s="453"/>
      <c r="Q67" s="442"/>
      <c r="R67" s="349"/>
      <c r="S67" s="349"/>
      <c r="T67" s="349"/>
      <c r="U67" s="349"/>
      <c r="V67" s="349"/>
      <c r="W67" s="349"/>
      <c r="X67" s="349"/>
      <c r="Y67" s="349"/>
      <c r="Z67" s="349"/>
      <c r="AA67" s="349"/>
      <c r="AB67" s="349"/>
      <c r="AC67" s="349"/>
    </row>
    <row r="68" ht="15.75" spans="1:29">
      <c r="A68" s="373"/>
      <c r="B68" s="378"/>
      <c r="C68" s="379">
        <v>100</v>
      </c>
      <c r="D68" s="379">
        <f>C68-$K20</f>
        <v>100</v>
      </c>
      <c r="E68" s="379">
        <f>D68-$K20</f>
        <v>100</v>
      </c>
      <c r="F68" s="379">
        <f>E68-$K20</f>
        <v>100</v>
      </c>
      <c r="G68" s="379">
        <f>F68-$K20</f>
        <v>100</v>
      </c>
      <c r="H68" s="379"/>
      <c r="I68" s="379"/>
      <c r="J68" s="379"/>
      <c r="K68" s="379"/>
      <c r="L68" s="379"/>
      <c r="M68" s="459"/>
      <c r="N68" s="455"/>
      <c r="O68" s="455"/>
      <c r="P68" s="453"/>
      <c r="Q68" s="442"/>
      <c r="R68" s="349"/>
      <c r="S68" s="349"/>
      <c r="T68" s="349"/>
      <c r="U68" s="349"/>
      <c r="V68" s="349"/>
      <c r="W68" s="349"/>
      <c r="X68" s="349"/>
      <c r="Y68" s="349"/>
      <c r="Z68" s="349"/>
      <c r="AA68" s="349"/>
      <c r="AB68" s="349"/>
      <c r="AC68" s="349"/>
    </row>
    <row r="69" ht="15.75" spans="1:29">
      <c r="A69" s="373"/>
      <c r="B69" s="376" t="s">
        <v>1566</v>
      </c>
      <c r="C69" s="384"/>
      <c r="D69" s="384"/>
      <c r="E69" s="384"/>
      <c r="F69" s="384"/>
      <c r="G69" s="384"/>
      <c r="H69" s="515"/>
      <c r="I69" s="515"/>
      <c r="J69" s="515"/>
      <c r="K69" s="525"/>
      <c r="L69" s="526"/>
      <c r="M69" s="527"/>
      <c r="N69" s="452"/>
      <c r="O69" s="452"/>
      <c r="P69" s="453"/>
      <c r="Q69" s="442"/>
      <c r="R69" s="349"/>
      <c r="S69" s="349"/>
      <c r="T69" s="349"/>
      <c r="U69" s="349"/>
      <c r="V69" s="349"/>
      <c r="W69" s="349"/>
      <c r="X69" s="349"/>
      <c r="Y69" s="349"/>
      <c r="Z69" s="349"/>
      <c r="AA69" s="349"/>
      <c r="AB69" s="349"/>
      <c r="AC69" s="349"/>
    </row>
    <row r="70" ht="15.75" spans="1:29">
      <c r="A70" s="373"/>
      <c r="B70" s="378"/>
      <c r="C70" s="379">
        <v>100</v>
      </c>
      <c r="D70" s="379">
        <f>C70-$K22</f>
        <v>100</v>
      </c>
      <c r="E70" s="379"/>
      <c r="F70" s="379"/>
      <c r="G70" s="379"/>
      <c r="H70" s="379"/>
      <c r="I70" s="379"/>
      <c r="J70" s="379"/>
      <c r="K70" s="379"/>
      <c r="L70" s="379"/>
      <c r="M70" s="459"/>
      <c r="N70" s="455"/>
      <c r="O70" s="455"/>
      <c r="P70" s="453"/>
      <c r="Q70" s="442"/>
      <c r="R70" s="349"/>
      <c r="S70" s="349"/>
      <c r="T70" s="349"/>
      <c r="U70" s="349"/>
      <c r="V70" s="349"/>
      <c r="W70" s="349"/>
      <c r="X70" s="349"/>
      <c r="Y70" s="349"/>
      <c r="Z70" s="349"/>
      <c r="AA70" s="349"/>
      <c r="AB70" s="349"/>
      <c r="AC70" s="349"/>
    </row>
    <row r="71" s="196" customFormat="1" ht="15.75" spans="1:29">
      <c r="A71" s="516"/>
      <c r="B71" s="376">
        <f>B23</f>
        <v>111</v>
      </c>
      <c r="C71" s="381"/>
      <c r="D71" s="381"/>
      <c r="E71" s="381"/>
      <c r="F71" s="381"/>
      <c r="G71" s="384"/>
      <c r="H71" s="384"/>
      <c r="I71" s="384"/>
      <c r="J71" s="384"/>
      <c r="K71" s="384"/>
      <c r="L71" s="528"/>
      <c r="M71" s="529"/>
      <c r="N71" s="447"/>
      <c r="O71" s="447"/>
      <c r="P71" s="453"/>
      <c r="Q71" s="442"/>
      <c r="R71" s="499"/>
      <c r="S71" s="499"/>
      <c r="T71" s="499"/>
      <c r="U71" s="499"/>
      <c r="V71" s="499"/>
      <c r="W71" s="499"/>
      <c r="X71" s="499"/>
      <c r="Y71" s="499"/>
      <c r="Z71" s="499"/>
      <c r="AA71" s="499"/>
      <c r="AB71" s="499"/>
      <c r="AC71" s="499"/>
    </row>
    <row r="72" s="196" customFormat="1" ht="15.75" spans="1:29">
      <c r="A72" s="516"/>
      <c r="B72" s="378"/>
      <c r="C72" s="382"/>
      <c r="D72" s="375"/>
      <c r="E72" s="375"/>
      <c r="F72" s="375"/>
      <c r="G72" s="375"/>
      <c r="H72" s="375"/>
      <c r="I72" s="375"/>
      <c r="J72" s="375"/>
      <c r="K72" s="375"/>
      <c r="L72" s="375"/>
      <c r="M72" s="454"/>
      <c r="N72" s="455"/>
      <c r="O72" s="455"/>
      <c r="P72" s="453"/>
      <c r="Q72" s="442"/>
      <c r="R72" s="499"/>
      <c r="S72" s="499"/>
      <c r="T72" s="499"/>
      <c r="U72" s="499"/>
      <c r="V72" s="499"/>
      <c r="W72" s="499"/>
      <c r="X72" s="499"/>
      <c r="Y72" s="499"/>
      <c r="Z72" s="499"/>
      <c r="AA72" s="499"/>
      <c r="AB72" s="499"/>
      <c r="AC72" s="499"/>
    </row>
    <row r="73" s="196" customFormat="1" ht="15.75" spans="1:29">
      <c r="A73" s="516"/>
      <c r="B73" s="376">
        <f>B24</f>
        <v>111</v>
      </c>
      <c r="C73" s="381"/>
      <c r="D73" s="381"/>
      <c r="E73" s="381"/>
      <c r="F73" s="381"/>
      <c r="G73" s="384"/>
      <c r="H73" s="384"/>
      <c r="I73" s="384"/>
      <c r="J73" s="384"/>
      <c r="K73" s="384"/>
      <c r="L73" s="384"/>
      <c r="M73" s="529"/>
      <c r="N73" s="447"/>
      <c r="O73" s="447"/>
      <c r="P73" s="453"/>
      <c r="Q73" s="442"/>
      <c r="R73" s="499"/>
      <c r="S73" s="499"/>
      <c r="T73" s="499"/>
      <c r="U73" s="499"/>
      <c r="V73" s="499"/>
      <c r="W73" s="499"/>
      <c r="X73" s="499"/>
      <c r="Y73" s="499"/>
      <c r="Z73" s="499"/>
      <c r="AA73" s="499"/>
      <c r="AB73" s="499"/>
      <c r="AC73" s="499"/>
    </row>
    <row r="74" s="196" customFormat="1" ht="15.75" spans="1:29">
      <c r="A74" s="516"/>
      <c r="B74" s="378"/>
      <c r="C74" s="382"/>
      <c r="D74" s="375"/>
      <c r="E74" s="375"/>
      <c r="F74" s="375"/>
      <c r="G74" s="375"/>
      <c r="H74" s="375"/>
      <c r="I74" s="375"/>
      <c r="J74" s="375"/>
      <c r="K74" s="375"/>
      <c r="L74" s="375"/>
      <c r="M74" s="454"/>
      <c r="N74" s="455"/>
      <c r="O74" s="455"/>
      <c r="P74" s="453"/>
      <c r="Q74" s="442"/>
      <c r="R74" s="499"/>
      <c r="S74" s="499"/>
      <c r="T74" s="499"/>
      <c r="U74" s="499"/>
      <c r="V74" s="499"/>
      <c r="W74" s="499"/>
      <c r="X74" s="499"/>
      <c r="Y74" s="499"/>
      <c r="Z74" s="499"/>
      <c r="AA74" s="499"/>
      <c r="AB74" s="499"/>
      <c r="AC74" s="499"/>
    </row>
    <row r="75" s="198" customFormat="1" ht="15.75" spans="1:29">
      <c r="A75" s="383"/>
      <c r="B75" s="376">
        <f>B25</f>
        <v>111</v>
      </c>
      <c r="C75" s="381"/>
      <c r="D75" s="381"/>
      <c r="E75" s="381"/>
      <c r="F75" s="381"/>
      <c r="G75" s="384"/>
      <c r="H75" s="385"/>
      <c r="I75" s="385"/>
      <c r="J75" s="385"/>
      <c r="K75" s="385"/>
      <c r="L75" s="463"/>
      <c r="M75" s="464"/>
      <c r="N75" s="465"/>
      <c r="O75" s="465"/>
      <c r="P75" s="466"/>
      <c r="Q75" s="500"/>
      <c r="R75" s="501"/>
      <c r="S75" s="501"/>
      <c r="T75" s="501"/>
      <c r="U75" s="501"/>
      <c r="V75" s="501"/>
      <c r="W75" s="501"/>
      <c r="X75" s="501"/>
      <c r="Y75" s="501"/>
      <c r="Z75" s="501"/>
      <c r="AA75" s="501"/>
      <c r="AB75" s="501"/>
      <c r="AC75" s="501"/>
    </row>
    <row r="76" s="198" customFormat="1" ht="15.75" spans="1:29">
      <c r="A76" s="383"/>
      <c r="B76" s="378"/>
      <c r="C76" s="382"/>
      <c r="D76" s="382"/>
      <c r="E76" s="382"/>
      <c r="F76" s="382"/>
      <c r="G76" s="375"/>
      <c r="H76" s="375"/>
      <c r="I76" s="375"/>
      <c r="J76" s="375"/>
      <c r="K76" s="375"/>
      <c r="L76" s="375"/>
      <c r="M76" s="454"/>
      <c r="N76" s="465"/>
      <c r="O76" s="465"/>
      <c r="P76" s="466"/>
      <c r="Q76" s="500"/>
      <c r="R76" s="501"/>
      <c r="S76" s="501"/>
      <c r="T76" s="501"/>
      <c r="U76" s="501"/>
      <c r="V76" s="501"/>
      <c r="W76" s="501"/>
      <c r="X76" s="501"/>
      <c r="Y76" s="501"/>
      <c r="Z76" s="501"/>
      <c r="AA76" s="501"/>
      <c r="AB76" s="501"/>
      <c r="AC76" s="501"/>
    </row>
    <row r="77" ht="15" spans="1:29">
      <c r="A77" s="369" t="s">
        <v>1362</v>
      </c>
      <c r="B77" s="370" t="s">
        <v>1573</v>
      </c>
      <c r="C77" s="384"/>
      <c r="D77" s="384"/>
      <c r="E77" s="372"/>
      <c r="F77" s="372"/>
      <c r="G77" s="372"/>
      <c r="H77" s="372"/>
      <c r="I77" s="372"/>
      <c r="J77" s="372"/>
      <c r="K77" s="449"/>
      <c r="L77" s="450"/>
      <c r="M77" s="451"/>
      <c r="N77" s="452"/>
      <c r="O77" s="452"/>
      <c r="P77" s="453"/>
      <c r="Q77" s="442"/>
      <c r="R77" s="349"/>
      <c r="S77" s="349"/>
      <c r="T77" s="349"/>
      <c r="U77" s="349"/>
      <c r="V77" s="349"/>
      <c r="W77" s="349"/>
      <c r="X77" s="349"/>
      <c r="Y77" s="349"/>
      <c r="Z77" s="349"/>
      <c r="AA77" s="349"/>
      <c r="AB77" s="349"/>
      <c r="AC77" s="349"/>
    </row>
    <row r="78" ht="15.75" spans="1:29">
      <c r="A78" s="373"/>
      <c r="B78" s="378"/>
      <c r="C78" s="379">
        <v>100</v>
      </c>
      <c r="D78" s="379">
        <f t="shared" ref="D78:M78" si="17">C78-$K26</f>
        <v>100</v>
      </c>
      <c r="E78" s="379">
        <f t="shared" si="17"/>
        <v>100</v>
      </c>
      <c r="F78" s="379">
        <f t="shared" si="17"/>
        <v>100</v>
      </c>
      <c r="G78" s="379">
        <f t="shared" si="17"/>
        <v>100</v>
      </c>
      <c r="H78" s="379">
        <f t="shared" si="17"/>
        <v>100</v>
      </c>
      <c r="I78" s="379">
        <f t="shared" si="17"/>
        <v>100</v>
      </c>
      <c r="J78" s="379">
        <f t="shared" si="17"/>
        <v>100</v>
      </c>
      <c r="K78" s="379">
        <f t="shared" si="17"/>
        <v>100</v>
      </c>
      <c r="L78" s="379">
        <f t="shared" si="17"/>
        <v>100</v>
      </c>
      <c r="M78" s="459">
        <f t="shared" si="17"/>
        <v>100</v>
      </c>
      <c r="N78" s="455"/>
      <c r="O78" s="455"/>
      <c r="P78" s="453"/>
      <c r="Q78" s="442"/>
      <c r="R78" s="349"/>
      <c r="S78" s="349"/>
      <c r="T78" s="349"/>
      <c r="U78" s="349"/>
      <c r="V78" s="349"/>
      <c r="W78" s="349"/>
      <c r="X78" s="349"/>
      <c r="Y78" s="349"/>
      <c r="Z78" s="349"/>
      <c r="AA78" s="349"/>
      <c r="AB78" s="349"/>
      <c r="AC78" s="349"/>
    </row>
    <row r="79" ht="15.75" spans="1:29">
      <c r="A79" s="373"/>
      <c r="B79" s="376" t="s">
        <v>2390</v>
      </c>
      <c r="C79" s="389" t="str">
        <f>C80&amp;"(含)"&amp;"-"&amp;D80</f>
        <v>0.5(含)-0.6</v>
      </c>
      <c r="D79" s="389" t="str">
        <f>D80&amp;"(含)"&amp;"-"&amp;E80</f>
        <v>0.6(含)-0.7</v>
      </c>
      <c r="E79" s="389" t="str">
        <f>E80&amp;"(含)"&amp;"-"&amp;F80</f>
        <v>0.7(含)-0.8</v>
      </c>
      <c r="F79" s="389" t="str">
        <f>F80&amp;"(含)"&amp;"-"&amp;G80</f>
        <v>0.8(含)-0.9</v>
      </c>
      <c r="G79" s="389" t="str">
        <f>G80&amp;"(含)"&amp;"-"&amp;ROUND(H80,0)</f>
        <v>0.9(含)-1</v>
      </c>
      <c r="H79" s="389"/>
      <c r="I79" s="377"/>
      <c r="J79" s="377"/>
      <c r="K79" s="456"/>
      <c r="L79" s="457"/>
      <c r="M79" s="458"/>
      <c r="N79" s="447"/>
      <c r="O79" s="447"/>
      <c r="P79" s="453"/>
      <c r="Q79" s="442"/>
      <c r="R79" s="349"/>
      <c r="S79" s="349"/>
      <c r="T79" s="349"/>
      <c r="U79" s="349"/>
      <c r="V79" s="349"/>
      <c r="W79" s="349"/>
      <c r="X79" s="349"/>
      <c r="Y79" s="349"/>
      <c r="Z79" s="349"/>
      <c r="AA79" s="349"/>
      <c r="AB79" s="349"/>
      <c r="AC79" s="349"/>
    </row>
    <row r="80" ht="15" spans="1:29">
      <c r="A80" s="373"/>
      <c r="B80" s="514"/>
      <c r="C80" s="517">
        <v>0.5</v>
      </c>
      <c r="D80" s="517">
        <v>0.6</v>
      </c>
      <c r="E80" s="517">
        <v>0.7</v>
      </c>
      <c r="F80" s="517">
        <v>0.8</v>
      </c>
      <c r="G80" s="517">
        <v>0.9</v>
      </c>
      <c r="H80" s="517">
        <v>1.0001</v>
      </c>
      <c r="I80" s="380"/>
      <c r="J80" s="380"/>
      <c r="K80" s="530"/>
      <c r="L80" s="531"/>
      <c r="M80" s="532"/>
      <c r="N80" s="447"/>
      <c r="O80" s="447"/>
      <c r="P80" s="453"/>
      <c r="Q80" s="442"/>
      <c r="R80" s="349"/>
      <c r="S80" s="349"/>
      <c r="T80" s="349"/>
      <c r="U80" s="349"/>
      <c r="V80" s="349"/>
      <c r="W80" s="349"/>
      <c r="X80" s="349"/>
      <c r="Y80" s="349"/>
      <c r="Z80" s="349"/>
      <c r="AA80" s="349"/>
      <c r="AB80" s="349"/>
      <c r="AC80" s="349"/>
    </row>
    <row r="81" s="198" customFormat="1" ht="15.75" spans="1:29">
      <c r="A81" s="383"/>
      <c r="B81" s="378"/>
      <c r="C81" s="518">
        <v>100</v>
      </c>
      <c r="D81" s="379">
        <f t="shared" ref="D81:M81" si="18">C81+$K27</f>
        <v>100</v>
      </c>
      <c r="E81" s="379">
        <f t="shared" si="18"/>
        <v>100</v>
      </c>
      <c r="F81" s="379">
        <f t="shared" si="18"/>
        <v>100</v>
      </c>
      <c r="G81" s="379">
        <f t="shared" si="18"/>
        <v>100</v>
      </c>
      <c r="H81" s="379">
        <f t="shared" si="18"/>
        <v>100</v>
      </c>
      <c r="I81" s="379">
        <f t="shared" si="18"/>
        <v>100</v>
      </c>
      <c r="J81" s="379">
        <f t="shared" si="18"/>
        <v>100</v>
      </c>
      <c r="K81" s="379">
        <f t="shared" si="18"/>
        <v>100</v>
      </c>
      <c r="L81" s="379">
        <f t="shared" si="18"/>
        <v>100</v>
      </c>
      <c r="M81" s="379">
        <f t="shared" si="18"/>
        <v>100</v>
      </c>
      <c r="N81" s="455"/>
      <c r="O81" s="455"/>
      <c r="P81" s="466"/>
      <c r="Q81" s="500"/>
      <c r="R81" s="501"/>
      <c r="S81" s="501"/>
      <c r="T81" s="501"/>
      <c r="U81" s="501"/>
      <c r="V81" s="501"/>
      <c r="W81" s="501"/>
      <c r="X81" s="501"/>
      <c r="Y81" s="501"/>
      <c r="Z81" s="501"/>
      <c r="AA81" s="501"/>
      <c r="AB81" s="501"/>
      <c r="AC81" s="501"/>
    </row>
    <row r="82" ht="15.75" spans="1:29">
      <c r="A82" s="519"/>
      <c r="B82" s="514" t="s">
        <v>2391</v>
      </c>
      <c r="C82" s="384"/>
      <c r="D82" s="384"/>
      <c r="E82" s="515"/>
      <c r="F82" s="515"/>
      <c r="G82" s="515"/>
      <c r="H82" s="515"/>
      <c r="I82" s="515"/>
      <c r="J82" s="515"/>
      <c r="K82" s="525"/>
      <c r="L82" s="526"/>
      <c r="M82" s="527"/>
      <c r="N82" s="452"/>
      <c r="O82" s="452"/>
      <c r="P82" s="453"/>
      <c r="Q82" s="442"/>
      <c r="R82" s="349"/>
      <c r="S82" s="349"/>
      <c r="T82" s="349"/>
      <c r="U82" s="349"/>
      <c r="V82" s="349"/>
      <c r="W82" s="349"/>
      <c r="X82" s="349"/>
      <c r="Y82" s="349"/>
      <c r="Z82" s="349"/>
      <c r="AA82" s="349"/>
      <c r="AB82" s="349"/>
      <c r="AC82" s="349"/>
    </row>
    <row r="83" ht="15.75" spans="1:29">
      <c r="A83" s="373"/>
      <c r="B83" s="378"/>
      <c r="C83" s="379">
        <v>100</v>
      </c>
      <c r="D83" s="379">
        <f t="shared" ref="D83:M83" si="19">C83-$K28</f>
        <v>100</v>
      </c>
      <c r="E83" s="379">
        <f t="shared" si="19"/>
        <v>100</v>
      </c>
      <c r="F83" s="379">
        <f t="shared" si="19"/>
        <v>100</v>
      </c>
      <c r="G83" s="379">
        <f t="shared" si="19"/>
        <v>100</v>
      </c>
      <c r="H83" s="379">
        <f t="shared" si="19"/>
        <v>100</v>
      </c>
      <c r="I83" s="379">
        <f t="shared" si="19"/>
        <v>100</v>
      </c>
      <c r="J83" s="379">
        <f t="shared" si="19"/>
        <v>100</v>
      </c>
      <c r="K83" s="379">
        <f t="shared" si="19"/>
        <v>100</v>
      </c>
      <c r="L83" s="379">
        <f t="shared" si="19"/>
        <v>100</v>
      </c>
      <c r="M83" s="459">
        <f t="shared" si="19"/>
        <v>100</v>
      </c>
      <c r="N83" s="455"/>
      <c r="O83" s="455"/>
      <c r="P83" s="453"/>
      <c r="Q83" s="442"/>
      <c r="R83" s="349"/>
      <c r="S83" s="349"/>
      <c r="T83" s="349"/>
      <c r="U83" s="349"/>
      <c r="V83" s="349"/>
      <c r="W83" s="349"/>
      <c r="X83" s="349"/>
      <c r="Y83" s="349"/>
      <c r="Z83" s="349"/>
      <c r="AA83" s="349"/>
      <c r="AB83" s="349"/>
      <c r="AC83" s="349"/>
    </row>
    <row r="84" ht="15.75" spans="1:29">
      <c r="A84" s="519"/>
      <c r="B84" s="376" t="s">
        <v>2397</v>
      </c>
      <c r="C84" s="384"/>
      <c r="D84" s="384"/>
      <c r="E84" s="384"/>
      <c r="F84" s="384"/>
      <c r="G84" s="384"/>
      <c r="H84" s="384"/>
      <c r="I84" s="515"/>
      <c r="J84" s="515"/>
      <c r="K84" s="525"/>
      <c r="L84" s="526"/>
      <c r="M84" s="527"/>
      <c r="N84" s="452"/>
      <c r="O84" s="452"/>
      <c r="P84" s="453"/>
      <c r="Q84" s="442"/>
      <c r="R84" s="349"/>
      <c r="S84" s="349"/>
      <c r="T84" s="349"/>
      <c r="U84" s="349"/>
      <c r="V84" s="349"/>
      <c r="W84" s="349"/>
      <c r="X84" s="349"/>
      <c r="Y84" s="349"/>
      <c r="Z84" s="349"/>
      <c r="AA84" s="349"/>
      <c r="AB84" s="349"/>
      <c r="AC84" s="349"/>
    </row>
    <row r="85" ht="15.75" spans="1:29">
      <c r="A85" s="373"/>
      <c r="B85" s="378"/>
      <c r="C85" s="518">
        <v>100</v>
      </c>
      <c r="D85" s="379">
        <f t="shared" ref="D85:M85" si="20">C85+$K29</f>
        <v>100</v>
      </c>
      <c r="E85" s="379">
        <f t="shared" si="20"/>
        <v>100</v>
      </c>
      <c r="F85" s="379">
        <f t="shared" si="20"/>
        <v>100</v>
      </c>
      <c r="G85" s="379">
        <f t="shared" si="20"/>
        <v>100</v>
      </c>
      <c r="H85" s="379">
        <f t="shared" si="20"/>
        <v>100</v>
      </c>
      <c r="I85" s="379">
        <f t="shared" si="20"/>
        <v>100</v>
      </c>
      <c r="J85" s="379">
        <f t="shared" si="20"/>
        <v>100</v>
      </c>
      <c r="K85" s="379">
        <f t="shared" si="20"/>
        <v>100</v>
      </c>
      <c r="L85" s="379">
        <f t="shared" si="20"/>
        <v>100</v>
      </c>
      <c r="M85" s="379">
        <f t="shared" si="20"/>
        <v>100</v>
      </c>
      <c r="N85" s="455"/>
      <c r="O85" s="455"/>
      <c r="P85" s="453"/>
      <c r="Q85" s="442"/>
      <c r="R85" s="349"/>
      <c r="S85" s="349"/>
      <c r="T85" s="349"/>
      <c r="U85" s="349"/>
      <c r="V85" s="349"/>
      <c r="W85" s="349"/>
      <c r="X85" s="349"/>
      <c r="Y85" s="349"/>
      <c r="Z85" s="349"/>
      <c r="AA85" s="349"/>
      <c r="AB85" s="349"/>
      <c r="AC85" s="349"/>
    </row>
    <row r="86" ht="15.75" spans="1:29">
      <c r="A86" s="519"/>
      <c r="B86" s="514" t="s">
        <v>563</v>
      </c>
      <c r="C86" s="389" t="str">
        <f t="shared" ref="C86:L86" si="21">C87&amp;"(含)"&amp;"-"&amp;D87</f>
        <v>(含)-</v>
      </c>
      <c r="D86" s="389" t="str">
        <f t="shared" si="21"/>
        <v>(含)-</v>
      </c>
      <c r="E86" s="389" t="str">
        <f t="shared" si="21"/>
        <v>(含)-</v>
      </c>
      <c r="F86" s="389" t="str">
        <f t="shared" si="21"/>
        <v>(含)-</v>
      </c>
      <c r="G86" s="389" t="str">
        <f t="shared" si="21"/>
        <v>(含)-</v>
      </c>
      <c r="H86" s="389" t="str">
        <f t="shared" si="21"/>
        <v>(含)-</v>
      </c>
      <c r="I86" s="389" t="str">
        <f t="shared" si="21"/>
        <v>(含)-</v>
      </c>
      <c r="J86" s="389" t="str">
        <f t="shared" si="21"/>
        <v>(含)-</v>
      </c>
      <c r="K86" s="389" t="str">
        <f t="shared" si="21"/>
        <v>(含)-</v>
      </c>
      <c r="L86" s="389" t="str">
        <f t="shared" si="21"/>
        <v>(含)-</v>
      </c>
      <c r="M86" s="533" t="str">
        <f>M87&amp;"(含)"&amp;"-"&amp;P87</f>
        <v>(含)-</v>
      </c>
      <c r="N86" s="452"/>
      <c r="O86" s="452"/>
      <c r="P86" s="453"/>
      <c r="Q86" s="442"/>
      <c r="R86" s="349"/>
      <c r="S86" s="349"/>
      <c r="T86" s="349"/>
      <c r="U86" s="349"/>
      <c r="V86" s="349"/>
      <c r="W86" s="349"/>
      <c r="X86" s="349"/>
      <c r="Y86" s="349"/>
      <c r="Z86" s="349"/>
      <c r="AA86" s="349"/>
      <c r="AB86" s="349"/>
      <c r="AC86" s="349"/>
    </row>
    <row r="87" ht="15" spans="1:29">
      <c r="A87" s="519"/>
      <c r="B87" s="514"/>
      <c r="C87" s="520"/>
      <c r="D87" s="520"/>
      <c r="E87" s="520"/>
      <c r="F87" s="520"/>
      <c r="G87" s="520"/>
      <c r="H87" s="520"/>
      <c r="I87" s="520"/>
      <c r="J87" s="534"/>
      <c r="K87" s="534"/>
      <c r="L87" s="535"/>
      <c r="M87" s="536"/>
      <c r="N87" s="452"/>
      <c r="O87" s="452"/>
      <c r="P87" s="453"/>
      <c r="Q87" s="442"/>
      <c r="R87" s="349"/>
      <c r="S87" s="349"/>
      <c r="T87" s="349"/>
      <c r="U87" s="349"/>
      <c r="V87" s="349"/>
      <c r="W87" s="349"/>
      <c r="X87" s="349"/>
      <c r="Y87" s="349"/>
      <c r="Z87" s="349"/>
      <c r="AA87" s="349"/>
      <c r="AB87" s="349"/>
      <c r="AC87" s="349"/>
    </row>
    <row r="88" ht="15.75" spans="1:29">
      <c r="A88" s="373"/>
      <c r="B88" s="378"/>
      <c r="C88" s="382"/>
      <c r="D88" s="375"/>
      <c r="E88" s="375"/>
      <c r="F88" s="375"/>
      <c r="G88" s="375"/>
      <c r="H88" s="375"/>
      <c r="I88" s="375"/>
      <c r="J88" s="375"/>
      <c r="K88" s="375"/>
      <c r="L88" s="375"/>
      <c r="M88" s="375"/>
      <c r="N88" s="455"/>
      <c r="O88" s="455"/>
      <c r="P88" s="453"/>
      <c r="Q88" s="442"/>
      <c r="R88" s="349"/>
      <c r="S88" s="349"/>
      <c r="T88" s="349"/>
      <c r="U88" s="349"/>
      <c r="V88" s="349"/>
      <c r="W88" s="349"/>
      <c r="X88" s="349"/>
      <c r="Y88" s="349"/>
      <c r="Z88" s="349"/>
      <c r="AA88" s="349"/>
      <c r="AB88" s="349"/>
      <c r="AC88" s="349"/>
    </row>
    <row r="89" s="198" customFormat="1" ht="15.75" spans="1:29">
      <c r="A89" s="521"/>
      <c r="B89" s="376" t="s">
        <v>2398</v>
      </c>
      <c r="C89" s="384"/>
      <c r="D89" s="384"/>
      <c r="E89" s="384"/>
      <c r="F89" s="384"/>
      <c r="G89" s="384"/>
      <c r="H89" s="384"/>
      <c r="I89" s="384"/>
      <c r="J89" s="384"/>
      <c r="K89" s="384"/>
      <c r="L89" s="384"/>
      <c r="M89" s="529"/>
      <c r="N89" s="465"/>
      <c r="O89" s="465"/>
      <c r="P89" s="466"/>
      <c r="Q89" s="500"/>
      <c r="R89" s="501"/>
      <c r="S89" s="501"/>
      <c r="T89" s="501"/>
      <c r="U89" s="501"/>
      <c r="V89" s="501"/>
      <c r="W89" s="501"/>
      <c r="X89" s="501"/>
      <c r="Y89" s="501"/>
      <c r="Z89" s="501"/>
      <c r="AA89" s="501"/>
      <c r="AB89" s="501"/>
      <c r="AC89" s="501"/>
    </row>
    <row r="90" s="198" customFormat="1" ht="15.75" spans="1:29">
      <c r="A90" s="383"/>
      <c r="B90" s="378"/>
      <c r="C90" s="382"/>
      <c r="D90" s="375"/>
      <c r="E90" s="375"/>
      <c r="F90" s="375"/>
      <c r="G90" s="375"/>
      <c r="H90" s="375"/>
      <c r="I90" s="375"/>
      <c r="J90" s="375"/>
      <c r="K90" s="375"/>
      <c r="L90" s="375"/>
      <c r="M90" s="454"/>
      <c r="N90" s="465"/>
      <c r="O90" s="465"/>
      <c r="P90" s="466"/>
      <c r="Q90" s="500"/>
      <c r="R90" s="501"/>
      <c r="S90" s="501"/>
      <c r="T90" s="501"/>
      <c r="U90" s="501"/>
      <c r="V90" s="501"/>
      <c r="W90" s="501"/>
      <c r="X90" s="501"/>
      <c r="Y90" s="501"/>
      <c r="Z90" s="501"/>
      <c r="AA90" s="501"/>
      <c r="AB90" s="501"/>
      <c r="AC90" s="501"/>
    </row>
    <row r="91" ht="15.75" spans="1:29">
      <c r="A91" s="519"/>
      <c r="B91" s="376">
        <f>B32</f>
        <v>111</v>
      </c>
      <c r="C91" s="381"/>
      <c r="D91" s="381"/>
      <c r="E91" s="381"/>
      <c r="F91" s="381"/>
      <c r="G91" s="384"/>
      <c r="H91" s="385"/>
      <c r="I91" s="385"/>
      <c r="J91" s="385"/>
      <c r="K91" s="385"/>
      <c r="L91" s="463"/>
      <c r="M91" s="464"/>
      <c r="N91" s="452"/>
      <c r="O91" s="452"/>
      <c r="P91" s="453"/>
      <c r="Q91" s="442"/>
      <c r="R91" s="349"/>
      <c r="S91" s="349"/>
      <c r="T91" s="349"/>
      <c r="U91" s="349"/>
      <c r="V91" s="349"/>
      <c r="W91" s="349"/>
      <c r="X91" s="349"/>
      <c r="Y91" s="349"/>
      <c r="Z91" s="349"/>
      <c r="AA91" s="349"/>
      <c r="AB91" s="349"/>
      <c r="AC91" s="349"/>
    </row>
    <row r="92" ht="15.75" spans="1:29">
      <c r="A92" s="373"/>
      <c r="B92" s="378"/>
      <c r="C92" s="382"/>
      <c r="D92" s="375"/>
      <c r="E92" s="375"/>
      <c r="F92" s="375"/>
      <c r="G92" s="382"/>
      <c r="H92" s="386"/>
      <c r="I92" s="386"/>
      <c r="J92" s="386"/>
      <c r="K92" s="386"/>
      <c r="L92" s="386"/>
      <c r="M92" s="467"/>
      <c r="N92" s="455"/>
      <c r="O92" s="455"/>
      <c r="P92" s="453"/>
      <c r="Q92" s="442"/>
      <c r="R92" s="349"/>
      <c r="S92" s="349"/>
      <c r="T92" s="349"/>
      <c r="U92" s="349"/>
      <c r="V92" s="349"/>
      <c r="W92" s="349"/>
      <c r="X92" s="349"/>
      <c r="Y92" s="349"/>
      <c r="Z92" s="349"/>
      <c r="AA92" s="349"/>
      <c r="AB92" s="349"/>
      <c r="AC92" s="349"/>
    </row>
    <row r="93" ht="15.75" spans="1:29">
      <c r="A93" s="519"/>
      <c r="B93" s="376">
        <f>B33</f>
        <v>111</v>
      </c>
      <c r="C93" s="381"/>
      <c r="D93" s="381"/>
      <c r="E93" s="381"/>
      <c r="F93" s="381"/>
      <c r="G93" s="384"/>
      <c r="H93" s="385"/>
      <c r="I93" s="385"/>
      <c r="J93" s="385"/>
      <c r="K93" s="385"/>
      <c r="L93" s="463"/>
      <c r="M93" s="464"/>
      <c r="N93" s="452"/>
      <c r="O93" s="452"/>
      <c r="P93" s="453"/>
      <c r="Q93" s="442"/>
      <c r="R93" s="349"/>
      <c r="S93" s="349"/>
      <c r="T93" s="349"/>
      <c r="U93" s="349"/>
      <c r="V93" s="349"/>
      <c r="W93" s="349"/>
      <c r="X93" s="349"/>
      <c r="Y93" s="349"/>
      <c r="Z93" s="349"/>
      <c r="AA93" s="349"/>
      <c r="AB93" s="349"/>
      <c r="AC93" s="349"/>
    </row>
    <row r="94" ht="15.75" spans="1:29">
      <c r="A94" s="373"/>
      <c r="B94" s="378"/>
      <c r="C94" s="382"/>
      <c r="D94" s="375"/>
      <c r="E94" s="375"/>
      <c r="F94" s="375"/>
      <c r="G94" s="382"/>
      <c r="H94" s="386"/>
      <c r="I94" s="386"/>
      <c r="J94" s="386"/>
      <c r="K94" s="386"/>
      <c r="L94" s="386"/>
      <c r="M94" s="467"/>
      <c r="N94" s="455"/>
      <c r="O94" s="455"/>
      <c r="P94" s="453"/>
      <c r="Q94" s="442"/>
      <c r="R94" s="349"/>
      <c r="S94" s="349"/>
      <c r="T94" s="349"/>
      <c r="U94" s="349"/>
      <c r="V94" s="349"/>
      <c r="W94" s="349"/>
      <c r="X94" s="349"/>
      <c r="Y94" s="349"/>
      <c r="Z94" s="349"/>
      <c r="AA94" s="349"/>
      <c r="AB94" s="349"/>
      <c r="AC94" s="349"/>
    </row>
    <row r="95" ht="15.75" spans="1:29">
      <c r="A95" s="519"/>
      <c r="B95" s="522">
        <f>B34</f>
        <v>111</v>
      </c>
      <c r="C95" s="381"/>
      <c r="D95" s="381"/>
      <c r="E95" s="381"/>
      <c r="F95" s="381"/>
      <c r="G95" s="384"/>
      <c r="H95" s="385"/>
      <c r="I95" s="385"/>
      <c r="J95" s="385"/>
      <c r="K95" s="385"/>
      <c r="L95" s="463"/>
      <c r="M95" s="464"/>
      <c r="N95" s="455"/>
      <c r="O95" s="455"/>
      <c r="P95" s="537"/>
      <c r="Q95" s="540"/>
      <c r="R95" s="349"/>
      <c r="S95" s="349"/>
      <c r="T95" s="349"/>
      <c r="U95" s="349"/>
      <c r="V95" s="349"/>
      <c r="W95" s="349"/>
      <c r="X95" s="349"/>
      <c r="Y95" s="349"/>
      <c r="Z95" s="349"/>
      <c r="AA95" s="349"/>
      <c r="AB95" s="349"/>
      <c r="AC95" s="349"/>
    </row>
    <row r="96" ht="15.75" spans="1:29">
      <c r="A96" s="373"/>
      <c r="B96" s="378"/>
      <c r="C96" s="382"/>
      <c r="D96" s="382"/>
      <c r="E96" s="382"/>
      <c r="F96" s="382"/>
      <c r="G96" s="382"/>
      <c r="H96" s="386"/>
      <c r="I96" s="386"/>
      <c r="J96" s="386"/>
      <c r="K96" s="386"/>
      <c r="L96" s="386"/>
      <c r="M96" s="467"/>
      <c r="N96" s="455"/>
      <c r="O96" s="455"/>
      <c r="P96" s="453"/>
      <c r="Q96" s="442"/>
      <c r="R96" s="349"/>
      <c r="S96" s="349"/>
      <c r="T96" s="349"/>
      <c r="U96" s="349"/>
      <c r="V96" s="349"/>
      <c r="W96" s="349"/>
      <c r="X96" s="349"/>
      <c r="Y96" s="349"/>
      <c r="Z96" s="349"/>
      <c r="AA96" s="349"/>
      <c r="AB96" s="349"/>
      <c r="AC96" s="349"/>
    </row>
    <row r="97" ht="15" spans="1:29">
      <c r="A97" s="523"/>
      <c r="B97" s="523"/>
      <c r="C97" s="523"/>
      <c r="D97" s="523"/>
      <c r="E97" s="523"/>
      <c r="F97" s="523"/>
      <c r="G97" s="523"/>
      <c r="H97" s="523"/>
      <c r="I97" s="523"/>
      <c r="J97" s="523"/>
      <c r="K97" s="538"/>
      <c r="L97" s="539"/>
      <c r="M97" s="523"/>
      <c r="N97" s="523"/>
      <c r="O97" s="523"/>
      <c r="P97" s="523"/>
      <c r="Q97" s="523"/>
      <c r="R97" s="523"/>
      <c r="S97" s="523"/>
      <c r="T97" s="523"/>
      <c r="U97" s="523"/>
      <c r="V97" s="523"/>
      <c r="W97" s="523"/>
      <c r="X97" s="523"/>
      <c r="Y97" s="523"/>
      <c r="Z97" s="523"/>
      <c r="AA97" s="523"/>
      <c r="AB97" s="523"/>
      <c r="AC97" s="523"/>
    </row>
    <row r="98" spans="1:29">
      <c r="A98" s="523"/>
      <c r="B98" s="523"/>
      <c r="C98" s="523"/>
      <c r="D98" s="523"/>
      <c r="E98" s="523"/>
      <c r="F98" s="523"/>
      <c r="G98" s="523"/>
      <c r="H98" s="523"/>
      <c r="I98" s="523"/>
      <c r="J98" s="523"/>
      <c r="K98" s="538"/>
      <c r="L98" s="539"/>
      <c r="M98" s="523"/>
      <c r="N98" s="523"/>
      <c r="O98" s="523"/>
      <c r="P98" s="523"/>
      <c r="Q98" s="523"/>
      <c r="R98" s="523"/>
      <c r="S98" s="523"/>
      <c r="T98" s="523"/>
      <c r="U98" s="523"/>
      <c r="V98" s="523"/>
      <c r="W98" s="523"/>
      <c r="X98" s="523"/>
      <c r="Y98" s="523"/>
      <c r="Z98" s="523"/>
      <c r="AA98" s="523"/>
      <c r="AB98" s="523"/>
      <c r="AC98" s="523"/>
    </row>
    <row r="99" spans="1:29">
      <c r="A99" s="523"/>
      <c r="B99" s="523"/>
      <c r="C99" s="523"/>
      <c r="D99" s="523"/>
      <c r="E99" s="523"/>
      <c r="F99" s="523"/>
      <c r="G99" s="523"/>
      <c r="H99" s="523"/>
      <c r="I99" s="523"/>
      <c r="J99" s="523"/>
      <c r="K99" s="538"/>
      <c r="L99" s="539"/>
      <c r="M99" s="523"/>
      <c r="N99" s="523"/>
      <c r="O99" s="523"/>
      <c r="P99" s="523"/>
      <c r="Q99" s="523"/>
      <c r="R99" s="523"/>
      <c r="S99" s="523"/>
      <c r="T99" s="523"/>
      <c r="U99" s="523"/>
      <c r="V99" s="523"/>
      <c r="W99" s="523"/>
      <c r="X99" s="523"/>
      <c r="Y99" s="523"/>
      <c r="Z99" s="523"/>
      <c r="AA99" s="523"/>
      <c r="AB99" s="523"/>
      <c r="AC99" s="523"/>
    </row>
    <row r="100" spans="1:29">
      <c r="A100" s="523"/>
      <c r="B100" s="523"/>
      <c r="C100" s="523"/>
      <c r="D100" s="523"/>
      <c r="E100" s="523"/>
      <c r="F100" s="523"/>
      <c r="G100" s="523"/>
      <c r="H100" s="523"/>
      <c r="I100" s="523"/>
      <c r="J100" s="523"/>
      <c r="K100" s="538"/>
      <c r="L100" s="539"/>
      <c r="M100" s="523"/>
      <c r="N100" s="523"/>
      <c r="O100" s="523"/>
      <c r="P100" s="523"/>
      <c r="Q100" s="523"/>
      <c r="R100" s="523"/>
      <c r="S100" s="523"/>
      <c r="T100" s="523"/>
      <c r="U100" s="523"/>
      <c r="V100" s="523"/>
      <c r="W100" s="523"/>
      <c r="X100" s="523"/>
      <c r="Y100" s="523"/>
      <c r="Z100" s="523"/>
      <c r="AA100" s="523"/>
      <c r="AB100" s="523"/>
      <c r="AC100" s="523"/>
    </row>
    <row r="101" spans="1:29">
      <c r="A101" s="523"/>
      <c r="B101" s="523"/>
      <c r="C101" s="523"/>
      <c r="D101" s="523"/>
      <c r="E101" s="523"/>
      <c r="F101" s="523"/>
      <c r="G101" s="523"/>
      <c r="H101" s="523"/>
      <c r="I101" s="523"/>
      <c r="J101" s="523"/>
      <c r="K101" s="538"/>
      <c r="L101" s="539"/>
      <c r="M101" s="523"/>
      <c r="N101" s="523"/>
      <c r="O101" s="523"/>
      <c r="P101" s="523"/>
      <c r="Q101" s="523"/>
      <c r="R101" s="523"/>
      <c r="S101" s="523"/>
      <c r="T101" s="523"/>
      <c r="U101" s="523"/>
      <c r="V101" s="523"/>
      <c r="W101" s="523"/>
      <c r="X101" s="523"/>
      <c r="Y101" s="523"/>
      <c r="Z101" s="523"/>
      <c r="AA101" s="523"/>
      <c r="AB101" s="523"/>
      <c r="AC101" s="523"/>
    </row>
    <row r="102" spans="1:29">
      <c r="A102" s="523"/>
      <c r="B102" s="523"/>
      <c r="C102" s="523"/>
      <c r="D102" s="523"/>
      <c r="E102" s="523"/>
      <c r="F102" s="523"/>
      <c r="G102" s="523"/>
      <c r="H102" s="523"/>
      <c r="I102" s="523"/>
      <c r="J102" s="523"/>
      <c r="K102" s="538"/>
      <c r="L102" s="539"/>
      <c r="M102" s="523"/>
      <c r="N102" s="523"/>
      <c r="O102" s="523"/>
      <c r="P102" s="523"/>
      <c r="Q102" s="523"/>
      <c r="R102" s="523"/>
      <c r="S102" s="523"/>
      <c r="T102" s="523"/>
      <c r="U102" s="523"/>
      <c r="V102" s="523"/>
      <c r="W102" s="523"/>
      <c r="X102" s="523"/>
      <c r="Y102" s="523"/>
      <c r="Z102" s="523"/>
      <c r="AA102" s="523"/>
      <c r="AB102" s="523"/>
      <c r="AC102" s="523"/>
    </row>
    <row r="103" spans="1:29">
      <c r="A103" s="523"/>
      <c r="B103" s="523"/>
      <c r="C103" s="523"/>
      <c r="D103" s="523"/>
      <c r="E103" s="523"/>
      <c r="F103" s="523"/>
      <c r="G103" s="523"/>
      <c r="H103" s="523"/>
      <c r="I103" s="523"/>
      <c r="J103" s="523"/>
      <c r="K103" s="538"/>
      <c r="L103" s="539"/>
      <c r="M103" s="523"/>
      <c r="N103" s="523"/>
      <c r="O103" s="523"/>
      <c r="P103" s="523"/>
      <c r="Q103" s="523"/>
      <c r="R103" s="523"/>
      <c r="S103" s="523"/>
      <c r="T103" s="523"/>
      <c r="U103" s="523"/>
      <c r="V103" s="523"/>
      <c r="W103" s="523"/>
      <c r="X103" s="523"/>
      <c r="Y103" s="523"/>
      <c r="Z103" s="523"/>
      <c r="AA103" s="523"/>
      <c r="AB103" s="523"/>
      <c r="AC103" s="523"/>
    </row>
    <row r="104" spans="1:29">
      <c r="A104" s="523"/>
      <c r="B104" s="523"/>
      <c r="C104" s="523"/>
      <c r="D104" s="523"/>
      <c r="E104" s="523"/>
      <c r="F104" s="523"/>
      <c r="G104" s="523"/>
      <c r="H104" s="523"/>
      <c r="I104" s="523"/>
      <c r="J104" s="523"/>
      <c r="K104" s="538"/>
      <c r="L104" s="539"/>
      <c r="M104" s="523"/>
      <c r="N104" s="523"/>
      <c r="O104" s="523"/>
      <c r="P104" s="523"/>
      <c r="Q104" s="523"/>
      <c r="R104" s="523"/>
      <c r="S104" s="523"/>
      <c r="T104" s="523"/>
      <c r="U104" s="523"/>
      <c r="V104" s="523"/>
      <c r="W104" s="523"/>
      <c r="X104" s="523"/>
      <c r="Y104" s="523"/>
      <c r="Z104" s="523"/>
      <c r="AA104" s="523"/>
      <c r="AB104" s="523"/>
      <c r="AC104" s="523"/>
    </row>
    <row r="105" spans="1:29">
      <c r="A105" s="523"/>
      <c r="B105" s="523"/>
      <c r="C105" s="523"/>
      <c r="D105" s="523"/>
      <c r="E105" s="523"/>
      <c r="F105" s="523"/>
      <c r="G105" s="523"/>
      <c r="H105" s="523"/>
      <c r="I105" s="523"/>
      <c r="J105" s="523"/>
      <c r="K105" s="538"/>
      <c r="L105" s="539"/>
      <c r="M105" s="523"/>
      <c r="N105" s="523"/>
      <c r="O105" s="523"/>
      <c r="P105" s="523"/>
      <c r="Q105" s="523"/>
      <c r="R105" s="523"/>
      <c r="S105" s="523"/>
      <c r="T105" s="523"/>
      <c r="U105" s="523"/>
      <c r="V105" s="523"/>
      <c r="W105" s="523"/>
      <c r="X105" s="523"/>
      <c r="Y105" s="523"/>
      <c r="Z105" s="523"/>
      <c r="AA105" s="523"/>
      <c r="AB105" s="523"/>
      <c r="AC105" s="523"/>
    </row>
    <row r="106" spans="1:29">
      <c r="A106" s="523"/>
      <c r="B106" s="523"/>
      <c r="C106" s="523"/>
      <c r="D106" s="523"/>
      <c r="E106" s="523"/>
      <c r="F106" s="523"/>
      <c r="G106" s="523"/>
      <c r="H106" s="523"/>
      <c r="I106" s="523"/>
      <c r="J106" s="523"/>
      <c r="K106" s="538"/>
      <c r="L106" s="539"/>
      <c r="M106" s="523"/>
      <c r="N106" s="523"/>
      <c r="O106" s="523"/>
      <c r="P106" s="523"/>
      <c r="Q106" s="523"/>
      <c r="R106" s="523"/>
      <c r="S106" s="523"/>
      <c r="T106" s="523"/>
      <c r="U106" s="523"/>
      <c r="V106" s="523"/>
      <c r="W106" s="523"/>
      <c r="X106" s="523"/>
      <c r="Y106" s="523"/>
      <c r="Z106" s="523"/>
      <c r="AA106" s="523"/>
      <c r="AB106" s="523"/>
      <c r="AC106" s="523"/>
    </row>
    <row r="107" spans="1:29">
      <c r="A107" s="523"/>
      <c r="B107" s="523"/>
      <c r="C107" s="523"/>
      <c r="D107" s="523"/>
      <c r="E107" s="523"/>
      <c r="F107" s="523"/>
      <c r="G107" s="523"/>
      <c r="H107" s="523"/>
      <c r="I107" s="523"/>
      <c r="J107" s="523"/>
      <c r="K107" s="538"/>
      <c r="L107" s="539"/>
      <c r="M107" s="523"/>
      <c r="N107" s="523"/>
      <c r="O107" s="523"/>
      <c r="P107" s="523"/>
      <c r="Q107" s="523"/>
      <c r="R107" s="523"/>
      <c r="S107" s="523"/>
      <c r="T107" s="523"/>
      <c r="U107" s="523"/>
      <c r="V107" s="523"/>
      <c r="W107" s="523"/>
      <c r="X107" s="523"/>
      <c r="Y107" s="523"/>
      <c r="Z107" s="523"/>
      <c r="AA107" s="523"/>
      <c r="AB107" s="523"/>
      <c r="AC107" s="523"/>
    </row>
    <row r="108" spans="1:29">
      <c r="A108" s="523"/>
      <c r="B108" s="523"/>
      <c r="C108" s="523"/>
      <c r="D108" s="523"/>
      <c r="E108" s="523"/>
      <c r="F108" s="523"/>
      <c r="G108" s="523"/>
      <c r="H108" s="523"/>
      <c r="I108" s="523"/>
      <c r="J108" s="523"/>
      <c r="K108" s="538"/>
      <c r="L108" s="539"/>
      <c r="M108" s="523"/>
      <c r="N108" s="523"/>
      <c r="O108" s="523"/>
      <c r="P108" s="523"/>
      <c r="Q108" s="523"/>
      <c r="R108" s="523"/>
      <c r="S108" s="523"/>
      <c r="T108" s="523"/>
      <c r="U108" s="523"/>
      <c r="V108" s="523"/>
      <c r="W108" s="523"/>
      <c r="X108" s="523"/>
      <c r="Y108" s="523"/>
      <c r="Z108" s="523"/>
      <c r="AA108" s="523"/>
      <c r="AB108" s="523"/>
      <c r="AC108" s="523"/>
    </row>
    <row r="109" spans="1:29">
      <c r="A109" s="523"/>
      <c r="B109" s="523"/>
      <c r="C109" s="523"/>
      <c r="D109" s="523"/>
      <c r="E109" s="523"/>
      <c r="F109" s="523"/>
      <c r="G109" s="523"/>
      <c r="H109" s="523"/>
      <c r="I109" s="523"/>
      <c r="J109" s="523"/>
      <c r="K109" s="538"/>
      <c r="L109" s="539"/>
      <c r="M109" s="523"/>
      <c r="N109" s="523"/>
      <c r="O109" s="523"/>
      <c r="P109" s="523"/>
      <c r="Q109" s="523"/>
      <c r="R109" s="523"/>
      <c r="S109" s="523"/>
      <c r="T109" s="523"/>
      <c r="U109" s="523"/>
      <c r="V109" s="523"/>
      <c r="W109" s="523"/>
      <c r="X109" s="523"/>
      <c r="Y109" s="523"/>
      <c r="Z109" s="523"/>
      <c r="AA109" s="523"/>
      <c r="AB109" s="523"/>
      <c r="AC109" s="523"/>
    </row>
    <row r="110" spans="1:29">
      <c r="A110" s="523"/>
      <c r="B110" s="523"/>
      <c r="C110" s="523"/>
      <c r="D110" s="523"/>
      <c r="E110" s="523"/>
      <c r="F110" s="523"/>
      <c r="G110" s="523"/>
      <c r="H110" s="523"/>
      <c r="I110" s="523"/>
      <c r="J110" s="523"/>
      <c r="K110" s="538"/>
      <c r="L110" s="539"/>
      <c r="M110" s="523"/>
      <c r="N110" s="523"/>
      <c r="O110" s="523"/>
      <c r="P110" s="523"/>
      <c r="Q110" s="523"/>
      <c r="R110" s="523"/>
      <c r="S110" s="523"/>
      <c r="T110" s="523"/>
      <c r="U110" s="523"/>
      <c r="V110" s="523"/>
      <c r="W110" s="523"/>
      <c r="X110" s="523"/>
      <c r="Y110" s="523"/>
      <c r="Z110" s="523"/>
      <c r="AA110" s="523"/>
      <c r="AB110" s="523"/>
      <c r="AC110" s="523"/>
    </row>
    <row r="111" spans="1:29">
      <c r="A111" s="523"/>
      <c r="B111" s="523"/>
      <c r="C111" s="523"/>
      <c r="D111" s="523"/>
      <c r="E111" s="523"/>
      <c r="F111" s="523"/>
      <c r="G111" s="523"/>
      <c r="H111" s="523"/>
      <c r="I111" s="523"/>
      <c r="J111" s="523"/>
      <c r="K111" s="538"/>
      <c r="L111" s="539"/>
      <c r="M111" s="523"/>
      <c r="N111" s="523"/>
      <c r="O111" s="523"/>
      <c r="P111" s="523"/>
      <c r="Q111" s="523"/>
      <c r="R111" s="523"/>
      <c r="S111" s="523"/>
      <c r="T111" s="523"/>
      <c r="U111" s="523"/>
      <c r="V111" s="523"/>
      <c r="W111" s="523"/>
      <c r="X111" s="523"/>
      <c r="Y111" s="523"/>
      <c r="Z111" s="523"/>
      <c r="AA111" s="523"/>
      <c r="AB111" s="523"/>
      <c r="AC111" s="523"/>
    </row>
    <row r="112" spans="1:29">
      <c r="A112" s="523"/>
      <c r="B112" s="523"/>
      <c r="C112" s="523"/>
      <c r="D112" s="523"/>
      <c r="E112" s="523"/>
      <c r="F112" s="523"/>
      <c r="G112" s="523"/>
      <c r="H112" s="523"/>
      <c r="I112" s="523"/>
      <c r="J112" s="523"/>
      <c r="K112" s="538"/>
      <c r="L112" s="539"/>
      <c r="M112" s="523"/>
      <c r="N112" s="523"/>
      <c r="O112" s="523"/>
      <c r="P112" s="523"/>
      <c r="Q112" s="523"/>
      <c r="R112" s="523"/>
      <c r="S112" s="523"/>
      <c r="T112" s="523"/>
      <c r="U112" s="523"/>
      <c r="V112" s="523"/>
      <c r="W112" s="523"/>
      <c r="X112" s="523"/>
      <c r="Y112" s="523"/>
      <c r="Z112" s="523"/>
      <c r="AA112" s="523"/>
      <c r="AB112" s="523"/>
      <c r="AC112" s="523"/>
    </row>
    <row r="113" spans="1:29">
      <c r="A113" s="523"/>
      <c r="B113" s="523"/>
      <c r="C113" s="523"/>
      <c r="D113" s="523"/>
      <c r="E113" s="523"/>
      <c r="F113" s="523"/>
      <c r="G113" s="523"/>
      <c r="H113" s="523"/>
      <c r="I113" s="523"/>
      <c r="J113" s="523"/>
      <c r="K113" s="538"/>
      <c r="L113" s="539"/>
      <c r="M113" s="523"/>
      <c r="N113" s="523"/>
      <c r="O113" s="523"/>
      <c r="P113" s="523"/>
      <c r="Q113" s="523"/>
      <c r="R113" s="523"/>
      <c r="S113" s="523"/>
      <c r="T113" s="523"/>
      <c r="U113" s="523"/>
      <c r="V113" s="523"/>
      <c r="W113" s="523"/>
      <c r="X113" s="523"/>
      <c r="Y113" s="523"/>
      <c r="Z113" s="523"/>
      <c r="AA113" s="523"/>
      <c r="AB113" s="523"/>
      <c r="AC113" s="523"/>
    </row>
    <row r="114" spans="1:29">
      <c r="A114" s="523"/>
      <c r="B114" s="523"/>
      <c r="C114" s="523"/>
      <c r="D114" s="523"/>
      <c r="E114" s="523"/>
      <c r="F114" s="523"/>
      <c r="G114" s="523"/>
      <c r="H114" s="523"/>
      <c r="I114" s="523"/>
      <c r="J114" s="523"/>
      <c r="K114" s="538"/>
      <c r="L114" s="539"/>
      <c r="M114" s="523"/>
      <c r="N114" s="523"/>
      <c r="O114" s="523"/>
      <c r="P114" s="523"/>
      <c r="Q114" s="523"/>
      <c r="R114" s="523"/>
      <c r="S114" s="523"/>
      <c r="T114" s="523"/>
      <c r="U114" s="523"/>
      <c r="V114" s="523"/>
      <c r="W114" s="523"/>
      <c r="X114" s="523"/>
      <c r="Y114" s="523"/>
      <c r="Z114" s="523"/>
      <c r="AA114" s="523"/>
      <c r="AB114" s="523"/>
      <c r="AC114" s="523"/>
    </row>
    <row r="115" spans="1:29">
      <c r="A115" s="523"/>
      <c r="B115" s="523"/>
      <c r="C115" s="523"/>
      <c r="D115" s="523"/>
      <c r="E115" s="523"/>
      <c r="F115" s="523"/>
      <c r="G115" s="523"/>
      <c r="H115" s="523"/>
      <c r="I115" s="523"/>
      <c r="J115" s="523"/>
      <c r="K115" s="538"/>
      <c r="L115" s="539"/>
      <c r="M115" s="523"/>
      <c r="N115" s="523"/>
      <c r="O115" s="523"/>
      <c r="P115" s="523"/>
      <c r="Q115" s="523"/>
      <c r="R115" s="523"/>
      <c r="S115" s="523"/>
      <c r="T115" s="523"/>
      <c r="U115" s="523"/>
      <c r="V115" s="523"/>
      <c r="W115" s="523"/>
      <c r="X115" s="523"/>
      <c r="Y115" s="523"/>
      <c r="Z115" s="523"/>
      <c r="AA115" s="523"/>
      <c r="AB115" s="523"/>
      <c r="AC115" s="523"/>
    </row>
    <row r="116" spans="1:29">
      <c r="A116" s="523"/>
      <c r="B116" s="523"/>
      <c r="C116" s="523"/>
      <c r="D116" s="523"/>
      <c r="E116" s="523"/>
      <c r="F116" s="523"/>
      <c r="G116" s="523"/>
      <c r="H116" s="523"/>
      <c r="I116" s="523"/>
      <c r="J116" s="523"/>
      <c r="K116" s="538"/>
      <c r="L116" s="539"/>
      <c r="M116" s="523"/>
      <c r="N116" s="523"/>
      <c r="O116" s="523"/>
      <c r="P116" s="523"/>
      <c r="Q116" s="523"/>
      <c r="R116" s="523"/>
      <c r="S116" s="523"/>
      <c r="T116" s="523"/>
      <c r="U116" s="523"/>
      <c r="V116" s="523"/>
      <c r="W116" s="523"/>
      <c r="X116" s="523"/>
      <c r="Y116" s="523"/>
      <c r="Z116" s="523"/>
      <c r="AA116" s="523"/>
      <c r="AB116" s="523"/>
      <c r="AC116" s="523"/>
    </row>
    <row r="117" spans="1:29">
      <c r="A117" s="523"/>
      <c r="B117" s="523"/>
      <c r="C117" s="523"/>
      <c r="D117" s="523"/>
      <c r="E117" s="523"/>
      <c r="F117" s="523"/>
      <c r="G117" s="523"/>
      <c r="H117" s="523"/>
      <c r="I117" s="523"/>
      <c r="J117" s="523"/>
      <c r="K117" s="538"/>
      <c r="L117" s="539"/>
      <c r="M117" s="523"/>
      <c r="N117" s="523"/>
      <c r="O117" s="523"/>
      <c r="P117" s="523"/>
      <c r="Q117" s="523"/>
      <c r="R117" s="523"/>
      <c r="S117" s="523"/>
      <c r="T117" s="523"/>
      <c r="U117" s="523"/>
      <c r="V117" s="523"/>
      <c r="W117" s="523"/>
      <c r="X117" s="523"/>
      <c r="Y117" s="523"/>
      <c r="Z117" s="523"/>
      <c r="AA117" s="523"/>
      <c r="AB117" s="523"/>
      <c r="AC117" s="523"/>
    </row>
    <row r="118" spans="1:29">
      <c r="A118" s="523"/>
      <c r="B118" s="523"/>
      <c r="C118" s="523"/>
      <c r="D118" s="523"/>
      <c r="E118" s="523"/>
      <c r="F118" s="523"/>
      <c r="G118" s="523"/>
      <c r="H118" s="523"/>
      <c r="I118" s="523"/>
      <c r="J118" s="523"/>
      <c r="K118" s="538"/>
      <c r="L118" s="539"/>
      <c r="M118" s="523"/>
      <c r="N118" s="523"/>
      <c r="O118" s="523"/>
      <c r="P118" s="523"/>
      <c r="Q118" s="523"/>
      <c r="R118" s="523"/>
      <c r="S118" s="523"/>
      <c r="T118" s="523"/>
      <c r="U118" s="523"/>
      <c r="V118" s="523"/>
      <c r="W118" s="523"/>
      <c r="X118" s="523"/>
      <c r="Y118" s="523"/>
      <c r="Z118" s="523"/>
      <c r="AA118" s="523"/>
      <c r="AB118" s="523"/>
      <c r="AC118" s="523"/>
    </row>
    <row r="119" spans="1:29">
      <c r="A119" s="523"/>
      <c r="B119" s="523"/>
      <c r="C119" s="523"/>
      <c r="D119" s="523"/>
      <c r="E119" s="523"/>
      <c r="F119" s="523"/>
      <c r="G119" s="523"/>
      <c r="H119" s="523"/>
      <c r="I119" s="523"/>
      <c r="J119" s="523"/>
      <c r="K119" s="538"/>
      <c r="L119" s="539"/>
      <c r="M119" s="523"/>
      <c r="N119" s="523"/>
      <c r="O119" s="523"/>
      <c r="P119" s="523"/>
      <c r="Q119" s="523"/>
      <c r="R119" s="523"/>
      <c r="S119" s="523"/>
      <c r="T119" s="523"/>
      <c r="U119" s="523"/>
      <c r="V119" s="523"/>
      <c r="W119" s="523"/>
      <c r="X119" s="523"/>
      <c r="Y119" s="523"/>
      <c r="Z119" s="523"/>
      <c r="AA119" s="523"/>
      <c r="AB119" s="523"/>
      <c r="AC119" s="523"/>
    </row>
    <row r="120" spans="1:29">
      <c r="A120" s="523"/>
      <c r="B120" s="523"/>
      <c r="C120" s="523"/>
      <c r="D120" s="523"/>
      <c r="E120" s="523"/>
      <c r="F120" s="523"/>
      <c r="G120" s="523"/>
      <c r="H120" s="523"/>
      <c r="I120" s="523"/>
      <c r="J120" s="523"/>
      <c r="K120" s="538"/>
      <c r="L120" s="539"/>
      <c r="M120" s="523"/>
      <c r="N120" s="523"/>
      <c r="O120" s="523"/>
      <c r="P120" s="523"/>
      <c r="Q120" s="523"/>
      <c r="R120" s="523"/>
      <c r="S120" s="523"/>
      <c r="T120" s="523"/>
      <c r="U120" s="523"/>
      <c r="V120" s="523"/>
      <c r="W120" s="523"/>
      <c r="X120" s="523"/>
      <c r="Y120" s="523"/>
      <c r="Z120" s="523"/>
      <c r="AA120" s="523"/>
      <c r="AB120" s="523"/>
      <c r="AC120" s="523"/>
    </row>
    <row r="121" spans="1:29">
      <c r="A121" s="523"/>
      <c r="B121" s="523"/>
      <c r="C121" s="523"/>
      <c r="D121" s="523"/>
      <c r="E121" s="523"/>
      <c r="F121" s="523"/>
      <c r="G121" s="523"/>
      <c r="H121" s="523"/>
      <c r="I121" s="523"/>
      <c r="J121" s="523"/>
      <c r="K121" s="538"/>
      <c r="L121" s="539"/>
      <c r="M121" s="523"/>
      <c r="N121" s="523"/>
      <c r="O121" s="523"/>
      <c r="P121" s="523"/>
      <c r="Q121" s="523"/>
      <c r="R121" s="523"/>
      <c r="S121" s="523"/>
      <c r="T121" s="523"/>
      <c r="U121" s="523"/>
      <c r="V121" s="523"/>
      <c r="W121" s="523"/>
      <c r="X121" s="523"/>
      <c r="Y121" s="523"/>
      <c r="Z121" s="523"/>
      <c r="AA121" s="523"/>
      <c r="AB121" s="523"/>
      <c r="AC121" s="523"/>
    </row>
    <row r="122" spans="1:29">
      <c r="A122" s="523"/>
      <c r="B122" s="523"/>
      <c r="C122" s="523"/>
      <c r="D122" s="523"/>
      <c r="E122" s="523"/>
      <c r="F122" s="523"/>
      <c r="G122" s="523"/>
      <c r="H122" s="523"/>
      <c r="I122" s="523"/>
      <c r="J122" s="523"/>
      <c r="K122" s="538"/>
      <c r="L122" s="539"/>
      <c r="M122" s="523"/>
      <c r="N122" s="523"/>
      <c r="O122" s="523"/>
      <c r="P122" s="523"/>
      <c r="Q122" s="523"/>
      <c r="R122" s="523"/>
      <c r="S122" s="523"/>
      <c r="T122" s="523"/>
      <c r="U122" s="523"/>
      <c r="V122" s="523"/>
      <c r="W122" s="523"/>
      <c r="X122" s="523"/>
      <c r="Y122" s="523"/>
      <c r="Z122" s="523"/>
      <c r="AA122" s="523"/>
      <c r="AB122" s="523"/>
      <c r="AC122" s="523"/>
    </row>
    <row r="123" spans="1:29">
      <c r="A123" s="523"/>
      <c r="B123" s="523"/>
      <c r="C123" s="523"/>
      <c r="D123" s="523"/>
      <c r="E123" s="523"/>
      <c r="F123" s="523"/>
      <c r="G123" s="523"/>
      <c r="H123" s="523"/>
      <c r="I123" s="523"/>
      <c r="J123" s="523"/>
      <c r="K123" s="538"/>
      <c r="L123" s="539"/>
      <c r="M123" s="523"/>
      <c r="N123" s="523"/>
      <c r="O123" s="523"/>
      <c r="P123" s="523"/>
      <c r="Q123" s="523"/>
      <c r="R123" s="523"/>
      <c r="S123" s="523"/>
      <c r="T123" s="523"/>
      <c r="U123" s="523"/>
      <c r="V123" s="523"/>
      <c r="W123" s="523"/>
      <c r="X123" s="523"/>
      <c r="Y123" s="523"/>
      <c r="Z123" s="523"/>
      <c r="AA123" s="523"/>
      <c r="AB123" s="523"/>
      <c r="AC123" s="523"/>
    </row>
    <row r="124" spans="1:29">
      <c r="A124" s="523"/>
      <c r="B124" s="523"/>
      <c r="C124" s="523"/>
      <c r="D124" s="523"/>
      <c r="E124" s="523"/>
      <c r="F124" s="523"/>
      <c r="G124" s="523"/>
      <c r="H124" s="523"/>
      <c r="I124" s="523"/>
      <c r="J124" s="523"/>
      <c r="K124" s="538"/>
      <c r="L124" s="539"/>
      <c r="M124" s="523"/>
      <c r="N124" s="523"/>
      <c r="O124" s="523"/>
      <c r="P124" s="523"/>
      <c r="Q124" s="523"/>
      <c r="R124" s="523"/>
      <c r="S124" s="523"/>
      <c r="T124" s="523"/>
      <c r="U124" s="523"/>
      <c r="V124" s="523"/>
      <c r="W124" s="523"/>
      <c r="X124" s="523"/>
      <c r="Y124" s="523"/>
      <c r="Z124" s="523"/>
      <c r="AA124" s="523"/>
      <c r="AB124" s="523"/>
      <c r="AC124" s="523"/>
    </row>
    <row r="125" spans="1:29">
      <c r="A125" s="523"/>
      <c r="B125" s="523"/>
      <c r="C125" s="523"/>
      <c r="D125" s="523"/>
      <c r="E125" s="523"/>
      <c r="F125" s="523"/>
      <c r="G125" s="523"/>
      <c r="H125" s="523"/>
      <c r="I125" s="523"/>
      <c r="J125" s="523"/>
      <c r="K125" s="538"/>
      <c r="L125" s="539"/>
      <c r="M125" s="523"/>
      <c r="N125" s="523"/>
      <c r="O125" s="523"/>
      <c r="P125" s="523"/>
      <c r="Q125" s="523"/>
      <c r="R125" s="523"/>
      <c r="S125" s="523"/>
      <c r="T125" s="523"/>
      <c r="U125" s="523"/>
      <c r="V125" s="523"/>
      <c r="W125" s="523"/>
      <c r="X125" s="523"/>
      <c r="Y125" s="523"/>
      <c r="Z125" s="523"/>
      <c r="AA125" s="523"/>
      <c r="AB125" s="523"/>
      <c r="AC125" s="523"/>
    </row>
    <row r="126" spans="1:29">
      <c r="A126" s="523"/>
      <c r="B126" s="523"/>
      <c r="C126" s="523"/>
      <c r="D126" s="523"/>
      <c r="E126" s="523"/>
      <c r="F126" s="523"/>
      <c r="G126" s="523"/>
      <c r="H126" s="523"/>
      <c r="I126" s="523"/>
      <c r="J126" s="523"/>
      <c r="K126" s="538"/>
      <c r="L126" s="539"/>
      <c r="M126" s="523"/>
      <c r="N126" s="523"/>
      <c r="O126" s="523"/>
      <c r="P126" s="523"/>
      <c r="Q126" s="523"/>
      <c r="R126" s="523"/>
      <c r="S126" s="523"/>
      <c r="T126" s="523"/>
      <c r="U126" s="523"/>
      <c r="V126" s="523"/>
      <c r="W126" s="523"/>
      <c r="X126" s="523"/>
      <c r="Y126" s="523"/>
      <c r="Z126" s="523"/>
      <c r="AA126" s="523"/>
      <c r="AB126" s="523"/>
      <c r="AC126" s="523"/>
    </row>
    <row r="127" spans="1:29">
      <c r="A127" s="523"/>
      <c r="B127" s="523"/>
      <c r="C127" s="523"/>
      <c r="D127" s="523"/>
      <c r="E127" s="523"/>
      <c r="F127" s="523"/>
      <c r="G127" s="523"/>
      <c r="H127" s="523"/>
      <c r="I127" s="523"/>
      <c r="J127" s="523"/>
      <c r="K127" s="538"/>
      <c r="L127" s="539"/>
      <c r="M127" s="523"/>
      <c r="N127" s="523"/>
      <c r="O127" s="523"/>
      <c r="P127" s="523"/>
      <c r="Q127" s="523"/>
      <c r="R127" s="523"/>
      <c r="S127" s="523"/>
      <c r="T127" s="523"/>
      <c r="U127" s="523"/>
      <c r="V127" s="523"/>
      <c r="W127" s="523"/>
      <c r="X127" s="523"/>
      <c r="Y127" s="523"/>
      <c r="Z127" s="523"/>
      <c r="AA127" s="523"/>
      <c r="AB127" s="523"/>
      <c r="AC127" s="523"/>
    </row>
    <row r="128" spans="1:29">
      <c r="A128" s="523"/>
      <c r="B128" s="523"/>
      <c r="C128" s="523"/>
      <c r="D128" s="523"/>
      <c r="E128" s="523"/>
      <c r="F128" s="523"/>
      <c r="G128" s="523"/>
      <c r="H128" s="523"/>
      <c r="I128" s="523"/>
      <c r="J128" s="523"/>
      <c r="K128" s="538"/>
      <c r="L128" s="539"/>
      <c r="M128" s="523"/>
      <c r="N128" s="523"/>
      <c r="O128" s="523"/>
      <c r="P128" s="523"/>
      <c r="Q128" s="523"/>
      <c r="R128" s="523"/>
      <c r="S128" s="523"/>
      <c r="T128" s="523"/>
      <c r="U128" s="523"/>
      <c r="V128" s="523"/>
      <c r="W128" s="523"/>
      <c r="X128" s="523"/>
      <c r="Y128" s="523"/>
      <c r="Z128" s="523"/>
      <c r="AA128" s="523"/>
      <c r="AB128" s="523"/>
      <c r="AC128" s="523"/>
    </row>
    <row r="129" spans="1:29">
      <c r="A129" s="523"/>
      <c r="B129" s="523"/>
      <c r="C129" s="523"/>
      <c r="D129" s="523"/>
      <c r="E129" s="523"/>
      <c r="F129" s="523"/>
      <c r="G129" s="523"/>
      <c r="H129" s="523"/>
      <c r="I129" s="523"/>
      <c r="J129" s="523"/>
      <c r="K129" s="538"/>
      <c r="L129" s="539"/>
      <c r="M129" s="523"/>
      <c r="N129" s="523"/>
      <c r="O129" s="523"/>
      <c r="P129" s="523"/>
      <c r="Q129" s="523"/>
      <c r="R129" s="523"/>
      <c r="S129" s="523"/>
      <c r="T129" s="523"/>
      <c r="U129" s="523"/>
      <c r="V129" s="523"/>
      <c r="W129" s="523"/>
      <c r="X129" s="523"/>
      <c r="Y129" s="523"/>
      <c r="Z129" s="523"/>
      <c r="AA129" s="523"/>
      <c r="AB129" s="523"/>
      <c r="AC129" s="523"/>
    </row>
    <row r="130" spans="1:29">
      <c r="A130" s="523"/>
      <c r="B130" s="523"/>
      <c r="C130" s="523"/>
      <c r="D130" s="523"/>
      <c r="E130" s="523"/>
      <c r="F130" s="523"/>
      <c r="G130" s="523"/>
      <c r="H130" s="523"/>
      <c r="I130" s="523"/>
      <c r="J130" s="523"/>
      <c r="K130" s="538"/>
      <c r="L130" s="539"/>
      <c r="M130" s="523"/>
      <c r="N130" s="523"/>
      <c r="O130" s="523"/>
      <c r="P130" s="523"/>
      <c r="Q130" s="523"/>
      <c r="R130" s="523"/>
      <c r="S130" s="523"/>
      <c r="T130" s="523"/>
      <c r="U130" s="523"/>
      <c r="V130" s="523"/>
      <c r="W130" s="523"/>
      <c r="X130" s="523"/>
      <c r="Y130" s="523"/>
      <c r="Z130" s="523"/>
      <c r="AA130" s="523"/>
      <c r="AB130" s="523"/>
      <c r="AC130" s="523"/>
    </row>
    <row r="131" spans="1:29">
      <c r="A131" s="523"/>
      <c r="B131" s="523"/>
      <c r="C131" s="523"/>
      <c r="D131" s="523"/>
      <c r="E131" s="523"/>
      <c r="F131" s="523"/>
      <c r="G131" s="523"/>
      <c r="H131" s="523"/>
      <c r="I131" s="523"/>
      <c r="J131" s="523"/>
      <c r="K131" s="538"/>
      <c r="L131" s="539"/>
      <c r="M131" s="523"/>
      <c r="N131" s="523"/>
      <c r="O131" s="523"/>
      <c r="P131" s="523"/>
      <c r="Q131" s="523"/>
      <c r="R131" s="523"/>
      <c r="S131" s="523"/>
      <c r="T131" s="523"/>
      <c r="U131" s="523"/>
      <c r="V131" s="523"/>
      <c r="W131" s="523"/>
      <c r="X131" s="523"/>
      <c r="Y131" s="523"/>
      <c r="Z131" s="523"/>
      <c r="AA131" s="523"/>
      <c r="AB131" s="523"/>
      <c r="AC131" s="523"/>
    </row>
    <row r="132" spans="1:29">
      <c r="A132" s="523"/>
      <c r="B132" s="523"/>
      <c r="C132" s="523"/>
      <c r="D132" s="523"/>
      <c r="E132" s="523"/>
      <c r="F132" s="523"/>
      <c r="G132" s="523"/>
      <c r="H132" s="523"/>
      <c r="I132" s="523"/>
      <c r="J132" s="523"/>
      <c r="K132" s="538"/>
      <c r="L132" s="539"/>
      <c r="M132" s="523"/>
      <c r="N132" s="523"/>
      <c r="O132" s="523"/>
      <c r="P132" s="523"/>
      <c r="Q132" s="523"/>
      <c r="R132" s="523"/>
      <c r="S132" s="523"/>
      <c r="T132" s="523"/>
      <c r="U132" s="523"/>
      <c r="V132" s="523"/>
      <c r="W132" s="523"/>
      <c r="X132" s="523"/>
      <c r="Y132" s="523"/>
      <c r="Z132" s="523"/>
      <c r="AA132" s="523"/>
      <c r="AB132" s="523"/>
      <c r="AC132" s="523"/>
    </row>
    <row r="133" spans="1:29">
      <c r="A133" s="523"/>
      <c r="B133" s="523"/>
      <c r="C133" s="523"/>
      <c r="D133" s="523"/>
      <c r="E133" s="523"/>
      <c r="F133" s="523"/>
      <c r="G133" s="523"/>
      <c r="H133" s="523"/>
      <c r="I133" s="523"/>
      <c r="J133" s="523"/>
      <c r="K133" s="538"/>
      <c r="L133" s="539"/>
      <c r="M133" s="523"/>
      <c r="N133" s="523"/>
      <c r="O133" s="523"/>
      <c r="P133" s="523"/>
      <c r="Q133" s="523"/>
      <c r="R133" s="523"/>
      <c r="S133" s="523"/>
      <c r="T133" s="523"/>
      <c r="U133" s="523"/>
      <c r="V133" s="523"/>
      <c r="W133" s="523"/>
      <c r="X133" s="523"/>
      <c r="Y133" s="523"/>
      <c r="Z133" s="523"/>
      <c r="AA133" s="523"/>
      <c r="AB133" s="523"/>
      <c r="AC133" s="523"/>
    </row>
    <row r="134" spans="1:29">
      <c r="A134" s="523"/>
      <c r="B134" s="523"/>
      <c r="C134" s="523"/>
      <c r="D134" s="523"/>
      <c r="E134" s="523"/>
      <c r="F134" s="523"/>
      <c r="G134" s="523"/>
      <c r="H134" s="523"/>
      <c r="I134" s="523"/>
      <c r="J134" s="523"/>
      <c r="K134" s="538"/>
      <c r="L134" s="539"/>
      <c r="M134" s="523"/>
      <c r="N134" s="523"/>
      <c r="O134" s="523"/>
      <c r="P134" s="523"/>
      <c r="Q134" s="523"/>
      <c r="R134" s="523"/>
      <c r="S134" s="523"/>
      <c r="T134" s="523"/>
      <c r="U134" s="523"/>
      <c r="V134" s="523"/>
      <c r="W134" s="523"/>
      <c r="X134" s="523"/>
      <c r="Y134" s="523"/>
      <c r="Z134" s="523"/>
      <c r="AA134" s="523"/>
      <c r="AB134" s="523"/>
      <c r="AC134" s="523"/>
    </row>
    <row r="135" spans="1:29">
      <c r="A135" s="523"/>
      <c r="B135" s="523"/>
      <c r="C135" s="523"/>
      <c r="D135" s="523"/>
      <c r="E135" s="523"/>
      <c r="F135" s="523"/>
      <c r="G135" s="523"/>
      <c r="H135" s="523"/>
      <c r="I135" s="523"/>
      <c r="J135" s="523"/>
      <c r="K135" s="538"/>
      <c r="L135" s="539"/>
      <c r="M135" s="523"/>
      <c r="N135" s="523"/>
      <c r="O135" s="523"/>
      <c r="P135" s="523"/>
      <c r="Q135" s="523"/>
      <c r="R135" s="523"/>
      <c r="S135" s="523"/>
      <c r="T135" s="523"/>
      <c r="U135" s="523"/>
      <c r="V135" s="523"/>
      <c r="W135" s="523"/>
      <c r="X135" s="523"/>
      <c r="Y135" s="523"/>
      <c r="Z135" s="523"/>
      <c r="AA135" s="523"/>
      <c r="AB135" s="523"/>
      <c r="AC135" s="523"/>
    </row>
    <row r="136" spans="1:29">
      <c r="A136" s="523"/>
      <c r="B136" s="523"/>
      <c r="C136" s="523"/>
      <c r="D136" s="523"/>
      <c r="E136" s="523"/>
      <c r="F136" s="523"/>
      <c r="G136" s="523"/>
      <c r="H136" s="523"/>
      <c r="I136" s="523"/>
      <c r="J136" s="523"/>
      <c r="K136" s="538"/>
      <c r="L136" s="539"/>
      <c r="M136" s="523"/>
      <c r="N136" s="523"/>
      <c r="O136" s="523"/>
      <c r="P136" s="523"/>
      <c r="Q136" s="523"/>
      <c r="R136" s="523"/>
      <c r="S136" s="523"/>
      <c r="T136" s="523"/>
      <c r="U136" s="523"/>
      <c r="V136" s="523"/>
      <c r="W136" s="523"/>
      <c r="X136" s="523"/>
      <c r="Y136" s="523"/>
      <c r="Z136" s="523"/>
      <c r="AA136" s="523"/>
      <c r="AB136" s="523"/>
      <c r="AC136" s="523"/>
    </row>
    <row r="137" spans="1:29">
      <c r="A137" s="523"/>
      <c r="B137" s="523"/>
      <c r="C137" s="523"/>
      <c r="D137" s="523"/>
      <c r="E137" s="523"/>
      <c r="F137" s="523"/>
      <c r="G137" s="523"/>
      <c r="H137" s="523"/>
      <c r="I137" s="523"/>
      <c r="J137" s="523"/>
      <c r="K137" s="538"/>
      <c r="L137" s="539"/>
      <c r="M137" s="523"/>
      <c r="N137" s="523"/>
      <c r="O137" s="523"/>
      <c r="P137" s="523"/>
      <c r="Q137" s="523"/>
      <c r="R137" s="523"/>
      <c r="S137" s="523"/>
      <c r="T137" s="523"/>
      <c r="U137" s="523"/>
      <c r="V137" s="523"/>
      <c r="W137" s="523"/>
      <c r="X137" s="523"/>
      <c r="Y137" s="523"/>
      <c r="Z137" s="523"/>
      <c r="AA137" s="523"/>
      <c r="AB137" s="523"/>
      <c r="AC137" s="523"/>
    </row>
    <row r="138" spans="1:29">
      <c r="A138" s="523"/>
      <c r="B138" s="523"/>
      <c r="C138" s="523"/>
      <c r="D138" s="523"/>
      <c r="E138" s="523"/>
      <c r="F138" s="523"/>
      <c r="G138" s="523"/>
      <c r="H138" s="523"/>
      <c r="I138" s="523"/>
      <c r="J138" s="523"/>
      <c r="K138" s="538"/>
      <c r="L138" s="539"/>
      <c r="M138" s="523"/>
      <c r="N138" s="523"/>
      <c r="O138" s="523"/>
      <c r="P138" s="523"/>
      <c r="Q138" s="523"/>
      <c r="R138" s="523"/>
      <c r="S138" s="523"/>
      <c r="T138" s="523"/>
      <c r="U138" s="523"/>
      <c r="V138" s="523"/>
      <c r="W138" s="523"/>
      <c r="X138" s="523"/>
      <c r="Y138" s="523"/>
      <c r="Z138" s="523"/>
      <c r="AA138" s="523"/>
      <c r="AB138" s="523"/>
      <c r="AC138" s="523"/>
    </row>
    <row r="139" spans="1:29">
      <c r="A139" s="523"/>
      <c r="B139" s="523"/>
      <c r="C139" s="523"/>
      <c r="D139" s="523"/>
      <c r="E139" s="523"/>
      <c r="F139" s="523"/>
      <c r="G139" s="523"/>
      <c r="H139" s="523"/>
      <c r="I139" s="523"/>
      <c r="J139" s="523"/>
      <c r="K139" s="538"/>
      <c r="L139" s="539"/>
      <c r="M139" s="523"/>
      <c r="N139" s="523"/>
      <c r="O139" s="523"/>
      <c r="P139" s="523"/>
      <c r="Q139" s="523"/>
      <c r="R139" s="523"/>
      <c r="S139" s="523"/>
      <c r="T139" s="523"/>
      <c r="U139" s="523"/>
      <c r="V139" s="523"/>
      <c r="W139" s="523"/>
      <c r="X139" s="523"/>
      <c r="Y139" s="523"/>
      <c r="Z139" s="523"/>
      <c r="AA139" s="523"/>
      <c r="AB139" s="523"/>
      <c r="AC139" s="523"/>
    </row>
    <row r="140" spans="1:29">
      <c r="A140" s="523"/>
      <c r="B140" s="523"/>
      <c r="C140" s="523"/>
      <c r="D140" s="523"/>
      <c r="E140" s="523"/>
      <c r="F140" s="523"/>
      <c r="G140" s="523"/>
      <c r="H140" s="523"/>
      <c r="I140" s="523"/>
      <c r="J140" s="523"/>
      <c r="K140" s="538"/>
      <c r="L140" s="539"/>
      <c r="M140" s="523"/>
      <c r="N140" s="523"/>
      <c r="O140" s="523"/>
      <c r="P140" s="523"/>
      <c r="Q140" s="523"/>
      <c r="R140" s="523"/>
      <c r="S140" s="523"/>
      <c r="T140" s="523"/>
      <c r="U140" s="523"/>
      <c r="V140" s="523"/>
      <c r="W140" s="523"/>
      <c r="X140" s="523"/>
      <c r="Y140" s="523"/>
      <c r="Z140" s="523"/>
      <c r="AA140" s="523"/>
      <c r="AB140" s="523"/>
      <c r="AC140" s="523"/>
    </row>
    <row r="141" spans="1:29">
      <c r="A141" s="523"/>
      <c r="B141" s="523"/>
      <c r="C141" s="523"/>
      <c r="D141" s="523"/>
      <c r="E141" s="523"/>
      <c r="F141" s="523"/>
      <c r="G141" s="523"/>
      <c r="H141" s="523"/>
      <c r="I141" s="523"/>
      <c r="J141" s="523"/>
      <c r="K141" s="538"/>
      <c r="L141" s="539"/>
      <c r="M141" s="523"/>
      <c r="N141" s="523"/>
      <c r="O141" s="523"/>
      <c r="P141" s="523"/>
      <c r="Q141" s="523"/>
      <c r="R141" s="523"/>
      <c r="S141" s="523"/>
      <c r="T141" s="523"/>
      <c r="U141" s="523"/>
      <c r="V141" s="523"/>
      <c r="W141" s="523"/>
      <c r="X141" s="523"/>
      <c r="Y141" s="523"/>
      <c r="Z141" s="523"/>
      <c r="AA141" s="523"/>
      <c r="AB141" s="523"/>
      <c r="AC141" s="523"/>
    </row>
    <row r="142" spans="1:29">
      <c r="A142" s="523"/>
      <c r="B142" s="523"/>
      <c r="C142" s="523"/>
      <c r="D142" s="523"/>
      <c r="E142" s="523"/>
      <c r="F142" s="523"/>
      <c r="G142" s="523"/>
      <c r="H142" s="523"/>
      <c r="I142" s="523"/>
      <c r="J142" s="523"/>
      <c r="K142" s="538"/>
      <c r="L142" s="539"/>
      <c r="M142" s="523"/>
      <c r="N142" s="523"/>
      <c r="O142" s="523"/>
      <c r="P142" s="523"/>
      <c r="Q142" s="523"/>
      <c r="R142" s="523"/>
      <c r="S142" s="523"/>
      <c r="T142" s="523"/>
      <c r="U142" s="523"/>
      <c r="V142" s="523"/>
      <c r="W142" s="523"/>
      <c r="X142" s="523"/>
      <c r="Y142" s="523"/>
      <c r="Z142" s="523"/>
      <c r="AA142" s="523"/>
      <c r="AB142" s="523"/>
      <c r="AC142" s="523"/>
    </row>
    <row r="143" spans="1:29">
      <c r="A143" s="523"/>
      <c r="B143" s="523"/>
      <c r="C143" s="523"/>
      <c r="D143" s="523"/>
      <c r="E143" s="523"/>
      <c r="F143" s="523"/>
      <c r="G143" s="523"/>
      <c r="H143" s="523"/>
      <c r="I143" s="523"/>
      <c r="J143" s="523"/>
      <c r="K143" s="538"/>
      <c r="L143" s="539"/>
      <c r="M143" s="523"/>
      <c r="N143" s="523"/>
      <c r="O143" s="523"/>
      <c r="P143" s="523"/>
      <c r="Q143" s="523"/>
      <c r="R143" s="523"/>
      <c r="S143" s="523"/>
      <c r="T143" s="523"/>
      <c r="U143" s="523"/>
      <c r="V143" s="523"/>
      <c r="W143" s="523"/>
      <c r="X143" s="523"/>
      <c r="Y143" s="523"/>
      <c r="Z143" s="523"/>
      <c r="AA143" s="523"/>
      <c r="AB143" s="523"/>
      <c r="AC143" s="523"/>
    </row>
    <row r="144" spans="1:29">
      <c r="A144" s="523"/>
      <c r="B144" s="523"/>
      <c r="C144" s="523"/>
      <c r="D144" s="523"/>
      <c r="E144" s="523"/>
      <c r="F144" s="523"/>
      <c r="G144" s="523"/>
      <c r="H144" s="523"/>
      <c r="I144" s="523"/>
      <c r="J144" s="523"/>
      <c r="K144" s="538"/>
      <c r="L144" s="539"/>
      <c r="M144" s="523"/>
      <c r="N144" s="523"/>
      <c r="O144" s="523"/>
      <c r="P144" s="523"/>
      <c r="Q144" s="523"/>
      <c r="R144" s="523"/>
      <c r="S144" s="523"/>
      <c r="T144" s="523"/>
      <c r="U144" s="523"/>
      <c r="V144" s="523"/>
      <c r="W144" s="523"/>
      <c r="X144" s="523"/>
      <c r="Y144" s="523"/>
      <c r="Z144" s="523"/>
      <c r="AA144" s="523"/>
      <c r="AB144" s="523"/>
      <c r="AC144" s="523"/>
    </row>
    <row r="145" spans="1:29">
      <c r="A145" s="523"/>
      <c r="B145" s="523"/>
      <c r="C145" s="523"/>
      <c r="D145" s="523"/>
      <c r="E145" s="523"/>
      <c r="F145" s="523"/>
      <c r="G145" s="523"/>
      <c r="H145" s="523"/>
      <c r="I145" s="523"/>
      <c r="J145" s="523"/>
      <c r="K145" s="538"/>
      <c r="L145" s="539"/>
      <c r="M145" s="523"/>
      <c r="N145" s="523"/>
      <c r="O145" s="523"/>
      <c r="P145" s="523"/>
      <c r="Q145" s="523"/>
      <c r="R145" s="523"/>
      <c r="S145" s="523"/>
      <c r="T145" s="523"/>
      <c r="U145" s="523"/>
      <c r="V145" s="523"/>
      <c r="W145" s="523"/>
      <c r="X145" s="523"/>
      <c r="Y145" s="523"/>
      <c r="Z145" s="523"/>
      <c r="AA145" s="523"/>
      <c r="AB145" s="523"/>
      <c r="AC145" s="523"/>
    </row>
    <row r="146" spans="1:29">
      <c r="A146" s="523"/>
      <c r="B146" s="523"/>
      <c r="C146" s="523"/>
      <c r="D146" s="523"/>
      <c r="E146" s="523"/>
      <c r="F146" s="523"/>
      <c r="G146" s="523"/>
      <c r="H146" s="523"/>
      <c r="I146" s="523"/>
      <c r="J146" s="523"/>
      <c r="K146" s="538"/>
      <c r="L146" s="539"/>
      <c r="M146" s="523"/>
      <c r="N146" s="523"/>
      <c r="O146" s="523"/>
      <c r="P146" s="523"/>
      <c r="Q146" s="523"/>
      <c r="R146" s="523"/>
      <c r="S146" s="523"/>
      <c r="T146" s="523"/>
      <c r="U146" s="523"/>
      <c r="V146" s="523"/>
      <c r="W146" s="523"/>
      <c r="X146" s="523"/>
      <c r="Y146" s="523"/>
      <c r="Z146" s="523"/>
      <c r="AA146" s="523"/>
      <c r="AB146" s="523"/>
      <c r="AC146" s="523"/>
    </row>
    <row r="147" spans="1:29">
      <c r="A147" s="523"/>
      <c r="B147" s="523"/>
      <c r="C147" s="523"/>
      <c r="D147" s="523"/>
      <c r="E147" s="523"/>
      <c r="F147" s="523"/>
      <c r="G147" s="523"/>
      <c r="H147" s="523"/>
      <c r="I147" s="523"/>
      <c r="J147" s="523"/>
      <c r="K147" s="538"/>
      <c r="L147" s="539"/>
      <c r="M147" s="523"/>
      <c r="N147" s="523"/>
      <c r="O147" s="523"/>
      <c r="P147" s="523"/>
      <c r="Q147" s="523"/>
      <c r="R147" s="523"/>
      <c r="S147" s="523"/>
      <c r="T147" s="523"/>
      <c r="U147" s="523"/>
      <c r="V147" s="523"/>
      <c r="W147" s="523"/>
      <c r="X147" s="523"/>
      <c r="Y147" s="523"/>
      <c r="Z147" s="523"/>
      <c r="AA147" s="523"/>
      <c r="AB147" s="523"/>
      <c r="AC147" s="523"/>
    </row>
    <row r="148" spans="1:29">
      <c r="A148" s="523"/>
      <c r="B148" s="523"/>
      <c r="C148" s="523"/>
      <c r="D148" s="523"/>
      <c r="E148" s="523"/>
      <c r="F148" s="523"/>
      <c r="G148" s="523"/>
      <c r="H148" s="523"/>
      <c r="I148" s="523"/>
      <c r="J148" s="523"/>
      <c r="K148" s="538"/>
      <c r="L148" s="539"/>
      <c r="M148" s="523"/>
      <c r="N148" s="523"/>
      <c r="O148" s="523"/>
      <c r="P148" s="523"/>
      <c r="Q148" s="523"/>
      <c r="R148" s="523"/>
      <c r="S148" s="523"/>
      <c r="T148" s="523"/>
      <c r="U148" s="523"/>
      <c r="V148" s="523"/>
      <c r="W148" s="523"/>
      <c r="X148" s="523"/>
      <c r="Y148" s="523"/>
      <c r="Z148" s="523"/>
      <c r="AA148" s="523"/>
      <c r="AB148" s="523"/>
      <c r="AC148" s="523"/>
    </row>
    <row r="149" spans="1:29">
      <c r="A149" s="523"/>
      <c r="B149" s="523"/>
      <c r="C149" s="523"/>
      <c r="D149" s="523"/>
      <c r="E149" s="523"/>
      <c r="F149" s="523"/>
      <c r="G149" s="523"/>
      <c r="H149" s="523"/>
      <c r="I149" s="523"/>
      <c r="J149" s="523"/>
      <c r="K149" s="538"/>
      <c r="L149" s="539"/>
      <c r="M149" s="523"/>
      <c r="N149" s="523"/>
      <c r="O149" s="523"/>
      <c r="P149" s="523"/>
      <c r="Q149" s="523"/>
      <c r="R149" s="523"/>
      <c r="S149" s="523"/>
      <c r="T149" s="523"/>
      <c r="U149" s="523"/>
      <c r="V149" s="523"/>
      <c r="W149" s="523"/>
      <c r="X149" s="523"/>
      <c r="Y149" s="523"/>
      <c r="Z149" s="523"/>
      <c r="AA149" s="523"/>
      <c r="AB149" s="523"/>
      <c r="AC149" s="523"/>
    </row>
    <row r="150" spans="1:29">
      <c r="A150" s="523"/>
      <c r="B150" s="523"/>
      <c r="C150" s="523"/>
      <c r="D150" s="523"/>
      <c r="E150" s="523"/>
      <c r="F150" s="523"/>
      <c r="G150" s="523"/>
      <c r="H150" s="523"/>
      <c r="I150" s="523"/>
      <c r="J150" s="523"/>
      <c r="K150" s="538"/>
      <c r="L150" s="539"/>
      <c r="M150" s="523"/>
      <c r="N150" s="523"/>
      <c r="O150" s="523"/>
      <c r="P150" s="523"/>
      <c r="Q150" s="523"/>
      <c r="R150" s="523"/>
      <c r="S150" s="523"/>
      <c r="T150" s="523"/>
      <c r="U150" s="523"/>
      <c r="V150" s="523"/>
      <c r="W150" s="523"/>
      <c r="X150" s="523"/>
      <c r="Y150" s="523"/>
      <c r="Z150" s="523"/>
      <c r="AA150" s="523"/>
      <c r="AB150" s="523"/>
      <c r="AC150" s="523"/>
    </row>
    <row r="151" spans="1:29">
      <c r="A151" s="523"/>
      <c r="B151" s="523"/>
      <c r="C151" s="523"/>
      <c r="D151" s="523"/>
      <c r="E151" s="523"/>
      <c r="F151" s="523"/>
      <c r="G151" s="523"/>
      <c r="H151" s="523"/>
      <c r="I151" s="523"/>
      <c r="J151" s="523"/>
      <c r="K151" s="538"/>
      <c r="L151" s="539"/>
      <c r="M151" s="523"/>
      <c r="N151" s="523"/>
      <c r="O151" s="523"/>
      <c r="P151" s="523"/>
      <c r="Q151" s="523"/>
      <c r="R151" s="523"/>
      <c r="S151" s="523"/>
      <c r="T151" s="523"/>
      <c r="U151" s="523"/>
      <c r="V151" s="523"/>
      <c r="W151" s="523"/>
      <c r="X151" s="523"/>
      <c r="Y151" s="523"/>
      <c r="Z151" s="523"/>
      <c r="AA151" s="523"/>
      <c r="AB151" s="523"/>
      <c r="AC151" s="523"/>
    </row>
    <row r="152" spans="1:29">
      <c r="A152" s="523"/>
      <c r="B152" s="523"/>
      <c r="C152" s="523"/>
      <c r="D152" s="523"/>
      <c r="E152" s="523"/>
      <c r="F152" s="523"/>
      <c r="G152" s="523"/>
      <c r="H152" s="523"/>
      <c r="I152" s="523"/>
      <c r="J152" s="523"/>
      <c r="K152" s="538"/>
      <c r="L152" s="539"/>
      <c r="M152" s="523"/>
      <c r="N152" s="523"/>
      <c r="O152" s="523"/>
      <c r="P152" s="523"/>
      <c r="Q152" s="523"/>
      <c r="R152" s="523"/>
      <c r="S152" s="523"/>
      <c r="T152" s="523"/>
      <c r="U152" s="523"/>
      <c r="V152" s="523"/>
      <c r="W152" s="523"/>
      <c r="X152" s="523"/>
      <c r="Y152" s="523"/>
      <c r="Z152" s="523"/>
      <c r="AA152" s="523"/>
      <c r="AB152" s="523"/>
      <c r="AC152" s="523"/>
    </row>
    <row r="153" spans="1:29">
      <c r="A153" s="523"/>
      <c r="B153" s="523"/>
      <c r="C153" s="523"/>
      <c r="D153" s="523"/>
      <c r="E153" s="523"/>
      <c r="F153" s="523"/>
      <c r="G153" s="523"/>
      <c r="H153" s="523"/>
      <c r="I153" s="523"/>
      <c r="J153" s="523"/>
      <c r="K153" s="538"/>
      <c r="L153" s="539"/>
      <c r="M153" s="523"/>
      <c r="N153" s="523"/>
      <c r="O153" s="523"/>
      <c r="P153" s="523"/>
      <c r="Q153" s="523"/>
      <c r="R153" s="523"/>
      <c r="S153" s="523"/>
      <c r="T153" s="523"/>
      <c r="U153" s="523"/>
      <c r="V153" s="523"/>
      <c r="W153" s="523"/>
      <c r="X153" s="523"/>
      <c r="Y153" s="523"/>
      <c r="Z153" s="523"/>
      <c r="AA153" s="523"/>
      <c r="AB153" s="523"/>
      <c r="AC153" s="523"/>
    </row>
    <row r="154" spans="1:29">
      <c r="A154" s="523"/>
      <c r="B154" s="523"/>
      <c r="C154" s="523"/>
      <c r="D154" s="523"/>
      <c r="E154" s="523"/>
      <c r="F154" s="523"/>
      <c r="G154" s="523"/>
      <c r="H154" s="523"/>
      <c r="I154" s="523"/>
      <c r="J154" s="523"/>
      <c r="K154" s="538"/>
      <c r="L154" s="539"/>
      <c r="M154" s="523"/>
      <c r="N154" s="523"/>
      <c r="O154" s="523"/>
      <c r="P154" s="523"/>
      <c r="Q154" s="523"/>
      <c r="R154" s="523"/>
      <c r="S154" s="523"/>
      <c r="T154" s="523"/>
      <c r="U154" s="523"/>
      <c r="V154" s="523"/>
      <c r="W154" s="523"/>
      <c r="X154" s="523"/>
      <c r="Y154" s="523"/>
      <c r="Z154" s="523"/>
      <c r="AA154" s="523"/>
      <c r="AB154" s="523"/>
      <c r="AC154" s="523"/>
    </row>
    <row r="155" spans="1:29">
      <c r="A155" s="523"/>
      <c r="B155" s="523"/>
      <c r="C155" s="523"/>
      <c r="D155" s="523"/>
      <c r="E155" s="523"/>
      <c r="F155" s="523"/>
      <c r="G155" s="523"/>
      <c r="H155" s="523"/>
      <c r="I155" s="523"/>
      <c r="J155" s="523"/>
      <c r="K155" s="538"/>
      <c r="L155" s="539"/>
      <c r="M155" s="523"/>
      <c r="N155" s="523"/>
      <c r="O155" s="523"/>
      <c r="P155" s="523"/>
      <c r="Q155" s="523"/>
      <c r="R155" s="523"/>
      <c r="S155" s="523"/>
      <c r="T155" s="523"/>
      <c r="U155" s="523"/>
      <c r="V155" s="523"/>
      <c r="W155" s="523"/>
      <c r="X155" s="523"/>
      <c r="Y155" s="523"/>
      <c r="Z155" s="523"/>
      <c r="AA155" s="523"/>
      <c r="AB155" s="523"/>
      <c r="AC155" s="523"/>
    </row>
    <row r="156" spans="1:29">
      <c r="A156" s="523"/>
      <c r="B156" s="523"/>
      <c r="C156" s="523"/>
      <c r="D156" s="523"/>
      <c r="E156" s="523"/>
      <c r="F156" s="523"/>
      <c r="G156" s="523"/>
      <c r="H156" s="523"/>
      <c r="I156" s="523"/>
      <c r="J156" s="523"/>
      <c r="K156" s="538"/>
      <c r="L156" s="539"/>
      <c r="M156" s="523"/>
      <c r="N156" s="523"/>
      <c r="O156" s="523"/>
      <c r="P156" s="523"/>
      <c r="Q156" s="523"/>
      <c r="R156" s="523"/>
      <c r="S156" s="523"/>
      <c r="T156" s="523"/>
      <c r="U156" s="523"/>
      <c r="V156" s="523"/>
      <c r="W156" s="523"/>
      <c r="X156" s="523"/>
      <c r="Y156" s="523"/>
      <c r="Z156" s="523"/>
      <c r="AA156" s="523"/>
      <c r="AB156" s="523"/>
      <c r="AC156" s="523"/>
    </row>
    <row r="157" spans="1:29">
      <c r="A157" s="523"/>
      <c r="B157" s="523"/>
      <c r="C157" s="523"/>
      <c r="D157" s="523"/>
      <c r="E157" s="523"/>
      <c r="F157" s="523"/>
      <c r="G157" s="523"/>
      <c r="H157" s="523"/>
      <c r="I157" s="523"/>
      <c r="J157" s="523"/>
      <c r="K157" s="538"/>
      <c r="L157" s="539"/>
      <c r="M157" s="523"/>
      <c r="N157" s="523"/>
      <c r="O157" s="523"/>
      <c r="P157" s="523"/>
      <c r="Q157" s="523"/>
      <c r="R157" s="523"/>
      <c r="S157" s="523"/>
      <c r="T157" s="523"/>
      <c r="U157" s="523"/>
      <c r="V157" s="523"/>
      <c r="W157" s="523"/>
      <c r="X157" s="523"/>
      <c r="Y157" s="523"/>
      <c r="Z157" s="523"/>
      <c r="AA157" s="523"/>
      <c r="AB157" s="523"/>
      <c r="AC157" s="523"/>
    </row>
    <row r="158" spans="1:29">
      <c r="A158" s="523"/>
      <c r="B158" s="523"/>
      <c r="C158" s="523"/>
      <c r="D158" s="523"/>
      <c r="E158" s="523"/>
      <c r="F158" s="523"/>
      <c r="G158" s="523"/>
      <c r="H158" s="523"/>
      <c r="I158" s="523"/>
      <c r="J158" s="523"/>
      <c r="K158" s="538"/>
      <c r="L158" s="539"/>
      <c r="M158" s="523"/>
      <c r="N158" s="523"/>
      <c r="O158" s="523"/>
      <c r="P158" s="523"/>
      <c r="Q158" s="523"/>
      <c r="R158" s="523"/>
      <c r="S158" s="523"/>
      <c r="T158" s="523"/>
      <c r="U158" s="523"/>
      <c r="V158" s="523"/>
      <c r="W158" s="523"/>
      <c r="X158" s="523"/>
      <c r="Y158" s="523"/>
      <c r="Z158" s="523"/>
      <c r="AA158" s="523"/>
      <c r="AB158" s="523"/>
      <c r="AC158" s="523"/>
    </row>
    <row r="159" spans="1:29">
      <c r="A159" s="523"/>
      <c r="B159" s="523"/>
      <c r="C159" s="523"/>
      <c r="D159" s="523"/>
      <c r="E159" s="523"/>
      <c r="F159" s="523"/>
      <c r="G159" s="523"/>
      <c r="H159" s="523"/>
      <c r="I159" s="523"/>
      <c r="J159" s="523"/>
      <c r="K159" s="538"/>
      <c r="L159" s="539"/>
      <c r="M159" s="523"/>
      <c r="N159" s="523"/>
      <c r="O159" s="523"/>
      <c r="P159" s="523"/>
      <c r="Q159" s="523"/>
      <c r="R159" s="523"/>
      <c r="S159" s="523"/>
      <c r="T159" s="523"/>
      <c r="U159" s="523"/>
      <c r="V159" s="523"/>
      <c r="W159" s="523"/>
      <c r="X159" s="523"/>
      <c r="Y159" s="523"/>
      <c r="Z159" s="523"/>
      <c r="AA159" s="523"/>
      <c r="AB159" s="523"/>
      <c r="AC159" s="523"/>
    </row>
    <row r="160" spans="1:29">
      <c r="A160" s="523"/>
      <c r="B160" s="523"/>
      <c r="C160" s="523"/>
      <c r="D160" s="523"/>
      <c r="E160" s="523"/>
      <c r="F160" s="523"/>
      <c r="G160" s="523"/>
      <c r="H160" s="523"/>
      <c r="I160" s="523"/>
      <c r="J160" s="523"/>
      <c r="K160" s="538"/>
      <c r="L160" s="539"/>
      <c r="M160" s="523"/>
      <c r="N160" s="523"/>
      <c r="O160" s="523"/>
      <c r="P160" s="523"/>
      <c r="Q160" s="523"/>
      <c r="R160" s="523"/>
      <c r="S160" s="523"/>
      <c r="T160" s="523"/>
      <c r="U160" s="523"/>
      <c r="V160" s="523"/>
      <c r="W160" s="523"/>
      <c r="X160" s="523"/>
      <c r="Y160" s="523"/>
      <c r="Z160" s="523"/>
      <c r="AA160" s="523"/>
      <c r="AB160" s="523"/>
      <c r="AC160" s="523"/>
    </row>
    <row r="161" spans="1:29">
      <c r="A161" s="523"/>
      <c r="B161" s="523"/>
      <c r="C161" s="523"/>
      <c r="D161" s="523"/>
      <c r="E161" s="523"/>
      <c r="F161" s="523"/>
      <c r="G161" s="523"/>
      <c r="H161" s="523"/>
      <c r="I161" s="523"/>
      <c r="J161" s="523"/>
      <c r="K161" s="538"/>
      <c r="L161" s="539"/>
      <c r="M161" s="523"/>
      <c r="N161" s="523"/>
      <c r="O161" s="523"/>
      <c r="P161" s="523"/>
      <c r="Q161" s="523"/>
      <c r="R161" s="523"/>
      <c r="S161" s="523"/>
      <c r="T161" s="523"/>
      <c r="U161" s="523"/>
      <c r="V161" s="523"/>
      <c r="W161" s="523"/>
      <c r="X161" s="523"/>
      <c r="Y161" s="523"/>
      <c r="Z161" s="523"/>
      <c r="AA161" s="523"/>
      <c r="AB161" s="523"/>
      <c r="AC161" s="523"/>
    </row>
    <row r="162" spans="1:29">
      <c r="A162" s="523"/>
      <c r="B162" s="523"/>
      <c r="C162" s="523"/>
      <c r="D162" s="523"/>
      <c r="E162" s="523"/>
      <c r="F162" s="523"/>
      <c r="G162" s="523"/>
      <c r="H162" s="523"/>
      <c r="I162" s="523"/>
      <c r="J162" s="523"/>
      <c r="K162" s="538"/>
      <c r="L162" s="539"/>
      <c r="M162" s="523"/>
      <c r="N162" s="523"/>
      <c r="O162" s="523"/>
      <c r="P162" s="523"/>
      <c r="Q162" s="523"/>
      <c r="R162" s="523"/>
      <c r="S162" s="523"/>
      <c r="T162" s="523"/>
      <c r="U162" s="523"/>
      <c r="V162" s="523"/>
      <c r="W162" s="523"/>
      <c r="X162" s="523"/>
      <c r="Y162" s="523"/>
      <c r="Z162" s="523"/>
      <c r="AA162" s="523"/>
      <c r="AB162" s="523"/>
      <c r="AC162" s="523"/>
    </row>
    <row r="163" spans="1:29">
      <c r="A163" s="523"/>
      <c r="B163" s="523"/>
      <c r="C163" s="523"/>
      <c r="D163" s="523"/>
      <c r="E163" s="523"/>
      <c r="F163" s="523"/>
      <c r="G163" s="523"/>
      <c r="H163" s="523"/>
      <c r="I163" s="523"/>
      <c r="J163" s="523"/>
      <c r="K163" s="538"/>
      <c r="L163" s="539"/>
      <c r="M163" s="523"/>
      <c r="N163" s="523"/>
      <c r="O163" s="523"/>
      <c r="P163" s="523"/>
      <c r="Q163" s="523"/>
      <c r="R163" s="523"/>
      <c r="S163" s="523"/>
      <c r="T163" s="523"/>
      <c r="U163" s="523"/>
      <c r="V163" s="523"/>
      <c r="W163" s="523"/>
      <c r="X163" s="523"/>
      <c r="Y163" s="523"/>
      <c r="Z163" s="523"/>
      <c r="AA163" s="523"/>
      <c r="AB163" s="523"/>
      <c r="AC163" s="523"/>
    </row>
    <row r="164" spans="1:29">
      <c r="A164" s="523"/>
      <c r="B164" s="523"/>
      <c r="C164" s="523"/>
      <c r="D164" s="523"/>
      <c r="E164" s="523"/>
      <c r="F164" s="523"/>
      <c r="G164" s="523"/>
      <c r="H164" s="523"/>
      <c r="I164" s="523"/>
      <c r="J164" s="523"/>
      <c r="K164" s="538"/>
      <c r="L164" s="539"/>
      <c r="M164" s="523"/>
      <c r="N164" s="523"/>
      <c r="O164" s="523"/>
      <c r="P164" s="523"/>
      <c r="Q164" s="523"/>
      <c r="R164" s="523"/>
      <c r="S164" s="523"/>
      <c r="T164" s="523"/>
      <c r="U164" s="523"/>
      <c r="V164" s="523"/>
      <c r="W164" s="523"/>
      <c r="X164" s="523"/>
      <c r="Y164" s="523"/>
      <c r="Z164" s="523"/>
      <c r="AA164" s="523"/>
      <c r="AB164" s="523"/>
      <c r="AC164" s="523"/>
    </row>
    <row r="165" spans="1:29">
      <c r="A165" s="523"/>
      <c r="B165" s="523"/>
      <c r="C165" s="523"/>
      <c r="D165" s="523"/>
      <c r="E165" s="523"/>
      <c r="F165" s="523"/>
      <c r="G165" s="523"/>
      <c r="H165" s="523"/>
      <c r="I165" s="523"/>
      <c r="J165" s="523"/>
      <c r="K165" s="538"/>
      <c r="L165" s="539"/>
      <c r="M165" s="523"/>
      <c r="N165" s="523"/>
      <c r="O165" s="523"/>
      <c r="P165" s="523"/>
      <c r="Q165" s="523"/>
      <c r="R165" s="523"/>
      <c r="S165" s="523"/>
      <c r="T165" s="523"/>
      <c r="U165" s="523"/>
      <c r="V165" s="523"/>
      <c r="W165" s="523"/>
      <c r="X165" s="523"/>
      <c r="Y165" s="523"/>
      <c r="Z165" s="523"/>
      <c r="AA165" s="523"/>
      <c r="AB165" s="523"/>
      <c r="AC165" s="523"/>
    </row>
    <row r="166" spans="1:29">
      <c r="A166" s="523"/>
      <c r="B166" s="523"/>
      <c r="C166" s="523"/>
      <c r="D166" s="523"/>
      <c r="E166" s="523"/>
      <c r="F166" s="523"/>
      <c r="G166" s="523"/>
      <c r="H166" s="523"/>
      <c r="I166" s="523"/>
      <c r="J166" s="523"/>
      <c r="K166" s="538"/>
      <c r="L166" s="539"/>
      <c r="M166" s="523"/>
      <c r="N166" s="523"/>
      <c r="O166" s="523"/>
      <c r="P166" s="523"/>
      <c r="Q166" s="523"/>
      <c r="R166" s="523"/>
      <c r="S166" s="523"/>
      <c r="T166" s="523"/>
      <c r="U166" s="523"/>
      <c r="V166" s="523"/>
      <c r="W166" s="523"/>
      <c r="X166" s="523"/>
      <c r="Y166" s="523"/>
      <c r="Z166" s="523"/>
      <c r="AA166" s="523"/>
      <c r="AB166" s="523"/>
      <c r="AC166" s="523"/>
    </row>
    <row r="167" spans="1:29">
      <c r="A167" s="523"/>
      <c r="B167" s="523"/>
      <c r="C167" s="523"/>
      <c r="D167" s="523"/>
      <c r="E167" s="523"/>
      <c r="F167" s="523"/>
      <c r="G167" s="523"/>
      <c r="H167" s="523"/>
      <c r="I167" s="523"/>
      <c r="J167" s="523"/>
      <c r="K167" s="538"/>
      <c r="L167" s="539"/>
      <c r="M167" s="523"/>
      <c r="N167" s="523"/>
      <c r="O167" s="523"/>
      <c r="P167" s="523"/>
      <c r="Q167" s="523"/>
      <c r="R167" s="523"/>
      <c r="S167" s="523"/>
      <c r="T167" s="523"/>
      <c r="U167" s="523"/>
      <c r="V167" s="523"/>
      <c r="W167" s="523"/>
      <c r="X167" s="523"/>
      <c r="Y167" s="523"/>
      <c r="Z167" s="523"/>
      <c r="AA167" s="523"/>
      <c r="AB167" s="523"/>
      <c r="AC167" s="523"/>
    </row>
    <row r="168" spans="1:29">
      <c r="A168" s="523"/>
      <c r="B168" s="523"/>
      <c r="C168" s="523"/>
      <c r="D168" s="523"/>
      <c r="E168" s="523"/>
      <c r="F168" s="523"/>
      <c r="G168" s="523"/>
      <c r="H168" s="523"/>
      <c r="I168" s="523"/>
      <c r="J168" s="523"/>
      <c r="K168" s="538"/>
      <c r="L168" s="539"/>
      <c r="M168" s="523"/>
      <c r="N168" s="523"/>
      <c r="O168" s="523"/>
      <c r="P168" s="523"/>
      <c r="Q168" s="523"/>
      <c r="R168" s="523"/>
      <c r="S168" s="523"/>
      <c r="T168" s="523"/>
      <c r="U168" s="523"/>
      <c r="V168" s="523"/>
      <c r="W168" s="523"/>
      <c r="X168" s="523"/>
      <c r="Y168" s="523"/>
      <c r="Z168" s="523"/>
      <c r="AA168" s="523"/>
      <c r="AB168" s="523"/>
      <c r="AC168" s="523"/>
    </row>
    <row r="169" spans="1:29">
      <c r="A169" s="523"/>
      <c r="B169" s="523"/>
      <c r="C169" s="523"/>
      <c r="D169" s="523"/>
      <c r="E169" s="523"/>
      <c r="F169" s="523"/>
      <c r="G169" s="523"/>
      <c r="H169" s="523"/>
      <c r="I169" s="523"/>
      <c r="J169" s="523"/>
      <c r="K169" s="538"/>
      <c r="L169" s="539"/>
      <c r="M169" s="523"/>
      <c r="N169" s="523"/>
      <c r="O169" s="523"/>
      <c r="P169" s="523"/>
      <c r="Q169" s="523"/>
      <c r="R169" s="523"/>
      <c r="S169" s="523"/>
      <c r="T169" s="523"/>
      <c r="U169" s="523"/>
      <c r="V169" s="523"/>
      <c r="W169" s="523"/>
      <c r="X169" s="523"/>
      <c r="Y169" s="523"/>
      <c r="Z169" s="523"/>
      <c r="AA169" s="523"/>
      <c r="AB169" s="523"/>
      <c r="AC169" s="523"/>
    </row>
    <row r="170" spans="1:29">
      <c r="A170" s="523"/>
      <c r="B170" s="523"/>
      <c r="C170" s="523"/>
      <c r="D170" s="523"/>
      <c r="E170" s="523"/>
      <c r="F170" s="523"/>
      <c r="G170" s="523"/>
      <c r="H170" s="523"/>
      <c r="I170" s="523"/>
      <c r="J170" s="523"/>
      <c r="K170" s="538"/>
      <c r="L170" s="539"/>
      <c r="M170" s="523"/>
      <c r="N170" s="523"/>
      <c r="O170" s="523"/>
      <c r="P170" s="523"/>
      <c r="Q170" s="523"/>
      <c r="R170" s="523"/>
      <c r="S170" s="523"/>
      <c r="T170" s="523"/>
      <c r="U170" s="523"/>
      <c r="V170" s="523"/>
      <c r="W170" s="523"/>
      <c r="X170" s="523"/>
      <c r="Y170" s="523"/>
      <c r="Z170" s="523"/>
      <c r="AA170" s="523"/>
      <c r="AB170" s="523"/>
      <c r="AC170" s="523"/>
    </row>
    <row r="171" spans="1:29">
      <c r="A171" s="523"/>
      <c r="B171" s="523"/>
      <c r="C171" s="523"/>
      <c r="D171" s="523"/>
      <c r="E171" s="523"/>
      <c r="F171" s="523"/>
      <c r="G171" s="523"/>
      <c r="H171" s="523"/>
      <c r="I171" s="523"/>
      <c r="J171" s="523"/>
      <c r="K171" s="538"/>
      <c r="L171" s="539"/>
      <c r="M171" s="523"/>
      <c r="N171" s="523"/>
      <c r="O171" s="523"/>
      <c r="P171" s="523"/>
      <c r="Q171" s="523"/>
      <c r="R171" s="523"/>
      <c r="S171" s="523"/>
      <c r="T171" s="523"/>
      <c r="U171" s="523"/>
      <c r="V171" s="523"/>
      <c r="W171" s="523"/>
      <c r="X171" s="523"/>
      <c r="Y171" s="523"/>
      <c r="Z171" s="523"/>
      <c r="AA171" s="523"/>
      <c r="AB171" s="523"/>
      <c r="AC171" s="523"/>
    </row>
    <row r="172" spans="1:29">
      <c r="A172" s="523"/>
      <c r="B172" s="523"/>
      <c r="C172" s="523"/>
      <c r="D172" s="523"/>
      <c r="E172" s="523"/>
      <c r="F172" s="523"/>
      <c r="G172" s="523"/>
      <c r="H172" s="523"/>
      <c r="I172" s="523"/>
      <c r="J172" s="523"/>
      <c r="K172" s="538"/>
      <c r="L172" s="539"/>
      <c r="M172" s="523"/>
      <c r="N172" s="523"/>
      <c r="O172" s="523"/>
      <c r="P172" s="523"/>
      <c r="Q172" s="523"/>
      <c r="R172" s="523"/>
      <c r="S172" s="523"/>
      <c r="T172" s="523"/>
      <c r="U172" s="523"/>
      <c r="V172" s="523"/>
      <c r="W172" s="523"/>
      <c r="X172" s="523"/>
      <c r="Y172" s="523"/>
      <c r="Z172" s="523"/>
      <c r="AA172" s="523"/>
      <c r="AB172" s="523"/>
      <c r="AC172" s="523"/>
    </row>
    <row r="173" spans="1:29">
      <c r="A173" s="523"/>
      <c r="B173" s="523"/>
      <c r="C173" s="523"/>
      <c r="D173" s="523"/>
      <c r="E173" s="523"/>
      <c r="F173" s="523"/>
      <c r="G173" s="523"/>
      <c r="H173" s="523"/>
      <c r="I173" s="523"/>
      <c r="J173" s="523"/>
      <c r="K173" s="538"/>
      <c r="L173" s="539"/>
      <c r="M173" s="523"/>
      <c r="N173" s="523"/>
      <c r="O173" s="523"/>
      <c r="P173" s="523"/>
      <c r="Q173" s="523"/>
      <c r="R173" s="523"/>
      <c r="S173" s="523"/>
      <c r="T173" s="523"/>
      <c r="U173" s="523"/>
      <c r="V173" s="523"/>
      <c r="W173" s="523"/>
      <c r="X173" s="523"/>
      <c r="Y173" s="523"/>
      <c r="Z173" s="523"/>
      <c r="AA173" s="523"/>
      <c r="AB173" s="523"/>
      <c r="AC173" s="523"/>
    </row>
    <row r="174" spans="1:29">
      <c r="A174" s="523"/>
      <c r="B174" s="523"/>
      <c r="C174" s="523"/>
      <c r="D174" s="523"/>
      <c r="E174" s="523"/>
      <c r="F174" s="523"/>
      <c r="G174" s="523"/>
      <c r="H174" s="523"/>
      <c r="I174" s="523"/>
      <c r="J174" s="523"/>
      <c r="K174" s="538"/>
      <c r="L174" s="539"/>
      <c r="M174" s="523"/>
      <c r="N174" s="523"/>
      <c r="O174" s="523"/>
      <c r="P174" s="523"/>
      <c r="Q174" s="523"/>
      <c r="R174" s="523"/>
      <c r="S174" s="523"/>
      <c r="T174" s="523"/>
      <c r="U174" s="523"/>
      <c r="V174" s="523"/>
      <c r="W174" s="523"/>
      <c r="X174" s="523"/>
      <c r="Y174" s="523"/>
      <c r="Z174" s="523"/>
      <c r="AA174" s="523"/>
      <c r="AB174" s="523"/>
      <c r="AC174" s="523"/>
    </row>
    <row r="175" spans="1:29">
      <c r="A175" s="523"/>
      <c r="B175" s="523"/>
      <c r="C175" s="523"/>
      <c r="D175" s="523"/>
      <c r="E175" s="523"/>
      <c r="F175" s="523"/>
      <c r="G175" s="523"/>
      <c r="H175" s="523"/>
      <c r="I175" s="523"/>
      <c r="J175" s="523"/>
      <c r="K175" s="538"/>
      <c r="L175" s="539"/>
      <c r="M175" s="523"/>
      <c r="N175" s="523"/>
      <c r="O175" s="523"/>
      <c r="P175" s="523"/>
      <c r="Q175" s="523"/>
      <c r="R175" s="523"/>
      <c r="S175" s="523"/>
      <c r="T175" s="523"/>
      <c r="U175" s="523"/>
      <c r="V175" s="523"/>
      <c r="W175" s="523"/>
      <c r="X175" s="523"/>
      <c r="Y175" s="523"/>
      <c r="Z175" s="523"/>
      <c r="AA175" s="523"/>
      <c r="AB175" s="523"/>
      <c r="AC175" s="523"/>
    </row>
    <row r="176" spans="1:29">
      <c r="A176" s="523"/>
      <c r="B176" s="523"/>
      <c r="C176" s="523"/>
      <c r="D176" s="523"/>
      <c r="E176" s="523"/>
      <c r="F176" s="523"/>
      <c r="G176" s="523"/>
      <c r="H176" s="523"/>
      <c r="I176" s="523"/>
      <c r="J176" s="523"/>
      <c r="K176" s="538"/>
      <c r="L176" s="539"/>
      <c r="M176" s="523"/>
      <c r="N176" s="523"/>
      <c r="O176" s="523"/>
      <c r="P176" s="523"/>
      <c r="Q176" s="523"/>
      <c r="R176" s="523"/>
      <c r="S176" s="523"/>
      <c r="T176" s="523"/>
      <c r="U176" s="523"/>
      <c r="V176" s="523"/>
      <c r="W176" s="523"/>
      <c r="X176" s="523"/>
      <c r="Y176" s="523"/>
      <c r="Z176" s="523"/>
      <c r="AA176" s="523"/>
      <c r="AB176" s="523"/>
      <c r="AC176" s="523"/>
    </row>
    <row r="177" spans="1:29">
      <c r="A177" s="523"/>
      <c r="B177" s="523"/>
      <c r="C177" s="523"/>
      <c r="D177" s="523"/>
      <c r="E177" s="523"/>
      <c r="F177" s="523"/>
      <c r="G177" s="523"/>
      <c r="H177" s="523"/>
      <c r="I177" s="523"/>
      <c r="J177" s="523"/>
      <c r="K177" s="538"/>
      <c r="L177" s="539"/>
      <c r="M177" s="523"/>
      <c r="N177" s="523"/>
      <c r="O177" s="523"/>
      <c r="P177" s="523"/>
      <c r="Q177" s="523"/>
      <c r="R177" s="523"/>
      <c r="S177" s="523"/>
      <c r="T177" s="523"/>
      <c r="U177" s="523"/>
      <c r="V177" s="523"/>
      <c r="W177" s="523"/>
      <c r="X177" s="523"/>
      <c r="Y177" s="523"/>
      <c r="Z177" s="523"/>
      <c r="AA177" s="523"/>
      <c r="AB177" s="523"/>
      <c r="AC177" s="523"/>
    </row>
    <row r="178" spans="1:29">
      <c r="A178" s="523"/>
      <c r="B178" s="523"/>
      <c r="C178" s="523"/>
      <c r="D178" s="523"/>
      <c r="E178" s="523"/>
      <c r="F178" s="523"/>
      <c r="G178" s="523"/>
      <c r="H178" s="523"/>
      <c r="I178" s="523"/>
      <c r="J178" s="523"/>
      <c r="K178" s="538"/>
      <c r="L178" s="539"/>
      <c r="M178" s="523"/>
      <c r="N178" s="523"/>
      <c r="O178" s="523"/>
      <c r="P178" s="523"/>
      <c r="Q178" s="523"/>
      <c r="R178" s="523"/>
      <c r="S178" s="523"/>
      <c r="T178" s="523"/>
      <c r="U178" s="523"/>
      <c r="V178" s="523"/>
      <c r="W178" s="523"/>
      <c r="X178" s="523"/>
      <c r="Y178" s="523"/>
      <c r="Z178" s="523"/>
      <c r="AA178" s="523"/>
      <c r="AB178" s="523"/>
      <c r="AC178" s="523"/>
    </row>
    <row r="179" spans="1:29">
      <c r="A179" s="523"/>
      <c r="B179" s="523"/>
      <c r="C179" s="523"/>
      <c r="D179" s="523"/>
      <c r="E179" s="523"/>
      <c r="F179" s="523"/>
      <c r="G179" s="523"/>
      <c r="H179" s="523"/>
      <c r="I179" s="523"/>
      <c r="J179" s="523"/>
      <c r="K179" s="538"/>
      <c r="L179" s="539"/>
      <c r="M179" s="523"/>
      <c r="N179" s="523"/>
      <c r="O179" s="523"/>
      <c r="P179" s="523"/>
      <c r="Q179" s="523"/>
      <c r="R179" s="523"/>
      <c r="S179" s="523"/>
      <c r="T179" s="523"/>
      <c r="U179" s="523"/>
      <c r="V179" s="523"/>
      <c r="W179" s="523"/>
      <c r="X179" s="523"/>
      <c r="Y179" s="523"/>
      <c r="Z179" s="523"/>
      <c r="AA179" s="523"/>
      <c r="AB179" s="523"/>
      <c r="AC179" s="523"/>
    </row>
    <row r="180" spans="1:29">
      <c r="A180" s="523"/>
      <c r="B180" s="523"/>
      <c r="C180" s="523"/>
      <c r="D180" s="523"/>
      <c r="E180" s="523"/>
      <c r="F180" s="523"/>
      <c r="G180" s="523"/>
      <c r="H180" s="523"/>
      <c r="I180" s="523"/>
      <c r="J180" s="523"/>
      <c r="K180" s="538"/>
      <c r="L180" s="539"/>
      <c r="M180" s="523"/>
      <c r="N180" s="523"/>
      <c r="O180" s="523"/>
      <c r="P180" s="523"/>
      <c r="Q180" s="523"/>
      <c r="R180" s="523"/>
      <c r="S180" s="523"/>
      <c r="T180" s="523"/>
      <c r="U180" s="523"/>
      <c r="V180" s="523"/>
      <c r="W180" s="523"/>
      <c r="X180" s="523"/>
      <c r="Y180" s="523"/>
      <c r="Z180" s="523"/>
      <c r="AA180" s="523"/>
      <c r="AB180" s="523"/>
      <c r="AC180" s="523"/>
    </row>
    <row r="181" spans="1:29">
      <c r="A181" s="523"/>
      <c r="B181" s="523"/>
      <c r="C181" s="523"/>
      <c r="D181" s="523"/>
      <c r="E181" s="523"/>
      <c r="F181" s="523"/>
      <c r="G181" s="523"/>
      <c r="H181" s="523"/>
      <c r="I181" s="523"/>
      <c r="J181" s="523"/>
      <c r="K181" s="538"/>
      <c r="L181" s="539"/>
      <c r="M181" s="523"/>
      <c r="N181" s="523"/>
      <c r="O181" s="523"/>
      <c r="P181" s="523"/>
      <c r="Q181" s="523"/>
      <c r="R181" s="523"/>
      <c r="S181" s="523"/>
      <c r="T181" s="523"/>
      <c r="U181" s="523"/>
      <c r="V181" s="523"/>
      <c r="W181" s="523"/>
      <c r="X181" s="523"/>
      <c r="Y181" s="523"/>
      <c r="Z181" s="523"/>
      <c r="AA181" s="523"/>
      <c r="AB181" s="523"/>
      <c r="AC181" s="523"/>
    </row>
    <row r="182" spans="1:29">
      <c r="A182" s="523"/>
      <c r="B182" s="523"/>
      <c r="C182" s="523"/>
      <c r="D182" s="523"/>
      <c r="E182" s="523"/>
      <c r="F182" s="523"/>
      <c r="G182" s="523"/>
      <c r="H182" s="523"/>
      <c r="I182" s="523"/>
      <c r="J182" s="523"/>
      <c r="K182" s="538"/>
      <c r="L182" s="539"/>
      <c r="M182" s="523"/>
      <c r="N182" s="523"/>
      <c r="O182" s="523"/>
      <c r="P182" s="523"/>
      <c r="Q182" s="523"/>
      <c r="R182" s="523"/>
      <c r="S182" s="523"/>
      <c r="T182" s="523"/>
      <c r="U182" s="523"/>
      <c r="V182" s="523"/>
      <c r="W182" s="523"/>
      <c r="X182" s="523"/>
      <c r="Y182" s="523"/>
      <c r="Z182" s="523"/>
      <c r="AA182" s="523"/>
      <c r="AB182" s="523"/>
      <c r="AC182" s="523"/>
    </row>
    <row r="183" spans="1:29">
      <c r="A183" s="523"/>
      <c r="B183" s="523"/>
      <c r="C183" s="523"/>
      <c r="D183" s="523"/>
      <c r="E183" s="523"/>
      <c r="F183" s="523"/>
      <c r="G183" s="523"/>
      <c r="H183" s="523"/>
      <c r="I183" s="523"/>
      <c r="J183" s="523"/>
      <c r="K183" s="538"/>
      <c r="L183" s="539"/>
      <c r="M183" s="523"/>
      <c r="N183" s="523"/>
      <c r="O183" s="523"/>
      <c r="P183" s="523"/>
      <c r="Q183" s="523"/>
      <c r="R183" s="523"/>
      <c r="S183" s="523"/>
      <c r="T183" s="523"/>
      <c r="U183" s="523"/>
      <c r="V183" s="523"/>
      <c r="W183" s="523"/>
      <c r="X183" s="523"/>
      <c r="Y183" s="523"/>
      <c r="Z183" s="523"/>
      <c r="AA183" s="523"/>
      <c r="AB183" s="523"/>
      <c r="AC183" s="523"/>
    </row>
    <row r="184" spans="1:29">
      <c r="A184" s="523"/>
      <c r="B184" s="523"/>
      <c r="C184" s="523"/>
      <c r="D184" s="523"/>
      <c r="E184" s="523"/>
      <c r="F184" s="523"/>
      <c r="G184" s="523"/>
      <c r="H184" s="523"/>
      <c r="I184" s="523"/>
      <c r="J184" s="523"/>
      <c r="K184" s="538"/>
      <c r="L184" s="539"/>
      <c r="M184" s="523"/>
      <c r="N184" s="523"/>
      <c r="O184" s="523"/>
      <c r="P184" s="523"/>
      <c r="Q184" s="523"/>
      <c r="R184" s="523"/>
      <c r="S184" s="523"/>
      <c r="T184" s="523"/>
      <c r="U184" s="523"/>
      <c r="V184" s="523"/>
      <c r="W184" s="523"/>
      <c r="X184" s="523"/>
      <c r="Y184" s="523"/>
      <c r="Z184" s="523"/>
      <c r="AA184" s="523"/>
      <c r="AB184" s="523"/>
      <c r="AC184" s="523"/>
    </row>
    <row r="185" spans="1:29">
      <c r="A185" s="523"/>
      <c r="B185" s="523"/>
      <c r="C185" s="523"/>
      <c r="D185" s="523"/>
      <c r="E185" s="523"/>
      <c r="F185" s="523"/>
      <c r="G185" s="523"/>
      <c r="H185" s="523"/>
      <c r="I185" s="523"/>
      <c r="J185" s="523"/>
      <c r="K185" s="538"/>
      <c r="L185" s="539"/>
      <c r="M185" s="523"/>
      <c r="N185" s="523"/>
      <c r="O185" s="523"/>
      <c r="P185" s="523"/>
      <c r="Q185" s="523"/>
      <c r="R185" s="523"/>
      <c r="S185" s="523"/>
      <c r="T185" s="523"/>
      <c r="U185" s="523"/>
      <c r="V185" s="523"/>
      <c r="W185" s="523"/>
      <c r="X185" s="523"/>
      <c r="Y185" s="523"/>
      <c r="Z185" s="523"/>
      <c r="AA185" s="523"/>
      <c r="AB185" s="523"/>
      <c r="AC185" s="523"/>
    </row>
    <row r="186" spans="1:29">
      <c r="A186" s="523"/>
      <c r="B186" s="523"/>
      <c r="C186" s="523"/>
      <c r="D186" s="523"/>
      <c r="E186" s="523"/>
      <c r="F186" s="523"/>
      <c r="G186" s="523"/>
      <c r="H186" s="523"/>
      <c r="I186" s="523"/>
      <c r="J186" s="523"/>
      <c r="K186" s="538"/>
      <c r="L186" s="539"/>
      <c r="M186" s="523"/>
      <c r="N186" s="523"/>
      <c r="O186" s="523"/>
      <c r="P186" s="523"/>
      <c r="Q186" s="523"/>
      <c r="R186" s="523"/>
      <c r="S186" s="523"/>
      <c r="T186" s="523"/>
      <c r="U186" s="523"/>
      <c r="V186" s="523"/>
      <c r="W186" s="523"/>
      <c r="X186" s="523"/>
      <c r="Y186" s="523"/>
      <c r="Z186" s="523"/>
      <c r="AA186" s="523"/>
      <c r="AB186" s="523"/>
      <c r="AC186" s="523"/>
    </row>
    <row r="187" spans="1:29">
      <c r="A187" s="523"/>
      <c r="B187" s="523"/>
      <c r="C187" s="523"/>
      <c r="D187" s="523"/>
      <c r="E187" s="523"/>
      <c r="F187" s="523"/>
      <c r="G187" s="523"/>
      <c r="H187" s="523"/>
      <c r="I187" s="523"/>
      <c r="J187" s="523"/>
      <c r="K187" s="538"/>
      <c r="L187" s="539"/>
      <c r="M187" s="523"/>
      <c r="N187" s="523"/>
      <c r="O187" s="523"/>
      <c r="P187" s="523"/>
      <c r="Q187" s="523"/>
      <c r="R187" s="523"/>
      <c r="S187" s="523"/>
      <c r="T187" s="523"/>
      <c r="U187" s="523"/>
      <c r="V187" s="523"/>
      <c r="W187" s="523"/>
      <c r="X187" s="523"/>
      <c r="Y187" s="523"/>
      <c r="Z187" s="523"/>
      <c r="AA187" s="523"/>
      <c r="AB187" s="523"/>
      <c r="AC187" s="523"/>
    </row>
    <row r="188" spans="1:29">
      <c r="A188" s="523"/>
      <c r="B188" s="523"/>
      <c r="C188" s="523"/>
      <c r="D188" s="523"/>
      <c r="E188" s="523"/>
      <c r="F188" s="523"/>
      <c r="G188" s="523"/>
      <c r="H188" s="523"/>
      <c r="I188" s="523"/>
      <c r="J188" s="523"/>
      <c r="K188" s="538"/>
      <c r="L188" s="539"/>
      <c r="M188" s="523"/>
      <c r="N188" s="523"/>
      <c r="O188" s="523"/>
      <c r="P188" s="523"/>
      <c r="Q188" s="523"/>
      <c r="R188" s="523"/>
      <c r="S188" s="523"/>
      <c r="T188" s="523"/>
      <c r="U188" s="523"/>
      <c r="V188" s="523"/>
      <c r="W188" s="523"/>
      <c r="X188" s="523"/>
      <c r="Y188" s="523"/>
      <c r="Z188" s="523"/>
      <c r="AA188" s="523"/>
      <c r="AB188" s="523"/>
      <c r="AC188" s="523"/>
    </row>
    <row r="189" spans="1:29">
      <c r="A189" s="523"/>
      <c r="B189" s="523"/>
      <c r="C189" s="523"/>
      <c r="D189" s="523"/>
      <c r="E189" s="523"/>
      <c r="F189" s="523"/>
      <c r="G189" s="523"/>
      <c r="H189" s="523"/>
      <c r="I189" s="523"/>
      <c r="J189" s="523"/>
      <c r="K189" s="538"/>
      <c r="L189" s="539"/>
      <c r="M189" s="523"/>
      <c r="N189" s="523"/>
      <c r="O189" s="523"/>
      <c r="P189" s="523"/>
      <c r="Q189" s="523"/>
      <c r="R189" s="523"/>
      <c r="S189" s="523"/>
      <c r="T189" s="523"/>
      <c r="U189" s="523"/>
      <c r="V189" s="523"/>
      <c r="W189" s="523"/>
      <c r="X189" s="523"/>
      <c r="Y189" s="523"/>
      <c r="Z189" s="523"/>
      <c r="AA189" s="523"/>
      <c r="AB189" s="523"/>
      <c r="AC189" s="523"/>
    </row>
    <row r="190" spans="1:29">
      <c r="A190" s="523"/>
      <c r="B190" s="523"/>
      <c r="C190" s="523"/>
      <c r="D190" s="523"/>
      <c r="E190" s="523"/>
      <c r="F190" s="523"/>
      <c r="G190" s="523"/>
      <c r="H190" s="523"/>
      <c r="I190" s="523"/>
      <c r="J190" s="523"/>
      <c r="K190" s="538"/>
      <c r="L190" s="539"/>
      <c r="M190" s="523"/>
      <c r="N190" s="523"/>
      <c r="O190" s="523"/>
      <c r="P190" s="523"/>
      <c r="Q190" s="523"/>
      <c r="R190" s="523"/>
      <c r="S190" s="523"/>
      <c r="T190" s="523"/>
      <c r="U190" s="523"/>
      <c r="V190" s="523"/>
      <c r="W190" s="523"/>
      <c r="X190" s="523"/>
      <c r="Y190" s="523"/>
      <c r="Z190" s="523"/>
      <c r="AA190" s="523"/>
      <c r="AB190" s="523"/>
      <c r="AC190" s="523"/>
    </row>
    <row r="191" spans="1:29">
      <c r="A191" s="523"/>
      <c r="B191" s="523"/>
      <c r="C191" s="523"/>
      <c r="D191" s="523"/>
      <c r="E191" s="523"/>
      <c r="F191" s="523"/>
      <c r="G191" s="523"/>
      <c r="H191" s="523"/>
      <c r="I191" s="523"/>
      <c r="J191" s="523"/>
      <c r="K191" s="538"/>
      <c r="L191" s="539"/>
      <c r="M191" s="523"/>
      <c r="N191" s="523"/>
      <c r="O191" s="523"/>
      <c r="P191" s="523"/>
      <c r="Q191" s="523"/>
      <c r="R191" s="523"/>
      <c r="S191" s="523"/>
      <c r="T191" s="523"/>
      <c r="U191" s="523"/>
      <c r="V191" s="523"/>
      <c r="W191" s="523"/>
      <c r="X191" s="523"/>
      <c r="Y191" s="523"/>
      <c r="Z191" s="523"/>
      <c r="AA191" s="523"/>
      <c r="AB191" s="523"/>
      <c r="AC191" s="523"/>
    </row>
    <row r="192" spans="1:29">
      <c r="A192" s="523"/>
      <c r="B192" s="523"/>
      <c r="C192" s="523"/>
      <c r="D192" s="523"/>
      <c r="E192" s="523"/>
      <c r="F192" s="523"/>
      <c r="G192" s="523"/>
      <c r="H192" s="523"/>
      <c r="I192" s="523"/>
      <c r="J192" s="523"/>
      <c r="K192" s="538"/>
      <c r="L192" s="539"/>
      <c r="M192" s="523"/>
      <c r="N192" s="523"/>
      <c r="O192" s="523"/>
      <c r="P192" s="523"/>
      <c r="Q192" s="523"/>
      <c r="R192" s="523"/>
      <c r="S192" s="523"/>
      <c r="T192" s="523"/>
      <c r="U192" s="523"/>
      <c r="V192" s="523"/>
      <c r="W192" s="523"/>
      <c r="X192" s="523"/>
      <c r="Y192" s="523"/>
      <c r="Z192" s="523"/>
      <c r="AA192" s="523"/>
      <c r="AB192" s="523"/>
      <c r="AC192" s="523"/>
    </row>
    <row r="193" spans="1:29">
      <c r="A193" s="523"/>
      <c r="B193" s="523"/>
      <c r="C193" s="523"/>
      <c r="D193" s="523"/>
      <c r="E193" s="523"/>
      <c r="F193" s="523"/>
      <c r="G193" s="523"/>
      <c r="H193" s="523"/>
      <c r="I193" s="523"/>
      <c r="J193" s="523"/>
      <c r="K193" s="538"/>
      <c r="L193" s="539"/>
      <c r="M193" s="523"/>
      <c r="N193" s="523"/>
      <c r="O193" s="523"/>
      <c r="P193" s="523"/>
      <c r="Q193" s="523"/>
      <c r="R193" s="523"/>
      <c r="S193" s="523"/>
      <c r="T193" s="523"/>
      <c r="U193" s="523"/>
      <c r="V193" s="523"/>
      <c r="W193" s="523"/>
      <c r="X193" s="523"/>
      <c r="Y193" s="523"/>
      <c r="Z193" s="523"/>
      <c r="AA193" s="523"/>
      <c r="AB193" s="523"/>
      <c r="AC193" s="523"/>
    </row>
    <row r="194" spans="1:29">
      <c r="A194" s="523"/>
      <c r="B194" s="523"/>
      <c r="C194" s="523"/>
      <c r="D194" s="523"/>
      <c r="E194" s="523"/>
      <c r="F194" s="523"/>
      <c r="G194" s="523"/>
      <c r="H194" s="523"/>
      <c r="I194" s="523"/>
      <c r="J194" s="523"/>
      <c r="K194" s="538"/>
      <c r="L194" s="539"/>
      <c r="M194" s="523"/>
      <c r="N194" s="523"/>
      <c r="O194" s="523"/>
      <c r="P194" s="523"/>
      <c r="Q194" s="523"/>
      <c r="R194" s="523"/>
      <c r="S194" s="523"/>
      <c r="T194" s="523"/>
      <c r="U194" s="523"/>
      <c r="V194" s="523"/>
      <c r="W194" s="523"/>
      <c r="X194" s="523"/>
      <c r="Y194" s="523"/>
      <c r="Z194" s="523"/>
      <c r="AA194" s="523"/>
      <c r="AB194" s="523"/>
      <c r="AC194" s="523"/>
    </row>
    <row r="195" spans="1:29">
      <c r="A195" s="523"/>
      <c r="B195" s="523"/>
      <c r="C195" s="523"/>
      <c r="D195" s="523"/>
      <c r="E195" s="523"/>
      <c r="F195" s="523"/>
      <c r="G195" s="523"/>
      <c r="H195" s="523"/>
      <c r="I195" s="523"/>
      <c r="J195" s="523"/>
      <c r="K195" s="538"/>
      <c r="L195" s="539"/>
      <c r="M195" s="523"/>
      <c r="N195" s="523"/>
      <c r="O195" s="523"/>
      <c r="P195" s="523"/>
      <c r="Q195" s="523"/>
      <c r="R195" s="523"/>
      <c r="S195" s="523"/>
      <c r="T195" s="523"/>
      <c r="U195" s="523"/>
      <c r="V195" s="523"/>
      <c r="W195" s="523"/>
      <c r="X195" s="523"/>
      <c r="Y195" s="523"/>
      <c r="Z195" s="523"/>
      <c r="AA195" s="523"/>
      <c r="AB195" s="523"/>
      <c r="AC195" s="523"/>
    </row>
    <row r="196" spans="1:29">
      <c r="A196" s="523"/>
      <c r="B196" s="523"/>
      <c r="C196" s="523"/>
      <c r="D196" s="523"/>
      <c r="E196" s="523"/>
      <c r="F196" s="523"/>
      <c r="G196" s="523"/>
      <c r="H196" s="523"/>
      <c r="I196" s="523"/>
      <c r="J196" s="523"/>
      <c r="K196" s="538"/>
      <c r="L196" s="539"/>
      <c r="M196" s="523"/>
      <c r="N196" s="523"/>
      <c r="O196" s="523"/>
      <c r="P196" s="523"/>
      <c r="Q196" s="523"/>
      <c r="R196" s="523"/>
      <c r="S196" s="523"/>
      <c r="T196" s="523"/>
      <c r="U196" s="523"/>
      <c r="V196" s="523"/>
      <c r="W196" s="523"/>
      <c r="X196" s="523"/>
      <c r="Y196" s="523"/>
      <c r="Z196" s="523"/>
      <c r="AA196" s="523"/>
      <c r="AB196" s="523"/>
      <c r="AC196" s="523"/>
    </row>
    <row r="197" spans="1:29">
      <c r="A197" s="523"/>
      <c r="B197" s="523"/>
      <c r="C197" s="523"/>
      <c r="D197" s="523"/>
      <c r="E197" s="523"/>
      <c r="F197" s="523"/>
      <c r="G197" s="523"/>
      <c r="H197" s="523"/>
      <c r="I197" s="523"/>
      <c r="J197" s="523"/>
      <c r="K197" s="538"/>
      <c r="L197" s="539"/>
      <c r="M197" s="523"/>
      <c r="N197" s="523"/>
      <c r="O197" s="523"/>
      <c r="P197" s="523"/>
      <c r="Q197" s="523"/>
      <c r="R197" s="523"/>
      <c r="S197" s="523"/>
      <c r="T197" s="523"/>
      <c r="U197" s="523"/>
      <c r="V197" s="523"/>
      <c r="W197" s="523"/>
      <c r="X197" s="523"/>
      <c r="Y197" s="523"/>
      <c r="Z197" s="523"/>
      <c r="AA197" s="523"/>
      <c r="AB197" s="523"/>
      <c r="AC197" s="523"/>
    </row>
    <row r="198" spans="1:29">
      <c r="A198" s="523"/>
      <c r="B198" s="523"/>
      <c r="C198" s="523"/>
      <c r="D198" s="523"/>
      <c r="E198" s="523"/>
      <c r="F198" s="523"/>
      <c r="G198" s="523"/>
      <c r="H198" s="523"/>
      <c r="I198" s="523"/>
      <c r="J198" s="523"/>
      <c r="K198" s="538"/>
      <c r="L198" s="539"/>
      <c r="M198" s="523"/>
      <c r="N198" s="523"/>
      <c r="O198" s="523"/>
      <c r="P198" s="523"/>
      <c r="Q198" s="523"/>
      <c r="R198" s="523"/>
      <c r="S198" s="523"/>
      <c r="T198" s="523"/>
      <c r="U198" s="523"/>
      <c r="V198" s="523"/>
      <c r="W198" s="523"/>
      <c r="X198" s="523"/>
      <c r="Y198" s="523"/>
      <c r="Z198" s="523"/>
      <c r="AA198" s="523"/>
      <c r="AB198" s="523"/>
      <c r="AC198" s="523"/>
    </row>
    <row r="199" spans="1:29">
      <c r="A199" s="523"/>
      <c r="B199" s="523"/>
      <c r="C199" s="523"/>
      <c r="D199" s="523"/>
      <c r="E199" s="523"/>
      <c r="F199" s="523"/>
      <c r="G199" s="523"/>
      <c r="H199" s="523"/>
      <c r="I199" s="523"/>
      <c r="J199" s="523"/>
      <c r="K199" s="538"/>
      <c r="L199" s="539"/>
      <c r="M199" s="523"/>
      <c r="N199" s="523"/>
      <c r="O199" s="523"/>
      <c r="P199" s="523"/>
      <c r="Q199" s="523"/>
      <c r="R199" s="523"/>
      <c r="S199" s="523"/>
      <c r="T199" s="523"/>
      <c r="U199" s="523"/>
      <c r="V199" s="523"/>
      <c r="W199" s="523"/>
      <c r="X199" s="523"/>
      <c r="Y199" s="523"/>
      <c r="Z199" s="523"/>
      <c r="AA199" s="523"/>
      <c r="AB199" s="523"/>
      <c r="AC199" s="523"/>
    </row>
    <row r="200" spans="1:29">
      <c r="A200" s="523"/>
      <c r="B200" s="523"/>
      <c r="C200" s="523"/>
      <c r="D200" s="523"/>
      <c r="E200" s="523"/>
      <c r="F200" s="523"/>
      <c r="G200" s="523"/>
      <c r="H200" s="523"/>
      <c r="I200" s="523"/>
      <c r="J200" s="523"/>
      <c r="K200" s="538"/>
      <c r="L200" s="539"/>
      <c r="M200" s="523"/>
      <c r="N200" s="523"/>
      <c r="O200" s="523"/>
      <c r="P200" s="523"/>
      <c r="Q200" s="523"/>
      <c r="R200" s="523"/>
      <c r="S200" s="523"/>
      <c r="T200" s="523"/>
      <c r="U200" s="523"/>
      <c r="V200" s="523"/>
      <c r="W200" s="523"/>
      <c r="X200" s="523"/>
      <c r="Y200" s="523"/>
      <c r="Z200" s="523"/>
      <c r="AA200" s="523"/>
      <c r="AB200" s="523"/>
      <c r="AC200" s="523"/>
    </row>
    <row r="201" spans="1:29">
      <c r="A201" s="523"/>
      <c r="B201" s="523"/>
      <c r="C201" s="523"/>
      <c r="D201" s="523"/>
      <c r="E201" s="523"/>
      <c r="F201" s="523"/>
      <c r="G201" s="523"/>
      <c r="H201" s="523"/>
      <c r="I201" s="523"/>
      <c r="J201" s="523"/>
      <c r="K201" s="538"/>
      <c r="L201" s="539"/>
      <c r="M201" s="523"/>
      <c r="N201" s="523"/>
      <c r="O201" s="523"/>
      <c r="P201" s="523"/>
      <c r="Q201" s="523"/>
      <c r="R201" s="523"/>
      <c r="S201" s="523"/>
      <c r="T201" s="523"/>
      <c r="U201" s="523"/>
      <c r="V201" s="523"/>
      <c r="W201" s="523"/>
      <c r="X201" s="523"/>
      <c r="Y201" s="523"/>
      <c r="Z201" s="523"/>
      <c r="AA201" s="523"/>
      <c r="AB201" s="523"/>
      <c r="AC201" s="523"/>
    </row>
    <row r="202" spans="1:29">
      <c r="A202" s="523"/>
      <c r="B202" s="523"/>
      <c r="C202" s="523"/>
      <c r="D202" s="523"/>
      <c r="E202" s="523"/>
      <c r="F202" s="523"/>
      <c r="G202" s="523"/>
      <c r="H202" s="523"/>
      <c r="I202" s="523"/>
      <c r="J202" s="523"/>
      <c r="K202" s="538"/>
      <c r="L202" s="539"/>
      <c r="M202" s="523"/>
      <c r="N202" s="523"/>
      <c r="O202" s="523"/>
      <c r="P202" s="523"/>
      <c r="Q202" s="523"/>
      <c r="R202" s="523"/>
      <c r="S202" s="523"/>
      <c r="T202" s="523"/>
      <c r="U202" s="523"/>
      <c r="V202" s="523"/>
      <c r="W202" s="523"/>
      <c r="X202" s="523"/>
      <c r="Y202" s="523"/>
      <c r="Z202" s="523"/>
      <c r="AA202" s="523"/>
      <c r="AB202" s="523"/>
      <c r="AC202" s="523"/>
    </row>
    <row r="203" spans="1:29">
      <c r="A203" s="523"/>
      <c r="B203" s="523"/>
      <c r="C203" s="523"/>
      <c r="D203" s="523"/>
      <c r="E203" s="523"/>
      <c r="F203" s="523"/>
      <c r="G203" s="523"/>
      <c r="H203" s="523"/>
      <c r="I203" s="523"/>
      <c r="J203" s="523"/>
      <c r="K203" s="538"/>
      <c r="L203" s="539"/>
      <c r="M203" s="523"/>
      <c r="N203" s="523"/>
      <c r="O203" s="523"/>
      <c r="P203" s="523"/>
      <c r="Q203" s="523"/>
      <c r="R203" s="523"/>
      <c r="S203" s="523"/>
      <c r="T203" s="523"/>
      <c r="U203" s="523"/>
      <c r="V203" s="523"/>
      <c r="W203" s="523"/>
      <c r="X203" s="523"/>
      <c r="Y203" s="523"/>
      <c r="Z203" s="523"/>
      <c r="AA203" s="523"/>
      <c r="AB203" s="523"/>
      <c r="AC203" s="523"/>
    </row>
    <row r="204" spans="1:29">
      <c r="A204" s="523"/>
      <c r="B204" s="523"/>
      <c r="C204" s="523"/>
      <c r="D204" s="523"/>
      <c r="E204" s="523"/>
      <c r="F204" s="523"/>
      <c r="G204" s="523"/>
      <c r="H204" s="523"/>
      <c r="I204" s="523"/>
      <c r="J204" s="523"/>
      <c r="K204" s="538"/>
      <c r="L204" s="539"/>
      <c r="M204" s="523"/>
      <c r="N204" s="523"/>
      <c r="O204" s="523"/>
      <c r="P204" s="523"/>
      <c r="Q204" s="523"/>
      <c r="R204" s="523"/>
      <c r="S204" s="523"/>
      <c r="T204" s="523"/>
      <c r="U204" s="523"/>
      <c r="V204" s="523"/>
      <c r="W204" s="523"/>
      <c r="X204" s="523"/>
      <c r="Y204" s="523"/>
      <c r="Z204" s="523"/>
      <c r="AA204" s="523"/>
      <c r="AB204" s="523"/>
      <c r="AC204" s="523"/>
    </row>
    <row r="205" spans="1:29">
      <c r="A205" s="523"/>
      <c r="B205" s="523"/>
      <c r="C205" s="523"/>
      <c r="D205" s="523"/>
      <c r="E205" s="523"/>
      <c r="F205" s="523"/>
      <c r="G205" s="523"/>
      <c r="H205" s="523"/>
      <c r="I205" s="523"/>
      <c r="J205" s="523"/>
      <c r="K205" s="538"/>
      <c r="L205" s="539"/>
      <c r="M205" s="523"/>
      <c r="N205" s="523"/>
      <c r="O205" s="523"/>
      <c r="P205" s="523"/>
      <c r="Q205" s="523"/>
      <c r="R205" s="523"/>
      <c r="S205" s="523"/>
      <c r="T205" s="523"/>
      <c r="U205" s="523"/>
      <c r="V205" s="523"/>
      <c r="W205" s="523"/>
      <c r="X205" s="523"/>
      <c r="Y205" s="523"/>
      <c r="Z205" s="523"/>
      <c r="AA205" s="523"/>
      <c r="AB205" s="523"/>
      <c r="AC205" s="523"/>
    </row>
    <row r="206" spans="1:29">
      <c r="A206" s="523"/>
      <c r="B206" s="523"/>
      <c r="C206" s="523"/>
      <c r="D206" s="523"/>
      <c r="E206" s="523"/>
      <c r="F206" s="523"/>
      <c r="G206" s="523"/>
      <c r="H206" s="523"/>
      <c r="I206" s="523"/>
      <c r="J206" s="523"/>
      <c r="K206" s="538"/>
      <c r="L206" s="539"/>
      <c r="M206" s="523"/>
      <c r="N206" s="523"/>
      <c r="O206" s="523"/>
      <c r="P206" s="523"/>
      <c r="Q206" s="523"/>
      <c r="R206" s="523"/>
      <c r="S206" s="523"/>
      <c r="T206" s="523"/>
      <c r="U206" s="523"/>
      <c r="V206" s="523"/>
      <c r="W206" s="523"/>
      <c r="X206" s="523"/>
      <c r="Y206" s="523"/>
      <c r="Z206" s="523"/>
      <c r="AA206" s="523"/>
      <c r="AB206" s="523"/>
      <c r="AC206" s="523"/>
    </row>
    <row r="207" spans="1:29">
      <c r="A207" s="523"/>
      <c r="B207" s="523"/>
      <c r="C207" s="523"/>
      <c r="D207" s="523"/>
      <c r="E207" s="523"/>
      <c r="F207" s="523"/>
      <c r="G207" s="523"/>
      <c r="H207" s="523"/>
      <c r="I207" s="523"/>
      <c r="J207" s="523"/>
      <c r="K207" s="538"/>
      <c r="L207" s="539"/>
      <c r="M207" s="523"/>
      <c r="N207" s="523"/>
      <c r="O207" s="523"/>
      <c r="P207" s="523"/>
      <c r="Q207" s="523"/>
      <c r="R207" s="523"/>
      <c r="S207" s="523"/>
      <c r="T207" s="523"/>
      <c r="U207" s="523"/>
      <c r="V207" s="523"/>
      <c r="W207" s="523"/>
      <c r="X207" s="523"/>
      <c r="Y207" s="523"/>
      <c r="Z207" s="523"/>
      <c r="AA207" s="523"/>
      <c r="AB207" s="523"/>
      <c r="AC207" s="523"/>
    </row>
    <row r="208" spans="1:29">
      <c r="A208" s="523"/>
      <c r="B208" s="523"/>
      <c r="C208" s="523"/>
      <c r="D208" s="523"/>
      <c r="E208" s="523"/>
      <c r="F208" s="523"/>
      <c r="G208" s="523"/>
      <c r="H208" s="523"/>
      <c r="I208" s="523"/>
      <c r="J208" s="523"/>
      <c r="K208" s="538"/>
      <c r="L208" s="539"/>
      <c r="M208" s="523"/>
      <c r="N208" s="523"/>
      <c r="O208" s="523"/>
      <c r="P208" s="523"/>
      <c r="Q208" s="523"/>
      <c r="R208" s="523"/>
      <c r="S208" s="523"/>
      <c r="T208" s="523"/>
      <c r="U208" s="523"/>
      <c r="V208" s="523"/>
      <c r="W208" s="523"/>
      <c r="X208" s="523"/>
      <c r="Y208" s="523"/>
      <c r="Z208" s="523"/>
      <c r="AA208" s="523"/>
      <c r="AB208" s="523"/>
      <c r="AC208" s="523"/>
    </row>
    <row r="209" spans="1:29">
      <c r="A209" s="523"/>
      <c r="B209" s="523"/>
      <c r="C209" s="523"/>
      <c r="D209" s="523"/>
      <c r="E209" s="523"/>
      <c r="F209" s="523"/>
      <c r="G209" s="523"/>
      <c r="H209" s="523"/>
      <c r="I209" s="523"/>
      <c r="J209" s="523"/>
      <c r="K209" s="538"/>
      <c r="L209" s="539"/>
      <c r="M209" s="523"/>
      <c r="N209" s="523"/>
      <c r="O209" s="523"/>
      <c r="P209" s="523"/>
      <c r="Q209" s="523"/>
      <c r="R209" s="523"/>
      <c r="S209" s="523"/>
      <c r="T209" s="523"/>
      <c r="U209" s="523"/>
      <c r="V209" s="523"/>
      <c r="W209" s="523"/>
      <c r="X209" s="523"/>
      <c r="Y209" s="523"/>
      <c r="Z209" s="523"/>
      <c r="AA209" s="523"/>
      <c r="AB209" s="523"/>
      <c r="AC209" s="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7" priority="4">
      <formula>$D$36="简单平均"</formula>
    </cfRule>
  </conditionalFormatting>
  <conditionalFormatting sqref="H36">
    <cfRule type="expression" dxfId="7" priority="3">
      <formula>$D$36="简单平均"</formula>
    </cfRule>
  </conditionalFormatting>
  <conditionalFormatting sqref="J36">
    <cfRule type="expression" dxfId="7"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8"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6">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F1">
      <formula1>"售价,租金"</formula1>
    </dataValidation>
    <dataValidation type="list" allowBlank="1" showInputMessage="1" showErrorMessage="1" sqref="C26 E26 G26 I26">
      <formula1>仓储公共部分装修</formula1>
    </dataValidation>
    <dataValidation type="list" allowBlank="1" showInputMessage="1" showErrorMessage="1" sqref="C8 E8 G8 I8">
      <formula1>仓储交易情况</formula1>
    </dataValidation>
    <dataValidation type="list" allowBlank="1" showInputMessage="1" showErrorMessage="1" sqref="C29 E29 G29 I29">
      <formula1>有无电梯</formula1>
    </dataValidation>
    <dataValidation type="list" allowBlank="1" showInputMessage="1" showErrorMessage="1" sqref="C17 E17 G17 I17">
      <formula1>公共配套设施</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D36">
      <formula1>"简单平均,加权平均"</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682"/>
  <sheetViews>
    <sheetView zoomScale="70" zoomScaleNormal="70" workbookViewId="0">
      <pane ySplit="24" topLeftCell="A495" activePane="bottomLeft" state="frozen"/>
      <selection/>
      <selection pane="bottomLeft" activeCell="D31" sqref="D31"/>
    </sheetView>
  </sheetViews>
  <sheetFormatPr defaultColWidth="9" defaultRowHeight="12.75"/>
  <cols>
    <col min="1" max="1" width="11.5" style="75" customWidth="1"/>
    <col min="2" max="2" width="9.25" style="76" customWidth="1"/>
    <col min="3" max="3" width="5" style="76" customWidth="1"/>
    <col min="4" max="4" width="9" style="76"/>
    <col min="5" max="5" width="5" style="76" customWidth="1"/>
    <col min="6" max="6" width="9" style="76"/>
    <col min="7" max="7" width="5" style="76" customWidth="1"/>
    <col min="8" max="8" width="9" style="76"/>
    <col min="9" max="9" width="5" style="76" customWidth="1"/>
    <col min="10" max="10" width="9" style="76"/>
    <col min="11" max="11" width="5" style="76" customWidth="1"/>
    <col min="12" max="12" width="9" style="76"/>
    <col min="13" max="13" width="5" style="76" customWidth="1"/>
    <col min="14" max="14" width="9" style="76"/>
    <col min="15" max="15" width="5" style="76" customWidth="1"/>
    <col min="16" max="16" width="9" style="76"/>
    <col min="17" max="17" width="5" style="76" customWidth="1"/>
    <col min="18" max="18" width="9" style="77"/>
    <col min="19" max="19" width="9" style="75"/>
    <col min="20" max="35" width="9" style="69"/>
    <col min="36" max="16384" width="9" style="75"/>
  </cols>
  <sheetData>
    <row r="1" s="69" customFormat="1" ht="14.25" customHeight="1" spans="1:45">
      <c r="A1" s="78"/>
      <c r="B1" s="79" t="s">
        <v>2400</v>
      </c>
      <c r="C1" s="80" t="s">
        <v>2401</v>
      </c>
      <c r="D1" s="81"/>
      <c r="E1" s="81"/>
      <c r="F1" s="81"/>
      <c r="G1" s="81"/>
      <c r="H1" s="81"/>
      <c r="I1" s="81"/>
      <c r="J1" s="81"/>
      <c r="K1" s="81"/>
      <c r="L1" s="81"/>
      <c r="M1" s="81"/>
      <c r="N1" s="81"/>
      <c r="O1" s="81"/>
      <c r="P1" s="81"/>
      <c r="Q1" s="81"/>
      <c r="R1" s="81"/>
      <c r="S1" s="157"/>
      <c r="T1" s="79" t="s">
        <v>2402</v>
      </c>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row>
    <row r="2" s="70" customFormat="1" spans="1:45">
      <c r="A2" s="82"/>
      <c r="B2" s="83" t="s">
        <v>2403</v>
      </c>
      <c r="C2" s="84" t="str">
        <f t="shared" ref="C2:L2" si="0">C3&amp;"(含)"&amp;"-"&amp;D3</f>
        <v>(含)-</v>
      </c>
      <c r="D2" s="85" t="str">
        <f t="shared" si="0"/>
        <v>(含)-</v>
      </c>
      <c r="E2" s="85" t="str">
        <f t="shared" si="0"/>
        <v>(含)-</v>
      </c>
      <c r="F2" s="85" t="str">
        <f t="shared" si="0"/>
        <v>(含)-</v>
      </c>
      <c r="G2" s="85" t="str">
        <f t="shared" si="0"/>
        <v>(含)-</v>
      </c>
      <c r="H2" s="85" t="str">
        <f t="shared" si="0"/>
        <v>(含)-</v>
      </c>
      <c r="I2" s="85" t="str">
        <f t="shared" si="0"/>
        <v>(含)-</v>
      </c>
      <c r="J2" s="85" t="str">
        <f t="shared" si="0"/>
        <v>(含)-</v>
      </c>
      <c r="K2" s="85" t="str">
        <f t="shared" si="0"/>
        <v>(含)-</v>
      </c>
      <c r="L2" s="85" t="str">
        <f t="shared" si="0"/>
        <v>(含)-</v>
      </c>
      <c r="M2" s="85" t="str">
        <f t="shared" ref="M2" si="1">M3&amp;"(含)"&amp;"-"&amp;N3</f>
        <v>(含)-</v>
      </c>
      <c r="N2" s="85" t="str">
        <f t="shared" ref="N2" si="2">N3&amp;"(含)"&amp;"-"&amp;O3</f>
        <v>(含)-</v>
      </c>
      <c r="O2" s="85" t="str">
        <f t="shared" ref="O2" si="3">O3&amp;"(含)"&amp;"-"&amp;P3</f>
        <v>(含)-</v>
      </c>
      <c r="P2" s="85" t="str">
        <f t="shared" ref="P2" si="4">P3&amp;"(含)"&amp;"-"&amp;Q3</f>
        <v>(含)-</v>
      </c>
      <c r="Q2" s="85" t="str">
        <f t="shared" ref="Q2" si="5">Q3&amp;"(含)"&amp;"-"&amp;R3</f>
        <v>(含)-</v>
      </c>
      <c r="R2" s="85" t="str">
        <f t="shared" ref="R2" si="6">R3&amp;"(含)"&amp;"-"&amp;S3</f>
        <v>(含)-</v>
      </c>
      <c r="S2" s="159" t="str">
        <f>S3&amp;"(含)"&amp;"-"</f>
        <v>(含)-</v>
      </c>
      <c r="T2" s="160"/>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row>
    <row r="3" s="71" customFormat="1" spans="1:45">
      <c r="A3" s="86"/>
      <c r="B3" s="87"/>
      <c r="C3" s="88"/>
      <c r="D3" s="89"/>
      <c r="E3" s="89"/>
      <c r="F3" s="89"/>
      <c r="G3" s="89"/>
      <c r="H3" s="89"/>
      <c r="I3" s="89"/>
      <c r="J3" s="134"/>
      <c r="K3" s="134"/>
      <c r="L3" s="135"/>
      <c r="M3" s="136"/>
      <c r="N3" s="137"/>
      <c r="O3" s="89"/>
      <c r="P3" s="89"/>
      <c r="Q3" s="89"/>
      <c r="R3" s="89"/>
      <c r="S3" s="162"/>
      <c r="T3" s="163"/>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row>
    <row r="4" s="71" customFormat="1" ht="13.5" spans="1:45">
      <c r="A4" s="90"/>
      <c r="B4" s="91"/>
      <c r="C4" s="92"/>
      <c r="D4" s="93"/>
      <c r="E4" s="93"/>
      <c r="F4" s="93"/>
      <c r="G4" s="93"/>
      <c r="H4" s="93"/>
      <c r="I4" s="93"/>
      <c r="J4" s="93"/>
      <c r="K4" s="93"/>
      <c r="L4" s="93"/>
      <c r="M4" s="138"/>
      <c r="N4" s="139"/>
      <c r="O4" s="93"/>
      <c r="P4" s="93"/>
      <c r="Q4" s="93"/>
      <c r="R4" s="93"/>
      <c r="S4" s="165"/>
      <c r="T4" s="166"/>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row>
    <row r="5" s="72" customFormat="1" spans="1:45">
      <c r="A5" s="94"/>
      <c r="B5" s="95" t="s">
        <v>2404</v>
      </c>
      <c r="C5" s="96"/>
      <c r="D5" s="97"/>
      <c r="E5" s="97"/>
      <c r="F5" s="97"/>
      <c r="G5" s="97"/>
      <c r="H5" s="97"/>
      <c r="I5" s="97"/>
      <c r="J5" s="97"/>
      <c r="K5" s="97"/>
      <c r="L5" s="140"/>
      <c r="M5" s="141"/>
      <c r="N5" s="141"/>
      <c r="O5" s="97"/>
      <c r="P5" s="97"/>
      <c r="Q5" s="97"/>
      <c r="R5" s="97"/>
      <c r="S5" s="167"/>
      <c r="T5" s="168"/>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row>
    <row r="6" s="72" customFormat="1" ht="13.5" spans="1:45">
      <c r="A6" s="94"/>
      <c r="B6" s="98"/>
      <c r="C6" s="99">
        <v>100</v>
      </c>
      <c r="D6" s="100">
        <f>C6-$T5</f>
        <v>100</v>
      </c>
      <c r="E6" s="100">
        <f t="shared" ref="E6:S6" si="7">D6-$T5</f>
        <v>100</v>
      </c>
      <c r="F6" s="100">
        <f t="shared" si="7"/>
        <v>100</v>
      </c>
      <c r="G6" s="100">
        <f t="shared" si="7"/>
        <v>100</v>
      </c>
      <c r="H6" s="100">
        <f t="shared" si="7"/>
        <v>100</v>
      </c>
      <c r="I6" s="100">
        <f t="shared" si="7"/>
        <v>100</v>
      </c>
      <c r="J6" s="100">
        <f t="shared" si="7"/>
        <v>100</v>
      </c>
      <c r="K6" s="100">
        <f t="shared" si="7"/>
        <v>100</v>
      </c>
      <c r="L6" s="100">
        <f t="shared" si="7"/>
        <v>100</v>
      </c>
      <c r="M6" s="100">
        <f t="shared" si="7"/>
        <v>100</v>
      </c>
      <c r="N6" s="100">
        <f t="shared" si="7"/>
        <v>100</v>
      </c>
      <c r="O6" s="100">
        <f t="shared" si="7"/>
        <v>100</v>
      </c>
      <c r="P6" s="100">
        <f t="shared" si="7"/>
        <v>100</v>
      </c>
      <c r="Q6" s="100">
        <f t="shared" si="7"/>
        <v>100</v>
      </c>
      <c r="R6" s="100">
        <f t="shared" si="7"/>
        <v>100</v>
      </c>
      <c r="S6" s="100">
        <f t="shared" si="7"/>
        <v>100</v>
      </c>
      <c r="T6" s="170"/>
      <c r="U6" s="169"/>
      <c r="V6" s="169"/>
      <c r="W6" s="169"/>
      <c r="X6" s="169"/>
      <c r="Y6" s="169"/>
      <c r="Z6" s="169"/>
      <c r="AA6" s="169"/>
      <c r="AB6" s="169"/>
      <c r="AC6" s="169"/>
      <c r="AD6" s="169"/>
      <c r="AE6" s="169"/>
      <c r="AF6" s="169"/>
      <c r="AG6" s="169"/>
      <c r="AH6" s="169"/>
      <c r="AI6" s="169"/>
      <c r="AJ6" s="169"/>
      <c r="AK6" s="169"/>
      <c r="AL6" s="169"/>
      <c r="AM6" s="169"/>
      <c r="AN6" s="169"/>
      <c r="AO6" s="169"/>
      <c r="AP6" s="169"/>
      <c r="AQ6" s="169"/>
      <c r="AR6" s="169"/>
      <c r="AS6" s="169"/>
    </row>
    <row r="7" s="72" customFormat="1" spans="1:45">
      <c r="A7" s="94"/>
      <c r="B7" s="101" t="s">
        <v>2405</v>
      </c>
      <c r="C7" s="102"/>
      <c r="D7" s="103"/>
      <c r="E7" s="103"/>
      <c r="F7" s="103"/>
      <c r="G7" s="103"/>
      <c r="H7" s="103"/>
      <c r="I7" s="103"/>
      <c r="J7" s="103"/>
      <c r="K7" s="103"/>
      <c r="L7" s="103"/>
      <c r="M7" s="142"/>
      <c r="N7" s="143"/>
      <c r="O7" s="144"/>
      <c r="P7" s="145"/>
      <c r="Q7" s="171"/>
      <c r="R7" s="172"/>
      <c r="S7" s="173"/>
      <c r="T7" s="174"/>
      <c r="U7" s="169"/>
      <c r="V7" s="169"/>
      <c r="W7" s="169"/>
      <c r="X7" s="169"/>
      <c r="Y7" s="169"/>
      <c r="Z7" s="169"/>
      <c r="AA7" s="169"/>
      <c r="AB7" s="169"/>
      <c r="AC7" s="169"/>
      <c r="AD7" s="169"/>
      <c r="AE7" s="169"/>
      <c r="AF7" s="169"/>
      <c r="AG7" s="169"/>
      <c r="AH7" s="169"/>
      <c r="AI7" s="169"/>
      <c r="AJ7" s="169"/>
      <c r="AK7" s="169"/>
      <c r="AL7" s="169"/>
      <c r="AM7" s="169"/>
      <c r="AN7" s="169"/>
      <c r="AO7" s="169"/>
      <c r="AP7" s="169"/>
      <c r="AQ7" s="169"/>
      <c r="AR7" s="169"/>
      <c r="AS7" s="169"/>
    </row>
    <row r="8" s="72" customFormat="1" ht="13.5" spans="1:45">
      <c r="A8" s="94"/>
      <c r="B8" s="98"/>
      <c r="C8" s="99">
        <v>100</v>
      </c>
      <c r="D8" s="100">
        <f>C8-$T7</f>
        <v>100</v>
      </c>
      <c r="E8" s="100">
        <f t="shared" ref="E8:S8" si="8">D8-$T7</f>
        <v>100</v>
      </c>
      <c r="F8" s="100">
        <f t="shared" si="8"/>
        <v>100</v>
      </c>
      <c r="G8" s="100">
        <f t="shared" si="8"/>
        <v>100</v>
      </c>
      <c r="H8" s="100">
        <f t="shared" si="8"/>
        <v>100</v>
      </c>
      <c r="I8" s="100">
        <f t="shared" si="8"/>
        <v>100</v>
      </c>
      <c r="J8" s="100">
        <f t="shared" si="8"/>
        <v>100</v>
      </c>
      <c r="K8" s="100">
        <f t="shared" si="8"/>
        <v>100</v>
      </c>
      <c r="L8" s="100">
        <f t="shared" si="8"/>
        <v>100</v>
      </c>
      <c r="M8" s="100">
        <f t="shared" si="8"/>
        <v>100</v>
      </c>
      <c r="N8" s="100">
        <f t="shared" si="8"/>
        <v>100</v>
      </c>
      <c r="O8" s="100">
        <f t="shared" si="8"/>
        <v>100</v>
      </c>
      <c r="P8" s="100">
        <f t="shared" si="8"/>
        <v>100</v>
      </c>
      <c r="Q8" s="100">
        <f t="shared" si="8"/>
        <v>100</v>
      </c>
      <c r="R8" s="100">
        <f t="shared" si="8"/>
        <v>100</v>
      </c>
      <c r="S8" s="100">
        <f t="shared" si="8"/>
        <v>100</v>
      </c>
      <c r="T8" s="170"/>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row>
    <row r="9" s="72" customFormat="1" spans="1:45">
      <c r="A9" s="94"/>
      <c r="B9" s="101" t="s">
        <v>2406</v>
      </c>
      <c r="C9" s="102"/>
      <c r="D9" s="103"/>
      <c r="E9" s="103"/>
      <c r="F9" s="103"/>
      <c r="G9" s="103"/>
      <c r="H9" s="103"/>
      <c r="I9" s="103"/>
      <c r="J9" s="103"/>
      <c r="K9" s="103"/>
      <c r="L9" s="146"/>
      <c r="M9" s="142"/>
      <c r="N9" s="143"/>
      <c r="O9" s="144"/>
      <c r="P9" s="145"/>
      <c r="Q9" s="171"/>
      <c r="R9" s="172"/>
      <c r="S9" s="173"/>
      <c r="T9" s="174"/>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row>
    <row r="10" s="72" customFormat="1" ht="13.5" spans="1:45">
      <c r="A10" s="94"/>
      <c r="B10" s="104"/>
      <c r="C10" s="105">
        <v>100</v>
      </c>
      <c r="D10" s="106">
        <f>C10-$T9</f>
        <v>100</v>
      </c>
      <c r="E10" s="106">
        <f t="shared" ref="E10:S10" si="9">D10-$T9</f>
        <v>100</v>
      </c>
      <c r="F10" s="106">
        <f t="shared" si="9"/>
        <v>100</v>
      </c>
      <c r="G10" s="106">
        <f t="shared" si="9"/>
        <v>100</v>
      </c>
      <c r="H10" s="106">
        <f t="shared" si="9"/>
        <v>100</v>
      </c>
      <c r="I10" s="106">
        <f t="shared" si="9"/>
        <v>100</v>
      </c>
      <c r="J10" s="106">
        <f t="shared" si="9"/>
        <v>100</v>
      </c>
      <c r="K10" s="106">
        <f t="shared" si="9"/>
        <v>100</v>
      </c>
      <c r="L10" s="106">
        <f t="shared" si="9"/>
        <v>100</v>
      </c>
      <c r="M10" s="106">
        <f t="shared" si="9"/>
        <v>100</v>
      </c>
      <c r="N10" s="106">
        <f t="shared" si="9"/>
        <v>100</v>
      </c>
      <c r="O10" s="106">
        <f t="shared" si="9"/>
        <v>100</v>
      </c>
      <c r="P10" s="106">
        <f t="shared" si="9"/>
        <v>100</v>
      </c>
      <c r="Q10" s="106">
        <f t="shared" si="9"/>
        <v>100</v>
      </c>
      <c r="R10" s="106">
        <f t="shared" si="9"/>
        <v>100</v>
      </c>
      <c r="S10" s="106">
        <f t="shared" si="9"/>
        <v>100</v>
      </c>
      <c r="T10" s="166"/>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row>
    <row r="11" s="72" customFormat="1" spans="1:45">
      <c r="A11" s="94"/>
      <c r="B11" s="95" t="s">
        <v>2407</v>
      </c>
      <c r="C11" s="96"/>
      <c r="D11" s="97"/>
      <c r="E11" s="97"/>
      <c r="F11" s="97"/>
      <c r="G11" s="97"/>
      <c r="H11" s="97"/>
      <c r="I11" s="97"/>
      <c r="J11" s="97"/>
      <c r="K11" s="97"/>
      <c r="L11" s="97"/>
      <c r="M11" s="141"/>
      <c r="N11" s="147"/>
      <c r="O11" s="148"/>
      <c r="P11" s="149"/>
      <c r="Q11" s="175"/>
      <c r="R11" s="176"/>
      <c r="S11" s="177"/>
      <c r="T11" s="168"/>
      <c r="U11" s="169"/>
      <c r="V11" s="169"/>
      <c r="W11" s="169"/>
      <c r="X11" s="169"/>
      <c r="Y11" s="169"/>
      <c r="Z11" s="169"/>
      <c r="AA11" s="169"/>
      <c r="AB11" s="169"/>
      <c r="AC11" s="169"/>
      <c r="AD11" s="169"/>
      <c r="AE11" s="169"/>
      <c r="AF11" s="169"/>
      <c r="AG11" s="169"/>
      <c r="AH11" s="169"/>
      <c r="AI11" s="169"/>
      <c r="AJ11" s="169"/>
      <c r="AK11" s="169"/>
      <c r="AL11" s="169"/>
      <c r="AM11" s="169"/>
      <c r="AN11" s="169"/>
      <c r="AO11" s="169"/>
      <c r="AP11" s="169"/>
      <c r="AQ11" s="169"/>
      <c r="AR11" s="169"/>
      <c r="AS11" s="169"/>
    </row>
    <row r="12" s="72" customFormat="1" ht="13.5" spans="1:45">
      <c r="A12" s="94"/>
      <c r="B12" s="98"/>
      <c r="C12" s="99">
        <v>100</v>
      </c>
      <c r="D12" s="100">
        <f>C12-$T11</f>
        <v>100</v>
      </c>
      <c r="E12" s="100">
        <f t="shared" ref="E12:S12" si="10">D12-$T11</f>
        <v>100</v>
      </c>
      <c r="F12" s="100">
        <f t="shared" si="10"/>
        <v>100</v>
      </c>
      <c r="G12" s="100">
        <f t="shared" si="10"/>
        <v>100</v>
      </c>
      <c r="H12" s="100">
        <f t="shared" si="10"/>
        <v>100</v>
      </c>
      <c r="I12" s="100">
        <f t="shared" si="10"/>
        <v>100</v>
      </c>
      <c r="J12" s="100">
        <f t="shared" si="10"/>
        <v>100</v>
      </c>
      <c r="K12" s="100">
        <f t="shared" si="10"/>
        <v>100</v>
      </c>
      <c r="L12" s="100">
        <f t="shared" si="10"/>
        <v>100</v>
      </c>
      <c r="M12" s="100">
        <f t="shared" si="10"/>
        <v>100</v>
      </c>
      <c r="N12" s="100">
        <f t="shared" si="10"/>
        <v>100</v>
      </c>
      <c r="O12" s="100">
        <f t="shared" si="10"/>
        <v>100</v>
      </c>
      <c r="P12" s="100">
        <f t="shared" si="10"/>
        <v>100</v>
      </c>
      <c r="Q12" s="100">
        <f t="shared" si="10"/>
        <v>100</v>
      </c>
      <c r="R12" s="100">
        <f t="shared" si="10"/>
        <v>100</v>
      </c>
      <c r="S12" s="100">
        <f t="shared" si="10"/>
        <v>100</v>
      </c>
      <c r="T12" s="170"/>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row>
    <row r="13" s="72" customFormat="1" spans="1:45">
      <c r="A13" s="94"/>
      <c r="B13" s="95" t="s">
        <v>2408</v>
      </c>
      <c r="C13" s="96"/>
      <c r="D13" s="97"/>
      <c r="E13" s="97"/>
      <c r="F13" s="97"/>
      <c r="G13" s="97"/>
      <c r="H13" s="97"/>
      <c r="I13" s="97"/>
      <c r="J13" s="97"/>
      <c r="K13" s="97"/>
      <c r="L13" s="97"/>
      <c r="M13" s="141"/>
      <c r="N13" s="147"/>
      <c r="O13" s="148"/>
      <c r="P13" s="149"/>
      <c r="Q13" s="175"/>
      <c r="R13" s="176"/>
      <c r="S13" s="177"/>
      <c r="T13" s="178"/>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row>
    <row r="14" s="72" customFormat="1" ht="13.5" spans="1:45">
      <c r="A14" s="94"/>
      <c r="B14" s="98"/>
      <c r="C14" s="107"/>
      <c r="D14" s="108"/>
      <c r="E14" s="108"/>
      <c r="F14" s="108"/>
      <c r="G14" s="108"/>
      <c r="H14" s="108"/>
      <c r="I14" s="108"/>
      <c r="J14" s="108"/>
      <c r="K14" s="108"/>
      <c r="L14" s="108"/>
      <c r="M14" s="150"/>
      <c r="N14" s="150"/>
      <c r="O14" s="108"/>
      <c r="P14" s="108"/>
      <c r="Q14" s="108"/>
      <c r="R14" s="108"/>
      <c r="S14" s="179"/>
      <c r="T14" s="170"/>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row>
    <row r="15" s="72" customFormat="1" spans="1:45">
      <c r="A15" s="94"/>
      <c r="B15" s="95" t="s">
        <v>2409</v>
      </c>
      <c r="C15" s="96"/>
      <c r="D15" s="97"/>
      <c r="E15" s="97"/>
      <c r="F15" s="97"/>
      <c r="G15" s="97"/>
      <c r="H15" s="97"/>
      <c r="I15" s="97"/>
      <c r="J15" s="97"/>
      <c r="K15" s="97"/>
      <c r="L15" s="97"/>
      <c r="M15" s="141"/>
      <c r="N15" s="147"/>
      <c r="O15" s="148"/>
      <c r="P15" s="149"/>
      <c r="Q15" s="175"/>
      <c r="R15" s="176"/>
      <c r="S15" s="177"/>
      <c r="T15" s="178"/>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row>
    <row r="16" s="72" customFormat="1" ht="13.5" spans="1:45">
      <c r="A16" s="94"/>
      <c r="B16" s="91"/>
      <c r="C16" s="92"/>
      <c r="D16" s="93"/>
      <c r="E16" s="93"/>
      <c r="F16" s="93"/>
      <c r="G16" s="93"/>
      <c r="H16" s="93"/>
      <c r="I16" s="93"/>
      <c r="J16" s="93"/>
      <c r="K16" s="93"/>
      <c r="L16" s="93"/>
      <c r="M16" s="138"/>
      <c r="N16" s="138"/>
      <c r="O16" s="93"/>
      <c r="P16" s="93"/>
      <c r="Q16" s="93"/>
      <c r="R16" s="93"/>
      <c r="S16" s="165"/>
      <c r="T16" s="166"/>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row>
    <row r="17" s="70" customFormat="1" spans="1:45">
      <c r="A17" s="109" t="s">
        <v>2410</v>
      </c>
      <c r="B17" s="110" t="s">
        <v>814</v>
      </c>
      <c r="C17" s="111"/>
      <c r="D17" s="112"/>
      <c r="E17" s="112"/>
      <c r="F17" s="112"/>
      <c r="G17" s="112"/>
      <c r="H17" s="112"/>
      <c r="I17" s="112"/>
      <c r="J17" s="112"/>
      <c r="K17" s="112"/>
      <c r="L17" s="151"/>
      <c r="M17" s="152"/>
      <c r="N17" s="153"/>
      <c r="O17" s="154"/>
      <c r="P17" s="155"/>
      <c r="Q17" s="180"/>
      <c r="R17" s="181"/>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61"/>
      <c r="AS17" s="161"/>
    </row>
    <row r="18" s="70" customFormat="1" ht="13.5" spans="1:45">
      <c r="A18" s="113"/>
      <c r="B18" s="114"/>
      <c r="C18" s="115"/>
      <c r="D18" s="116"/>
      <c r="E18" s="116"/>
      <c r="F18" s="116"/>
      <c r="G18" s="116"/>
      <c r="H18" s="116"/>
      <c r="I18" s="116"/>
      <c r="J18" s="116"/>
      <c r="K18" s="116"/>
      <c r="L18" s="116"/>
      <c r="M18" s="156"/>
      <c r="N18" s="156"/>
      <c r="O18" s="116"/>
      <c r="P18" s="116"/>
      <c r="Q18" s="116"/>
      <c r="R18" s="116"/>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61"/>
      <c r="AS18" s="161"/>
    </row>
    <row r="19" spans="1:19">
      <c r="A19" s="117"/>
      <c r="B19" s="118"/>
      <c r="C19" s="119"/>
      <c r="D19" s="119"/>
      <c r="E19" s="119"/>
      <c r="F19" s="119"/>
      <c r="G19" s="119"/>
      <c r="H19" s="119"/>
      <c r="I19" s="119"/>
      <c r="J19" s="119"/>
      <c r="K19" s="119"/>
      <c r="L19" s="119"/>
      <c r="M19" s="119"/>
      <c r="N19" s="119"/>
      <c r="O19" s="119"/>
      <c r="P19" s="119"/>
      <c r="Q19" s="119"/>
      <c r="R19" s="184"/>
      <c r="S19" s="185"/>
    </row>
    <row r="20" ht="15.75" spans="1:19">
      <c r="A20" s="120" t="s">
        <v>2411</v>
      </c>
      <c r="B20" s="121">
        <f>S22</f>
        <v>0</v>
      </c>
      <c r="C20" s="119"/>
      <c r="D20" s="119"/>
      <c r="E20" s="119"/>
      <c r="F20" s="119"/>
      <c r="G20" s="119"/>
      <c r="H20" s="119"/>
      <c r="I20" s="119"/>
      <c r="J20" s="119"/>
      <c r="K20" s="119"/>
      <c r="L20" s="119"/>
      <c r="M20" s="119"/>
      <c r="N20" s="119"/>
      <c r="O20" s="119"/>
      <c r="P20" s="119"/>
      <c r="Q20" s="119"/>
      <c r="R20" s="184"/>
      <c r="S20" s="185"/>
    </row>
    <row r="21" ht="15.75" spans="1:19">
      <c r="A21" s="120" t="str">
        <f>IF(B23="土地面积","地面单价","楼面单价")</f>
        <v>楼面单价</v>
      </c>
      <c r="B21" s="121" t="e">
        <f>R22</f>
        <v>#DIV/0!</v>
      </c>
      <c r="C21" s="119"/>
      <c r="D21" s="119"/>
      <c r="E21" s="119"/>
      <c r="F21" s="119"/>
      <c r="G21" s="119"/>
      <c r="H21" s="119"/>
      <c r="I21" s="119"/>
      <c r="J21" s="119"/>
      <c r="K21" s="119"/>
      <c r="L21" s="119"/>
      <c r="M21" s="119"/>
      <c r="N21" s="119"/>
      <c r="O21" s="119"/>
      <c r="P21" s="119"/>
      <c r="Q21" s="119"/>
      <c r="R21" s="184"/>
      <c r="S21" s="185"/>
    </row>
    <row r="22" spans="1:19">
      <c r="A22" s="122" t="s">
        <v>2412</v>
      </c>
      <c r="B22" s="123">
        <f>SUM(B24:B10000)</f>
        <v>0</v>
      </c>
      <c r="C22" s="124" t="s">
        <v>138</v>
      </c>
      <c r="D22" s="125"/>
      <c r="E22" s="125"/>
      <c r="F22" s="125"/>
      <c r="G22" s="125"/>
      <c r="H22" s="125"/>
      <c r="I22" s="125"/>
      <c r="J22" s="125"/>
      <c r="K22" s="125"/>
      <c r="L22" s="125"/>
      <c r="M22" s="125"/>
      <c r="N22" s="125"/>
      <c r="O22" s="125"/>
      <c r="P22" s="125"/>
      <c r="Q22" s="186"/>
      <c r="R22" s="187" t="e">
        <f>ROUND(S22*10000/B22,0)</f>
        <v>#DIV/0!</v>
      </c>
      <c r="S22" s="123">
        <f>SUM(S24:S10000)</f>
        <v>0</v>
      </c>
    </row>
    <row r="23" s="73" customFormat="1" ht="24" spans="1:35">
      <c r="A23" s="126" t="s">
        <v>2413</v>
      </c>
      <c r="B23" s="127" t="s">
        <v>389</v>
      </c>
      <c r="C23" s="126" t="s">
        <v>876</v>
      </c>
      <c r="D23" s="126" t="str">
        <f>B5</f>
        <v>修正项2</v>
      </c>
      <c r="E23" s="126" t="s">
        <v>876</v>
      </c>
      <c r="F23" s="126" t="str">
        <f>B7</f>
        <v>修正项3</v>
      </c>
      <c r="G23" s="126" t="s">
        <v>876</v>
      </c>
      <c r="H23" s="126" t="str">
        <f>B9</f>
        <v>修正项4</v>
      </c>
      <c r="I23" s="126" t="s">
        <v>876</v>
      </c>
      <c r="J23" s="126" t="str">
        <f>B11</f>
        <v>修正项5</v>
      </c>
      <c r="K23" s="126" t="s">
        <v>876</v>
      </c>
      <c r="L23" s="126" t="str">
        <f>B13</f>
        <v>修正项6</v>
      </c>
      <c r="M23" s="126" t="s">
        <v>876</v>
      </c>
      <c r="N23" s="126" t="str">
        <f>B15</f>
        <v>修正项7</v>
      </c>
      <c r="O23" s="126" t="s">
        <v>876</v>
      </c>
      <c r="P23" s="126" t="str">
        <f>B17</f>
        <v>楼层</v>
      </c>
      <c r="Q23" s="126" t="s">
        <v>876</v>
      </c>
      <c r="R23" s="188" t="s">
        <v>2414</v>
      </c>
      <c r="S23" s="126" t="s">
        <v>2415</v>
      </c>
      <c r="T23" s="189"/>
      <c r="U23" s="189"/>
      <c r="V23" s="189"/>
      <c r="W23" s="189"/>
      <c r="X23" s="189"/>
      <c r="Y23" s="189"/>
      <c r="Z23" s="189"/>
      <c r="AA23" s="189"/>
      <c r="AB23" s="189"/>
      <c r="AC23" s="189"/>
      <c r="AD23" s="189"/>
      <c r="AE23" s="189"/>
      <c r="AF23" s="189"/>
      <c r="AG23" s="189"/>
      <c r="AH23" s="189"/>
      <c r="AI23" s="189"/>
    </row>
    <row r="24" s="74" customFormat="1" spans="1:35">
      <c r="A24" s="128" t="s">
        <v>2416</v>
      </c>
      <c r="B24" s="128"/>
      <c r="C24" s="129">
        <v>1</v>
      </c>
      <c r="D24" s="130"/>
      <c r="E24" s="129">
        <v>1</v>
      </c>
      <c r="F24" s="130"/>
      <c r="G24" s="129">
        <v>1</v>
      </c>
      <c r="H24" s="130"/>
      <c r="I24" s="129">
        <v>1</v>
      </c>
      <c r="J24" s="130"/>
      <c r="K24" s="129">
        <v>1</v>
      </c>
      <c r="L24" s="130"/>
      <c r="M24" s="129">
        <v>1</v>
      </c>
      <c r="N24" s="130"/>
      <c r="O24" s="129">
        <v>1</v>
      </c>
      <c r="P24" s="130"/>
      <c r="Q24" s="129">
        <v>1</v>
      </c>
      <c r="R24" s="190"/>
      <c r="S24" s="191">
        <f t="shared" ref="S24:S54" si="11">ROUND(R24*B24/10000,0)</f>
        <v>0</v>
      </c>
      <c r="T24" s="192"/>
      <c r="U24" s="192"/>
      <c r="V24" s="192"/>
      <c r="W24" s="192"/>
      <c r="X24" s="192"/>
      <c r="Y24" s="192"/>
      <c r="Z24" s="192"/>
      <c r="AA24" s="192"/>
      <c r="AB24" s="192"/>
      <c r="AC24" s="192"/>
      <c r="AD24" s="192"/>
      <c r="AE24" s="192"/>
      <c r="AF24" s="192"/>
      <c r="AG24" s="192"/>
      <c r="AH24" s="192"/>
      <c r="AI24" s="192"/>
    </row>
    <row r="25" spans="1:19">
      <c r="A25" s="131"/>
      <c r="B25" s="132"/>
      <c r="C25" s="123">
        <f>IF(B25="",1,(LOOKUP(B25,$3:$3,$4:$4)-LOOKUP($B$24,$3:$3,$4:$4)+100)/100)</f>
        <v>1</v>
      </c>
      <c r="D25" s="133"/>
      <c r="E25" s="123">
        <f>(SUMIF($5:$5,D25,$6:$6)-SUMIF($5:$5,$D$24,$6:$6)+100)/100</f>
        <v>1</v>
      </c>
      <c r="F25" s="133"/>
      <c r="G25" s="123">
        <f>(SUMIF($7:$7,F25,$8:$8)-SUMIF($7:$7,$F$24,$8:$8)+100)/100</f>
        <v>1</v>
      </c>
      <c r="H25" s="133"/>
      <c r="I25" s="123">
        <f>(SUMIF($9:$9,H25,$10:$10)-SUMIF($9:$9,$H$24,$10:$10)+100)/100</f>
        <v>1</v>
      </c>
      <c r="J25" s="133"/>
      <c r="K25" s="123">
        <f>(SUMIF($11:$11,J25,$12:$12)-SUMIF($11:$11,$J$24,$12:$12)+100)/100</f>
        <v>1</v>
      </c>
      <c r="L25" s="133"/>
      <c r="M25" s="123">
        <f>(SUMIF($13:$13,L25,$14:$14)-SUMIF($13:$13,$L$24,$14:$14)+100)/100</f>
        <v>1</v>
      </c>
      <c r="N25" s="133"/>
      <c r="O25" s="123">
        <f>(SUMIF($15:$15,N25,$16:$16)-SUMIF($15:$15,$N$24,$16:$16)+100)/100</f>
        <v>1</v>
      </c>
      <c r="P25" s="133"/>
      <c r="Q25" s="123">
        <f>(SUMIF($17:$17,P25,$18:$18)-SUMIF($17:$17,$P$24,$18:$18)+100)/100</f>
        <v>1</v>
      </c>
      <c r="R25" s="187">
        <f>IF(B25="",0,ROUND($R$24*C25*E25*G25*I25*K25*M25*O25*Q25,0))</f>
        <v>0</v>
      </c>
      <c r="S25" s="122">
        <f t="shared" si="11"/>
        <v>0</v>
      </c>
    </row>
    <row r="26" spans="1:19">
      <c r="A26" s="131"/>
      <c r="B26" s="132"/>
      <c r="C26" s="123">
        <f t="shared" ref="C26:C89" si="12">IF(B26="",1,(LOOKUP(B26,$3:$3,$4:$4)-LOOKUP($B$24,$3:$3,$4:$4)+100)/100)</f>
        <v>1</v>
      </c>
      <c r="D26" s="133"/>
      <c r="E26" s="123">
        <f t="shared" ref="E26:E89" si="13">(SUMIF($5:$5,D26,$6:$6)-SUMIF($5:$5,$D$24,$6:$6)+100)/100</f>
        <v>1</v>
      </c>
      <c r="F26" s="133"/>
      <c r="G26" s="123">
        <f t="shared" ref="G26:G89" si="14">(SUMIF($7:$7,F26,$8:$8)-SUMIF($7:$7,$F$24,$8:$8)+100)/100</f>
        <v>1</v>
      </c>
      <c r="H26" s="133"/>
      <c r="I26" s="123">
        <f t="shared" ref="I26:I89" si="15">(SUMIF($9:$9,H26,$10:$10)-SUMIF($9:$9,$H$24,$10:$10)+100)/100</f>
        <v>1</v>
      </c>
      <c r="J26" s="133"/>
      <c r="K26" s="123">
        <f t="shared" ref="K26:K89" si="16">(SUMIF($11:$11,J26,$12:$12)-SUMIF($11:$11,$J$24,$12:$12)+100)/100</f>
        <v>1</v>
      </c>
      <c r="L26" s="133"/>
      <c r="M26" s="123">
        <f t="shared" ref="M26:M89" si="17">(SUMIF($13:$13,L26,$14:$14)-SUMIF($13:$13,$L$24,$14:$14)+100)/100</f>
        <v>1</v>
      </c>
      <c r="N26" s="133"/>
      <c r="O26" s="123">
        <f t="shared" ref="O26:O89" si="18">(SUMIF($15:$15,N26,$16:$16)-SUMIF($15:$15,$N$24,$16:$16)+100)/100</f>
        <v>1</v>
      </c>
      <c r="P26" s="133"/>
      <c r="Q26" s="123">
        <f t="shared" ref="Q26:Q89" si="19">(SUMIF($17:$17,P26,$18:$18)-SUMIF($17:$17,$P$24,$18:$18)+100)/100</f>
        <v>1</v>
      </c>
      <c r="R26" s="187">
        <f t="shared" ref="R26:R89" si="20">IF(B26="",0,ROUND($R$24*C26*E26*G26*I26*K26*M26*O26*Q26,0))</f>
        <v>0</v>
      </c>
      <c r="S26" s="122">
        <f t="shared" si="11"/>
        <v>0</v>
      </c>
    </row>
    <row r="27" spans="1:19">
      <c r="A27" s="131"/>
      <c r="B27" s="132"/>
      <c r="C27" s="123">
        <f t="shared" si="12"/>
        <v>1</v>
      </c>
      <c r="D27" s="133"/>
      <c r="E27" s="123">
        <f t="shared" si="13"/>
        <v>1</v>
      </c>
      <c r="F27" s="133"/>
      <c r="G27" s="123">
        <f t="shared" si="14"/>
        <v>1</v>
      </c>
      <c r="H27" s="133"/>
      <c r="I27" s="123">
        <f t="shared" si="15"/>
        <v>1</v>
      </c>
      <c r="J27" s="133"/>
      <c r="K27" s="123">
        <f t="shared" si="16"/>
        <v>1</v>
      </c>
      <c r="L27" s="133"/>
      <c r="M27" s="123">
        <f t="shared" si="17"/>
        <v>1</v>
      </c>
      <c r="N27" s="133"/>
      <c r="O27" s="123">
        <f t="shared" si="18"/>
        <v>1</v>
      </c>
      <c r="P27" s="133"/>
      <c r="Q27" s="123">
        <f t="shared" si="19"/>
        <v>1</v>
      </c>
      <c r="R27" s="187">
        <f t="shared" si="20"/>
        <v>0</v>
      </c>
      <c r="S27" s="122">
        <f t="shared" si="11"/>
        <v>0</v>
      </c>
    </row>
    <row r="28" spans="1:19">
      <c r="A28" s="131"/>
      <c r="B28" s="132"/>
      <c r="C28" s="123">
        <f t="shared" si="12"/>
        <v>1</v>
      </c>
      <c r="D28" s="133"/>
      <c r="E28" s="123">
        <f t="shared" si="13"/>
        <v>1</v>
      </c>
      <c r="F28" s="133"/>
      <c r="G28" s="123">
        <f t="shared" si="14"/>
        <v>1</v>
      </c>
      <c r="H28" s="133"/>
      <c r="I28" s="123">
        <f t="shared" si="15"/>
        <v>1</v>
      </c>
      <c r="J28" s="133"/>
      <c r="K28" s="123">
        <f t="shared" si="16"/>
        <v>1</v>
      </c>
      <c r="L28" s="133"/>
      <c r="M28" s="123">
        <f t="shared" si="17"/>
        <v>1</v>
      </c>
      <c r="N28" s="133"/>
      <c r="O28" s="123">
        <f t="shared" si="18"/>
        <v>1</v>
      </c>
      <c r="P28" s="133"/>
      <c r="Q28" s="123">
        <f t="shared" si="19"/>
        <v>1</v>
      </c>
      <c r="R28" s="187">
        <f t="shared" si="20"/>
        <v>0</v>
      </c>
      <c r="S28" s="122">
        <f t="shared" si="11"/>
        <v>0</v>
      </c>
    </row>
    <row r="29" spans="1:19">
      <c r="A29" s="131"/>
      <c r="B29" s="132"/>
      <c r="C29" s="123">
        <f t="shared" si="12"/>
        <v>1</v>
      </c>
      <c r="D29" s="133"/>
      <c r="E29" s="123">
        <f t="shared" si="13"/>
        <v>1</v>
      </c>
      <c r="F29" s="133"/>
      <c r="G29" s="123">
        <f t="shared" si="14"/>
        <v>1</v>
      </c>
      <c r="H29" s="133"/>
      <c r="I29" s="123">
        <f t="shared" si="15"/>
        <v>1</v>
      </c>
      <c r="J29" s="133"/>
      <c r="K29" s="123">
        <f t="shared" si="16"/>
        <v>1</v>
      </c>
      <c r="L29" s="133"/>
      <c r="M29" s="123">
        <f t="shared" si="17"/>
        <v>1</v>
      </c>
      <c r="N29" s="133"/>
      <c r="O29" s="123">
        <f t="shared" si="18"/>
        <v>1</v>
      </c>
      <c r="P29" s="133"/>
      <c r="Q29" s="123">
        <f t="shared" si="19"/>
        <v>1</v>
      </c>
      <c r="R29" s="187">
        <f t="shared" si="20"/>
        <v>0</v>
      </c>
      <c r="S29" s="122">
        <f t="shared" si="11"/>
        <v>0</v>
      </c>
    </row>
    <row r="30" spans="1:19">
      <c r="A30" s="131"/>
      <c r="B30" s="132"/>
      <c r="C30" s="123">
        <f t="shared" si="12"/>
        <v>1</v>
      </c>
      <c r="D30" s="133"/>
      <c r="E30" s="123">
        <f t="shared" si="13"/>
        <v>1</v>
      </c>
      <c r="F30" s="133"/>
      <c r="G30" s="123">
        <f t="shared" si="14"/>
        <v>1</v>
      </c>
      <c r="H30" s="133"/>
      <c r="I30" s="123">
        <f t="shared" si="15"/>
        <v>1</v>
      </c>
      <c r="J30" s="133"/>
      <c r="K30" s="123">
        <f t="shared" si="16"/>
        <v>1</v>
      </c>
      <c r="L30" s="133"/>
      <c r="M30" s="123">
        <f t="shared" si="17"/>
        <v>1</v>
      </c>
      <c r="N30" s="133"/>
      <c r="O30" s="123">
        <f t="shared" si="18"/>
        <v>1</v>
      </c>
      <c r="P30" s="133"/>
      <c r="Q30" s="123">
        <f t="shared" si="19"/>
        <v>1</v>
      </c>
      <c r="R30" s="187">
        <f t="shared" si="20"/>
        <v>0</v>
      </c>
      <c r="S30" s="122">
        <f t="shared" si="11"/>
        <v>0</v>
      </c>
    </row>
    <row r="31" spans="1:19">
      <c r="A31" s="131"/>
      <c r="B31" s="132"/>
      <c r="C31" s="123">
        <f t="shared" si="12"/>
        <v>1</v>
      </c>
      <c r="D31" s="133"/>
      <c r="E31" s="123">
        <f t="shared" si="13"/>
        <v>1</v>
      </c>
      <c r="F31" s="133"/>
      <c r="G31" s="123">
        <f t="shared" si="14"/>
        <v>1</v>
      </c>
      <c r="H31" s="133"/>
      <c r="I31" s="123">
        <f t="shared" si="15"/>
        <v>1</v>
      </c>
      <c r="J31" s="133"/>
      <c r="K31" s="123">
        <f t="shared" si="16"/>
        <v>1</v>
      </c>
      <c r="L31" s="133"/>
      <c r="M31" s="123">
        <f t="shared" si="17"/>
        <v>1</v>
      </c>
      <c r="N31" s="133"/>
      <c r="O31" s="123">
        <f t="shared" si="18"/>
        <v>1</v>
      </c>
      <c r="P31" s="133"/>
      <c r="Q31" s="123">
        <f t="shared" si="19"/>
        <v>1</v>
      </c>
      <c r="R31" s="187">
        <f t="shared" si="20"/>
        <v>0</v>
      </c>
      <c r="S31" s="122">
        <f t="shared" si="11"/>
        <v>0</v>
      </c>
    </row>
    <row r="32" spans="1:19">
      <c r="A32" s="131"/>
      <c r="B32" s="132"/>
      <c r="C32" s="123">
        <f t="shared" si="12"/>
        <v>1</v>
      </c>
      <c r="D32" s="133"/>
      <c r="E32" s="123">
        <f t="shared" si="13"/>
        <v>1</v>
      </c>
      <c r="F32" s="133"/>
      <c r="G32" s="123">
        <f t="shared" si="14"/>
        <v>1</v>
      </c>
      <c r="H32" s="133"/>
      <c r="I32" s="123">
        <f t="shared" si="15"/>
        <v>1</v>
      </c>
      <c r="J32" s="133"/>
      <c r="K32" s="123">
        <f t="shared" si="16"/>
        <v>1</v>
      </c>
      <c r="L32" s="133"/>
      <c r="M32" s="123">
        <f t="shared" si="17"/>
        <v>1</v>
      </c>
      <c r="N32" s="133"/>
      <c r="O32" s="123">
        <f t="shared" si="18"/>
        <v>1</v>
      </c>
      <c r="P32" s="133"/>
      <c r="Q32" s="123">
        <f t="shared" si="19"/>
        <v>1</v>
      </c>
      <c r="R32" s="187">
        <f t="shared" si="20"/>
        <v>0</v>
      </c>
      <c r="S32" s="122">
        <f t="shared" si="11"/>
        <v>0</v>
      </c>
    </row>
    <row r="33" spans="1:19">
      <c r="A33" s="131"/>
      <c r="B33" s="132"/>
      <c r="C33" s="123">
        <f t="shared" si="12"/>
        <v>1</v>
      </c>
      <c r="D33" s="133"/>
      <c r="E33" s="123">
        <f t="shared" si="13"/>
        <v>1</v>
      </c>
      <c r="F33" s="133"/>
      <c r="G33" s="123">
        <f t="shared" si="14"/>
        <v>1</v>
      </c>
      <c r="H33" s="133"/>
      <c r="I33" s="123">
        <f t="shared" si="15"/>
        <v>1</v>
      </c>
      <c r="J33" s="133"/>
      <c r="K33" s="123">
        <f t="shared" si="16"/>
        <v>1</v>
      </c>
      <c r="L33" s="133"/>
      <c r="M33" s="123">
        <f t="shared" si="17"/>
        <v>1</v>
      </c>
      <c r="N33" s="133"/>
      <c r="O33" s="123">
        <f t="shared" si="18"/>
        <v>1</v>
      </c>
      <c r="P33" s="133"/>
      <c r="Q33" s="123">
        <f t="shared" si="19"/>
        <v>1</v>
      </c>
      <c r="R33" s="187">
        <f t="shared" si="20"/>
        <v>0</v>
      </c>
      <c r="S33" s="122">
        <f t="shared" si="11"/>
        <v>0</v>
      </c>
    </row>
    <row r="34" spans="1:19">
      <c r="A34" s="131"/>
      <c r="B34" s="132"/>
      <c r="C34" s="123">
        <f t="shared" si="12"/>
        <v>1</v>
      </c>
      <c r="D34" s="133"/>
      <c r="E34" s="123">
        <f t="shared" si="13"/>
        <v>1</v>
      </c>
      <c r="F34" s="133"/>
      <c r="G34" s="123">
        <f t="shared" si="14"/>
        <v>1</v>
      </c>
      <c r="H34" s="133"/>
      <c r="I34" s="123">
        <f t="shared" si="15"/>
        <v>1</v>
      </c>
      <c r="J34" s="133"/>
      <c r="K34" s="123">
        <f t="shared" si="16"/>
        <v>1</v>
      </c>
      <c r="L34" s="133"/>
      <c r="M34" s="123">
        <f t="shared" si="17"/>
        <v>1</v>
      </c>
      <c r="N34" s="133"/>
      <c r="O34" s="123">
        <f t="shared" si="18"/>
        <v>1</v>
      </c>
      <c r="P34" s="133"/>
      <c r="Q34" s="123">
        <f t="shared" si="19"/>
        <v>1</v>
      </c>
      <c r="R34" s="187">
        <f t="shared" si="20"/>
        <v>0</v>
      </c>
      <c r="S34" s="122">
        <f t="shared" si="11"/>
        <v>0</v>
      </c>
    </row>
    <row r="35" spans="1:19">
      <c r="A35" s="131"/>
      <c r="B35" s="132"/>
      <c r="C35" s="123">
        <f t="shared" si="12"/>
        <v>1</v>
      </c>
      <c r="D35" s="133"/>
      <c r="E35" s="123">
        <f t="shared" si="13"/>
        <v>1</v>
      </c>
      <c r="F35" s="133"/>
      <c r="G35" s="123">
        <f t="shared" si="14"/>
        <v>1</v>
      </c>
      <c r="H35" s="133"/>
      <c r="I35" s="123">
        <f t="shared" si="15"/>
        <v>1</v>
      </c>
      <c r="J35" s="133"/>
      <c r="K35" s="123">
        <f t="shared" si="16"/>
        <v>1</v>
      </c>
      <c r="L35" s="133"/>
      <c r="M35" s="123">
        <f t="shared" si="17"/>
        <v>1</v>
      </c>
      <c r="N35" s="133"/>
      <c r="O35" s="123">
        <f t="shared" si="18"/>
        <v>1</v>
      </c>
      <c r="P35" s="133"/>
      <c r="Q35" s="123">
        <f t="shared" si="19"/>
        <v>1</v>
      </c>
      <c r="R35" s="187">
        <f t="shared" si="20"/>
        <v>0</v>
      </c>
      <c r="S35" s="122">
        <f t="shared" si="11"/>
        <v>0</v>
      </c>
    </row>
    <row r="36" spans="1:19">
      <c r="A36" s="131"/>
      <c r="B36" s="132"/>
      <c r="C36" s="123">
        <f t="shared" si="12"/>
        <v>1</v>
      </c>
      <c r="D36" s="133"/>
      <c r="E36" s="123">
        <f t="shared" si="13"/>
        <v>1</v>
      </c>
      <c r="F36" s="133"/>
      <c r="G36" s="123">
        <f t="shared" si="14"/>
        <v>1</v>
      </c>
      <c r="H36" s="133"/>
      <c r="I36" s="123">
        <f t="shared" si="15"/>
        <v>1</v>
      </c>
      <c r="J36" s="133"/>
      <c r="K36" s="123">
        <f t="shared" si="16"/>
        <v>1</v>
      </c>
      <c r="L36" s="133"/>
      <c r="M36" s="123">
        <f t="shared" si="17"/>
        <v>1</v>
      </c>
      <c r="N36" s="133"/>
      <c r="O36" s="123">
        <f t="shared" si="18"/>
        <v>1</v>
      </c>
      <c r="P36" s="133"/>
      <c r="Q36" s="123">
        <f t="shared" si="19"/>
        <v>1</v>
      </c>
      <c r="R36" s="187">
        <f t="shared" si="20"/>
        <v>0</v>
      </c>
      <c r="S36" s="122">
        <f t="shared" si="11"/>
        <v>0</v>
      </c>
    </row>
    <row r="37" spans="1:19">
      <c r="A37" s="131"/>
      <c r="B37" s="132"/>
      <c r="C37" s="123">
        <f t="shared" si="12"/>
        <v>1</v>
      </c>
      <c r="D37" s="133"/>
      <c r="E37" s="123">
        <f t="shared" si="13"/>
        <v>1</v>
      </c>
      <c r="F37" s="133"/>
      <c r="G37" s="123">
        <f t="shared" si="14"/>
        <v>1</v>
      </c>
      <c r="H37" s="133"/>
      <c r="I37" s="123">
        <f t="shared" si="15"/>
        <v>1</v>
      </c>
      <c r="J37" s="133"/>
      <c r="K37" s="123">
        <f t="shared" si="16"/>
        <v>1</v>
      </c>
      <c r="L37" s="133"/>
      <c r="M37" s="123">
        <f t="shared" si="17"/>
        <v>1</v>
      </c>
      <c r="N37" s="133"/>
      <c r="O37" s="123">
        <f t="shared" si="18"/>
        <v>1</v>
      </c>
      <c r="P37" s="133"/>
      <c r="Q37" s="123">
        <f t="shared" si="19"/>
        <v>1</v>
      </c>
      <c r="R37" s="187">
        <f t="shared" si="20"/>
        <v>0</v>
      </c>
      <c r="S37" s="122">
        <f t="shared" si="11"/>
        <v>0</v>
      </c>
    </row>
    <row r="38" spans="1:19">
      <c r="A38" s="131"/>
      <c r="B38" s="132"/>
      <c r="C38" s="123">
        <f t="shared" si="12"/>
        <v>1</v>
      </c>
      <c r="D38" s="133"/>
      <c r="E38" s="123">
        <f t="shared" si="13"/>
        <v>1</v>
      </c>
      <c r="F38" s="133"/>
      <c r="G38" s="123">
        <f t="shared" si="14"/>
        <v>1</v>
      </c>
      <c r="H38" s="133"/>
      <c r="I38" s="123">
        <f t="shared" si="15"/>
        <v>1</v>
      </c>
      <c r="J38" s="133"/>
      <c r="K38" s="123">
        <f t="shared" si="16"/>
        <v>1</v>
      </c>
      <c r="L38" s="133"/>
      <c r="M38" s="123">
        <f t="shared" si="17"/>
        <v>1</v>
      </c>
      <c r="N38" s="133"/>
      <c r="O38" s="123">
        <f t="shared" si="18"/>
        <v>1</v>
      </c>
      <c r="P38" s="133"/>
      <c r="Q38" s="123">
        <f t="shared" si="19"/>
        <v>1</v>
      </c>
      <c r="R38" s="187">
        <f t="shared" si="20"/>
        <v>0</v>
      </c>
      <c r="S38" s="122">
        <f t="shared" si="11"/>
        <v>0</v>
      </c>
    </row>
    <row r="39" spans="1:19">
      <c r="A39" s="131"/>
      <c r="B39" s="132"/>
      <c r="C39" s="123">
        <f t="shared" si="12"/>
        <v>1</v>
      </c>
      <c r="D39" s="133"/>
      <c r="E39" s="123">
        <f t="shared" si="13"/>
        <v>1</v>
      </c>
      <c r="F39" s="133"/>
      <c r="G39" s="123">
        <f t="shared" si="14"/>
        <v>1</v>
      </c>
      <c r="H39" s="133"/>
      <c r="I39" s="123">
        <f t="shared" si="15"/>
        <v>1</v>
      </c>
      <c r="J39" s="133"/>
      <c r="K39" s="123">
        <f t="shared" si="16"/>
        <v>1</v>
      </c>
      <c r="L39" s="133"/>
      <c r="M39" s="123">
        <f t="shared" si="17"/>
        <v>1</v>
      </c>
      <c r="N39" s="133"/>
      <c r="O39" s="123">
        <f t="shared" si="18"/>
        <v>1</v>
      </c>
      <c r="P39" s="133"/>
      <c r="Q39" s="123">
        <f t="shared" si="19"/>
        <v>1</v>
      </c>
      <c r="R39" s="187">
        <f t="shared" si="20"/>
        <v>0</v>
      </c>
      <c r="S39" s="122">
        <f t="shared" si="11"/>
        <v>0</v>
      </c>
    </row>
    <row r="40" spans="1:19">
      <c r="A40" s="131"/>
      <c r="B40" s="132"/>
      <c r="C40" s="123">
        <f t="shared" si="12"/>
        <v>1</v>
      </c>
      <c r="D40" s="133"/>
      <c r="E40" s="123">
        <f t="shared" si="13"/>
        <v>1</v>
      </c>
      <c r="F40" s="133"/>
      <c r="G40" s="123">
        <f t="shared" si="14"/>
        <v>1</v>
      </c>
      <c r="H40" s="133"/>
      <c r="I40" s="123">
        <f t="shared" si="15"/>
        <v>1</v>
      </c>
      <c r="J40" s="133"/>
      <c r="K40" s="123">
        <f t="shared" si="16"/>
        <v>1</v>
      </c>
      <c r="L40" s="133"/>
      <c r="M40" s="123">
        <f t="shared" si="17"/>
        <v>1</v>
      </c>
      <c r="N40" s="133"/>
      <c r="O40" s="123">
        <f t="shared" si="18"/>
        <v>1</v>
      </c>
      <c r="P40" s="133"/>
      <c r="Q40" s="123">
        <f t="shared" si="19"/>
        <v>1</v>
      </c>
      <c r="R40" s="187">
        <f t="shared" si="20"/>
        <v>0</v>
      </c>
      <c r="S40" s="122">
        <f t="shared" si="11"/>
        <v>0</v>
      </c>
    </row>
    <row r="41" spans="1:19">
      <c r="A41" s="131"/>
      <c r="B41" s="132"/>
      <c r="C41" s="123">
        <f t="shared" si="12"/>
        <v>1</v>
      </c>
      <c r="D41" s="133"/>
      <c r="E41" s="123">
        <f t="shared" si="13"/>
        <v>1</v>
      </c>
      <c r="F41" s="133"/>
      <c r="G41" s="123">
        <f t="shared" si="14"/>
        <v>1</v>
      </c>
      <c r="H41" s="133"/>
      <c r="I41" s="123">
        <f t="shared" si="15"/>
        <v>1</v>
      </c>
      <c r="J41" s="133"/>
      <c r="K41" s="123">
        <f t="shared" si="16"/>
        <v>1</v>
      </c>
      <c r="L41" s="133"/>
      <c r="M41" s="123">
        <f t="shared" si="17"/>
        <v>1</v>
      </c>
      <c r="N41" s="133"/>
      <c r="O41" s="123">
        <f t="shared" si="18"/>
        <v>1</v>
      </c>
      <c r="P41" s="133"/>
      <c r="Q41" s="123">
        <f t="shared" si="19"/>
        <v>1</v>
      </c>
      <c r="R41" s="187">
        <f t="shared" si="20"/>
        <v>0</v>
      </c>
      <c r="S41" s="122">
        <f t="shared" si="11"/>
        <v>0</v>
      </c>
    </row>
    <row r="42" spans="1:19">
      <c r="A42" s="131"/>
      <c r="B42" s="132"/>
      <c r="C42" s="123">
        <f t="shared" si="12"/>
        <v>1</v>
      </c>
      <c r="D42" s="133"/>
      <c r="E42" s="123">
        <f t="shared" si="13"/>
        <v>1</v>
      </c>
      <c r="F42" s="133"/>
      <c r="G42" s="123">
        <f t="shared" si="14"/>
        <v>1</v>
      </c>
      <c r="H42" s="133"/>
      <c r="I42" s="123">
        <f t="shared" si="15"/>
        <v>1</v>
      </c>
      <c r="J42" s="133"/>
      <c r="K42" s="123">
        <f t="shared" si="16"/>
        <v>1</v>
      </c>
      <c r="L42" s="133"/>
      <c r="M42" s="123">
        <f t="shared" si="17"/>
        <v>1</v>
      </c>
      <c r="N42" s="133"/>
      <c r="O42" s="123">
        <f t="shared" si="18"/>
        <v>1</v>
      </c>
      <c r="P42" s="133"/>
      <c r="Q42" s="123">
        <f t="shared" si="19"/>
        <v>1</v>
      </c>
      <c r="R42" s="187">
        <f t="shared" si="20"/>
        <v>0</v>
      </c>
      <c r="S42" s="122">
        <f t="shared" si="11"/>
        <v>0</v>
      </c>
    </row>
    <row r="43" spans="1:19">
      <c r="A43" s="131"/>
      <c r="B43" s="132"/>
      <c r="C43" s="123">
        <f t="shared" si="12"/>
        <v>1</v>
      </c>
      <c r="D43" s="133"/>
      <c r="E43" s="123">
        <f t="shared" si="13"/>
        <v>1</v>
      </c>
      <c r="F43" s="133"/>
      <c r="G43" s="123">
        <f t="shared" si="14"/>
        <v>1</v>
      </c>
      <c r="H43" s="133"/>
      <c r="I43" s="123">
        <f t="shared" si="15"/>
        <v>1</v>
      </c>
      <c r="J43" s="133"/>
      <c r="K43" s="123">
        <f t="shared" si="16"/>
        <v>1</v>
      </c>
      <c r="L43" s="133"/>
      <c r="M43" s="123">
        <f t="shared" si="17"/>
        <v>1</v>
      </c>
      <c r="N43" s="133"/>
      <c r="O43" s="123">
        <f t="shared" si="18"/>
        <v>1</v>
      </c>
      <c r="P43" s="133"/>
      <c r="Q43" s="123">
        <f t="shared" si="19"/>
        <v>1</v>
      </c>
      <c r="R43" s="187">
        <f t="shared" si="20"/>
        <v>0</v>
      </c>
      <c r="S43" s="122">
        <f t="shared" si="11"/>
        <v>0</v>
      </c>
    </row>
    <row r="44" spans="1:19">
      <c r="A44" s="131"/>
      <c r="B44" s="132"/>
      <c r="C44" s="123">
        <f t="shared" si="12"/>
        <v>1</v>
      </c>
      <c r="D44" s="133"/>
      <c r="E44" s="123">
        <f t="shared" si="13"/>
        <v>1</v>
      </c>
      <c r="F44" s="133"/>
      <c r="G44" s="123">
        <f t="shared" si="14"/>
        <v>1</v>
      </c>
      <c r="H44" s="133"/>
      <c r="I44" s="123">
        <f t="shared" si="15"/>
        <v>1</v>
      </c>
      <c r="J44" s="133"/>
      <c r="K44" s="123">
        <f t="shared" si="16"/>
        <v>1</v>
      </c>
      <c r="L44" s="133"/>
      <c r="M44" s="123">
        <f t="shared" si="17"/>
        <v>1</v>
      </c>
      <c r="N44" s="133"/>
      <c r="O44" s="123">
        <f t="shared" si="18"/>
        <v>1</v>
      </c>
      <c r="P44" s="133"/>
      <c r="Q44" s="123">
        <f t="shared" si="19"/>
        <v>1</v>
      </c>
      <c r="R44" s="187">
        <f t="shared" si="20"/>
        <v>0</v>
      </c>
      <c r="S44" s="122">
        <f t="shared" si="11"/>
        <v>0</v>
      </c>
    </row>
    <row r="45" spans="1:19">
      <c r="A45" s="131"/>
      <c r="B45" s="132"/>
      <c r="C45" s="123">
        <f t="shared" si="12"/>
        <v>1</v>
      </c>
      <c r="D45" s="133"/>
      <c r="E45" s="123">
        <f t="shared" si="13"/>
        <v>1</v>
      </c>
      <c r="F45" s="133"/>
      <c r="G45" s="123">
        <f t="shared" si="14"/>
        <v>1</v>
      </c>
      <c r="H45" s="133"/>
      <c r="I45" s="123">
        <f t="shared" si="15"/>
        <v>1</v>
      </c>
      <c r="J45" s="133"/>
      <c r="K45" s="123">
        <f t="shared" si="16"/>
        <v>1</v>
      </c>
      <c r="L45" s="133"/>
      <c r="M45" s="123">
        <f t="shared" si="17"/>
        <v>1</v>
      </c>
      <c r="N45" s="133"/>
      <c r="O45" s="123">
        <f t="shared" si="18"/>
        <v>1</v>
      </c>
      <c r="P45" s="133"/>
      <c r="Q45" s="123">
        <f t="shared" si="19"/>
        <v>1</v>
      </c>
      <c r="R45" s="187">
        <f t="shared" si="20"/>
        <v>0</v>
      </c>
      <c r="S45" s="122">
        <f t="shared" si="11"/>
        <v>0</v>
      </c>
    </row>
    <row r="46" spans="1:19">
      <c r="A46" s="131"/>
      <c r="B46" s="132"/>
      <c r="C46" s="123">
        <f t="shared" si="12"/>
        <v>1</v>
      </c>
      <c r="D46" s="133"/>
      <c r="E46" s="123">
        <f t="shared" si="13"/>
        <v>1</v>
      </c>
      <c r="F46" s="133"/>
      <c r="G46" s="123">
        <f t="shared" si="14"/>
        <v>1</v>
      </c>
      <c r="H46" s="133"/>
      <c r="I46" s="123">
        <f t="shared" si="15"/>
        <v>1</v>
      </c>
      <c r="J46" s="133"/>
      <c r="K46" s="123">
        <f t="shared" si="16"/>
        <v>1</v>
      </c>
      <c r="L46" s="133"/>
      <c r="M46" s="123">
        <f t="shared" si="17"/>
        <v>1</v>
      </c>
      <c r="N46" s="133"/>
      <c r="O46" s="123">
        <f t="shared" si="18"/>
        <v>1</v>
      </c>
      <c r="P46" s="133"/>
      <c r="Q46" s="123">
        <f t="shared" si="19"/>
        <v>1</v>
      </c>
      <c r="R46" s="187">
        <f t="shared" si="20"/>
        <v>0</v>
      </c>
      <c r="S46" s="122">
        <f t="shared" si="11"/>
        <v>0</v>
      </c>
    </row>
    <row r="47" spans="1:19">
      <c r="A47" s="131"/>
      <c r="B47" s="132"/>
      <c r="C47" s="123">
        <f t="shared" si="12"/>
        <v>1</v>
      </c>
      <c r="D47" s="133"/>
      <c r="E47" s="123">
        <f t="shared" si="13"/>
        <v>1</v>
      </c>
      <c r="F47" s="133"/>
      <c r="G47" s="123">
        <f t="shared" si="14"/>
        <v>1</v>
      </c>
      <c r="H47" s="133"/>
      <c r="I47" s="123">
        <f t="shared" si="15"/>
        <v>1</v>
      </c>
      <c r="J47" s="133"/>
      <c r="K47" s="123">
        <f t="shared" si="16"/>
        <v>1</v>
      </c>
      <c r="L47" s="133"/>
      <c r="M47" s="123">
        <f t="shared" si="17"/>
        <v>1</v>
      </c>
      <c r="N47" s="133"/>
      <c r="O47" s="123">
        <f t="shared" si="18"/>
        <v>1</v>
      </c>
      <c r="P47" s="133"/>
      <c r="Q47" s="123">
        <f t="shared" si="19"/>
        <v>1</v>
      </c>
      <c r="R47" s="187">
        <f t="shared" si="20"/>
        <v>0</v>
      </c>
      <c r="S47" s="122">
        <f t="shared" si="11"/>
        <v>0</v>
      </c>
    </row>
    <row r="48" spans="1:19">
      <c r="A48" s="131"/>
      <c r="B48" s="132"/>
      <c r="C48" s="123">
        <f t="shared" si="12"/>
        <v>1</v>
      </c>
      <c r="D48" s="133"/>
      <c r="E48" s="123">
        <f t="shared" si="13"/>
        <v>1</v>
      </c>
      <c r="F48" s="133"/>
      <c r="G48" s="123">
        <f t="shared" si="14"/>
        <v>1</v>
      </c>
      <c r="H48" s="133"/>
      <c r="I48" s="123">
        <f t="shared" si="15"/>
        <v>1</v>
      </c>
      <c r="J48" s="133"/>
      <c r="K48" s="123">
        <f t="shared" si="16"/>
        <v>1</v>
      </c>
      <c r="L48" s="133"/>
      <c r="M48" s="123">
        <f t="shared" si="17"/>
        <v>1</v>
      </c>
      <c r="N48" s="133"/>
      <c r="O48" s="123">
        <f t="shared" si="18"/>
        <v>1</v>
      </c>
      <c r="P48" s="133"/>
      <c r="Q48" s="123">
        <f t="shared" si="19"/>
        <v>1</v>
      </c>
      <c r="R48" s="187">
        <f t="shared" si="20"/>
        <v>0</v>
      </c>
      <c r="S48" s="122">
        <f t="shared" si="11"/>
        <v>0</v>
      </c>
    </row>
    <row r="49" spans="1:19">
      <c r="A49" s="131"/>
      <c r="B49" s="132"/>
      <c r="C49" s="123">
        <f t="shared" si="12"/>
        <v>1</v>
      </c>
      <c r="D49" s="133"/>
      <c r="E49" s="123">
        <f t="shared" si="13"/>
        <v>1</v>
      </c>
      <c r="F49" s="133"/>
      <c r="G49" s="123">
        <f t="shared" si="14"/>
        <v>1</v>
      </c>
      <c r="H49" s="133"/>
      <c r="I49" s="123">
        <f t="shared" si="15"/>
        <v>1</v>
      </c>
      <c r="J49" s="133"/>
      <c r="K49" s="123">
        <f t="shared" si="16"/>
        <v>1</v>
      </c>
      <c r="L49" s="133"/>
      <c r="M49" s="123">
        <f t="shared" si="17"/>
        <v>1</v>
      </c>
      <c r="N49" s="133"/>
      <c r="O49" s="123">
        <f t="shared" si="18"/>
        <v>1</v>
      </c>
      <c r="P49" s="133"/>
      <c r="Q49" s="123">
        <f t="shared" si="19"/>
        <v>1</v>
      </c>
      <c r="R49" s="187">
        <f t="shared" si="20"/>
        <v>0</v>
      </c>
      <c r="S49" s="122">
        <f t="shared" si="11"/>
        <v>0</v>
      </c>
    </row>
    <row r="50" spans="1:19">
      <c r="A50" s="131"/>
      <c r="B50" s="132"/>
      <c r="C50" s="123">
        <f t="shared" si="12"/>
        <v>1</v>
      </c>
      <c r="D50" s="133"/>
      <c r="E50" s="123">
        <f t="shared" si="13"/>
        <v>1</v>
      </c>
      <c r="F50" s="133"/>
      <c r="G50" s="123">
        <f t="shared" si="14"/>
        <v>1</v>
      </c>
      <c r="H50" s="133"/>
      <c r="I50" s="123">
        <f t="shared" si="15"/>
        <v>1</v>
      </c>
      <c r="J50" s="133"/>
      <c r="K50" s="123">
        <f t="shared" si="16"/>
        <v>1</v>
      </c>
      <c r="L50" s="133"/>
      <c r="M50" s="123">
        <f t="shared" si="17"/>
        <v>1</v>
      </c>
      <c r="N50" s="133"/>
      <c r="O50" s="123">
        <f t="shared" si="18"/>
        <v>1</v>
      </c>
      <c r="P50" s="133"/>
      <c r="Q50" s="123">
        <f t="shared" si="19"/>
        <v>1</v>
      </c>
      <c r="R50" s="187">
        <f t="shared" si="20"/>
        <v>0</v>
      </c>
      <c r="S50" s="122">
        <f t="shared" si="11"/>
        <v>0</v>
      </c>
    </row>
    <row r="51" spans="1:19">
      <c r="A51" s="131"/>
      <c r="B51" s="132"/>
      <c r="C51" s="123">
        <f t="shared" si="12"/>
        <v>1</v>
      </c>
      <c r="D51" s="133"/>
      <c r="E51" s="123">
        <f t="shared" si="13"/>
        <v>1</v>
      </c>
      <c r="F51" s="133"/>
      <c r="G51" s="123">
        <f t="shared" si="14"/>
        <v>1</v>
      </c>
      <c r="H51" s="133"/>
      <c r="I51" s="123">
        <f t="shared" si="15"/>
        <v>1</v>
      </c>
      <c r="J51" s="133"/>
      <c r="K51" s="123">
        <f t="shared" si="16"/>
        <v>1</v>
      </c>
      <c r="L51" s="133"/>
      <c r="M51" s="123">
        <f t="shared" si="17"/>
        <v>1</v>
      </c>
      <c r="N51" s="133"/>
      <c r="O51" s="123">
        <f t="shared" si="18"/>
        <v>1</v>
      </c>
      <c r="P51" s="133"/>
      <c r="Q51" s="123">
        <f t="shared" si="19"/>
        <v>1</v>
      </c>
      <c r="R51" s="187">
        <f t="shared" si="20"/>
        <v>0</v>
      </c>
      <c r="S51" s="122">
        <f t="shared" si="11"/>
        <v>0</v>
      </c>
    </row>
    <row r="52" spans="1:19">
      <c r="A52" s="131"/>
      <c r="B52" s="132"/>
      <c r="C52" s="123">
        <f t="shared" si="12"/>
        <v>1</v>
      </c>
      <c r="D52" s="133"/>
      <c r="E52" s="123">
        <f t="shared" si="13"/>
        <v>1</v>
      </c>
      <c r="F52" s="133"/>
      <c r="G52" s="123">
        <f t="shared" si="14"/>
        <v>1</v>
      </c>
      <c r="H52" s="133"/>
      <c r="I52" s="123">
        <f t="shared" si="15"/>
        <v>1</v>
      </c>
      <c r="J52" s="133"/>
      <c r="K52" s="123">
        <f t="shared" si="16"/>
        <v>1</v>
      </c>
      <c r="L52" s="133"/>
      <c r="M52" s="123">
        <f t="shared" si="17"/>
        <v>1</v>
      </c>
      <c r="N52" s="133"/>
      <c r="O52" s="123">
        <f t="shared" si="18"/>
        <v>1</v>
      </c>
      <c r="P52" s="133"/>
      <c r="Q52" s="123">
        <f t="shared" si="19"/>
        <v>1</v>
      </c>
      <c r="R52" s="187">
        <f t="shared" si="20"/>
        <v>0</v>
      </c>
      <c r="S52" s="122">
        <f t="shared" si="11"/>
        <v>0</v>
      </c>
    </row>
    <row r="53" spans="1:19">
      <c r="A53" s="131"/>
      <c r="B53" s="132"/>
      <c r="C53" s="123">
        <f t="shared" si="12"/>
        <v>1</v>
      </c>
      <c r="D53" s="133"/>
      <c r="E53" s="123">
        <f t="shared" si="13"/>
        <v>1</v>
      </c>
      <c r="F53" s="133"/>
      <c r="G53" s="123">
        <f t="shared" si="14"/>
        <v>1</v>
      </c>
      <c r="H53" s="133"/>
      <c r="I53" s="123">
        <f t="shared" si="15"/>
        <v>1</v>
      </c>
      <c r="J53" s="133"/>
      <c r="K53" s="123">
        <f t="shared" si="16"/>
        <v>1</v>
      </c>
      <c r="L53" s="133"/>
      <c r="M53" s="123">
        <f t="shared" si="17"/>
        <v>1</v>
      </c>
      <c r="N53" s="133"/>
      <c r="O53" s="123">
        <f t="shared" si="18"/>
        <v>1</v>
      </c>
      <c r="P53" s="133"/>
      <c r="Q53" s="123">
        <f t="shared" si="19"/>
        <v>1</v>
      </c>
      <c r="R53" s="187">
        <f t="shared" si="20"/>
        <v>0</v>
      </c>
      <c r="S53" s="122">
        <f t="shared" si="11"/>
        <v>0</v>
      </c>
    </row>
    <row r="54" spans="1:19">
      <c r="A54" s="131"/>
      <c r="B54" s="132"/>
      <c r="C54" s="123">
        <f t="shared" si="12"/>
        <v>1</v>
      </c>
      <c r="D54" s="133"/>
      <c r="E54" s="123">
        <f t="shared" si="13"/>
        <v>1</v>
      </c>
      <c r="F54" s="133"/>
      <c r="G54" s="123">
        <f t="shared" si="14"/>
        <v>1</v>
      </c>
      <c r="H54" s="133"/>
      <c r="I54" s="123">
        <f t="shared" si="15"/>
        <v>1</v>
      </c>
      <c r="J54" s="133"/>
      <c r="K54" s="123">
        <f t="shared" si="16"/>
        <v>1</v>
      </c>
      <c r="L54" s="133"/>
      <c r="M54" s="123">
        <f t="shared" si="17"/>
        <v>1</v>
      </c>
      <c r="N54" s="133"/>
      <c r="O54" s="123">
        <f t="shared" si="18"/>
        <v>1</v>
      </c>
      <c r="P54" s="133"/>
      <c r="Q54" s="123">
        <f t="shared" si="19"/>
        <v>1</v>
      </c>
      <c r="R54" s="187">
        <f t="shared" si="20"/>
        <v>0</v>
      </c>
      <c r="S54" s="122">
        <f t="shared" si="11"/>
        <v>0</v>
      </c>
    </row>
    <row r="55" spans="1:19">
      <c r="A55" s="131"/>
      <c r="B55" s="132"/>
      <c r="C55" s="123">
        <f t="shared" si="12"/>
        <v>1</v>
      </c>
      <c r="D55" s="133"/>
      <c r="E55" s="123">
        <f t="shared" si="13"/>
        <v>1</v>
      </c>
      <c r="F55" s="133"/>
      <c r="G55" s="123">
        <f t="shared" si="14"/>
        <v>1</v>
      </c>
      <c r="H55" s="133"/>
      <c r="I55" s="123">
        <f t="shared" si="15"/>
        <v>1</v>
      </c>
      <c r="J55" s="133"/>
      <c r="K55" s="123">
        <f t="shared" si="16"/>
        <v>1</v>
      </c>
      <c r="L55" s="133"/>
      <c r="M55" s="123">
        <f t="shared" si="17"/>
        <v>1</v>
      </c>
      <c r="N55" s="133"/>
      <c r="O55" s="123">
        <f t="shared" si="18"/>
        <v>1</v>
      </c>
      <c r="P55" s="133"/>
      <c r="Q55" s="123">
        <f t="shared" si="19"/>
        <v>1</v>
      </c>
      <c r="R55" s="187">
        <f t="shared" si="20"/>
        <v>0</v>
      </c>
      <c r="S55" s="122">
        <f t="shared" ref="S55:S77" si="21">ROUND(R55*B55/10000,0)</f>
        <v>0</v>
      </c>
    </row>
    <row r="56" spans="1:19">
      <c r="A56" s="131"/>
      <c r="B56" s="132"/>
      <c r="C56" s="123">
        <f t="shared" si="12"/>
        <v>1</v>
      </c>
      <c r="D56" s="133"/>
      <c r="E56" s="123">
        <f t="shared" si="13"/>
        <v>1</v>
      </c>
      <c r="F56" s="133"/>
      <c r="G56" s="123">
        <f t="shared" si="14"/>
        <v>1</v>
      </c>
      <c r="H56" s="133"/>
      <c r="I56" s="123">
        <f t="shared" si="15"/>
        <v>1</v>
      </c>
      <c r="J56" s="133"/>
      <c r="K56" s="123">
        <f t="shared" si="16"/>
        <v>1</v>
      </c>
      <c r="L56" s="133"/>
      <c r="M56" s="123">
        <f t="shared" si="17"/>
        <v>1</v>
      </c>
      <c r="N56" s="133"/>
      <c r="O56" s="123">
        <f t="shared" si="18"/>
        <v>1</v>
      </c>
      <c r="P56" s="133"/>
      <c r="Q56" s="123">
        <f t="shared" si="19"/>
        <v>1</v>
      </c>
      <c r="R56" s="187">
        <f t="shared" si="20"/>
        <v>0</v>
      </c>
      <c r="S56" s="122">
        <f t="shared" si="21"/>
        <v>0</v>
      </c>
    </row>
    <row r="57" spans="1:19">
      <c r="A57" s="131"/>
      <c r="B57" s="132"/>
      <c r="C57" s="123">
        <f t="shared" si="12"/>
        <v>1</v>
      </c>
      <c r="D57" s="133"/>
      <c r="E57" s="123">
        <f t="shared" si="13"/>
        <v>1</v>
      </c>
      <c r="F57" s="133"/>
      <c r="G57" s="123">
        <f t="shared" si="14"/>
        <v>1</v>
      </c>
      <c r="H57" s="133"/>
      <c r="I57" s="123">
        <f t="shared" si="15"/>
        <v>1</v>
      </c>
      <c r="J57" s="133"/>
      <c r="K57" s="123">
        <f t="shared" si="16"/>
        <v>1</v>
      </c>
      <c r="L57" s="133"/>
      <c r="M57" s="123">
        <f t="shared" si="17"/>
        <v>1</v>
      </c>
      <c r="N57" s="133"/>
      <c r="O57" s="123">
        <f t="shared" si="18"/>
        <v>1</v>
      </c>
      <c r="P57" s="133"/>
      <c r="Q57" s="123">
        <f t="shared" si="19"/>
        <v>1</v>
      </c>
      <c r="R57" s="187">
        <f t="shared" si="20"/>
        <v>0</v>
      </c>
      <c r="S57" s="122">
        <f t="shared" si="21"/>
        <v>0</v>
      </c>
    </row>
    <row r="58" spans="1:19">
      <c r="A58" s="131"/>
      <c r="B58" s="132"/>
      <c r="C58" s="123">
        <f t="shared" si="12"/>
        <v>1</v>
      </c>
      <c r="D58" s="133"/>
      <c r="E58" s="123">
        <f t="shared" si="13"/>
        <v>1</v>
      </c>
      <c r="F58" s="133"/>
      <c r="G58" s="123">
        <f t="shared" si="14"/>
        <v>1</v>
      </c>
      <c r="H58" s="133"/>
      <c r="I58" s="123">
        <f t="shared" si="15"/>
        <v>1</v>
      </c>
      <c r="J58" s="133"/>
      <c r="K58" s="123">
        <f t="shared" si="16"/>
        <v>1</v>
      </c>
      <c r="L58" s="133"/>
      <c r="M58" s="123">
        <f t="shared" si="17"/>
        <v>1</v>
      </c>
      <c r="N58" s="133"/>
      <c r="O58" s="123">
        <f t="shared" si="18"/>
        <v>1</v>
      </c>
      <c r="P58" s="133"/>
      <c r="Q58" s="123">
        <f t="shared" si="19"/>
        <v>1</v>
      </c>
      <c r="R58" s="187">
        <f t="shared" si="20"/>
        <v>0</v>
      </c>
      <c r="S58" s="122">
        <f t="shared" si="21"/>
        <v>0</v>
      </c>
    </row>
    <row r="59" spans="1:19">
      <c r="A59" s="131"/>
      <c r="B59" s="132"/>
      <c r="C59" s="123">
        <f t="shared" si="12"/>
        <v>1</v>
      </c>
      <c r="D59" s="133"/>
      <c r="E59" s="123">
        <f t="shared" si="13"/>
        <v>1</v>
      </c>
      <c r="F59" s="133"/>
      <c r="G59" s="123">
        <f t="shared" si="14"/>
        <v>1</v>
      </c>
      <c r="H59" s="133"/>
      <c r="I59" s="123">
        <f t="shared" si="15"/>
        <v>1</v>
      </c>
      <c r="J59" s="133"/>
      <c r="K59" s="123">
        <f t="shared" si="16"/>
        <v>1</v>
      </c>
      <c r="L59" s="133"/>
      <c r="M59" s="123">
        <f t="shared" si="17"/>
        <v>1</v>
      </c>
      <c r="N59" s="133"/>
      <c r="O59" s="123">
        <f t="shared" si="18"/>
        <v>1</v>
      </c>
      <c r="P59" s="133"/>
      <c r="Q59" s="123">
        <f t="shared" si="19"/>
        <v>1</v>
      </c>
      <c r="R59" s="187">
        <f t="shared" si="20"/>
        <v>0</v>
      </c>
      <c r="S59" s="122">
        <f t="shared" si="21"/>
        <v>0</v>
      </c>
    </row>
    <row r="60" spans="1:19">
      <c r="A60" s="131"/>
      <c r="B60" s="132"/>
      <c r="C60" s="123">
        <f t="shared" si="12"/>
        <v>1</v>
      </c>
      <c r="D60" s="133"/>
      <c r="E60" s="123">
        <f t="shared" si="13"/>
        <v>1</v>
      </c>
      <c r="F60" s="133"/>
      <c r="G60" s="123">
        <f t="shared" si="14"/>
        <v>1</v>
      </c>
      <c r="H60" s="133"/>
      <c r="I60" s="123">
        <f t="shared" si="15"/>
        <v>1</v>
      </c>
      <c r="J60" s="133"/>
      <c r="K60" s="123">
        <f t="shared" si="16"/>
        <v>1</v>
      </c>
      <c r="L60" s="133"/>
      <c r="M60" s="123">
        <f t="shared" si="17"/>
        <v>1</v>
      </c>
      <c r="N60" s="133"/>
      <c r="O60" s="123">
        <f t="shared" si="18"/>
        <v>1</v>
      </c>
      <c r="P60" s="133"/>
      <c r="Q60" s="123">
        <f t="shared" si="19"/>
        <v>1</v>
      </c>
      <c r="R60" s="187">
        <f t="shared" si="20"/>
        <v>0</v>
      </c>
      <c r="S60" s="122">
        <f t="shared" si="21"/>
        <v>0</v>
      </c>
    </row>
    <row r="61" spans="1:19">
      <c r="A61" s="131"/>
      <c r="B61" s="132"/>
      <c r="C61" s="123">
        <f t="shared" si="12"/>
        <v>1</v>
      </c>
      <c r="D61" s="133"/>
      <c r="E61" s="123">
        <f t="shared" si="13"/>
        <v>1</v>
      </c>
      <c r="F61" s="133"/>
      <c r="G61" s="123">
        <f t="shared" si="14"/>
        <v>1</v>
      </c>
      <c r="H61" s="133"/>
      <c r="I61" s="123">
        <f t="shared" si="15"/>
        <v>1</v>
      </c>
      <c r="J61" s="133"/>
      <c r="K61" s="123">
        <f t="shared" si="16"/>
        <v>1</v>
      </c>
      <c r="L61" s="133"/>
      <c r="M61" s="123">
        <f t="shared" si="17"/>
        <v>1</v>
      </c>
      <c r="N61" s="133"/>
      <c r="O61" s="123">
        <f t="shared" si="18"/>
        <v>1</v>
      </c>
      <c r="P61" s="133"/>
      <c r="Q61" s="123">
        <f t="shared" si="19"/>
        <v>1</v>
      </c>
      <c r="R61" s="187">
        <f t="shared" si="20"/>
        <v>0</v>
      </c>
      <c r="S61" s="122">
        <f t="shared" si="21"/>
        <v>0</v>
      </c>
    </row>
    <row r="62" spans="1:19">
      <c r="A62" s="131"/>
      <c r="B62" s="132"/>
      <c r="C62" s="123">
        <f t="shared" si="12"/>
        <v>1</v>
      </c>
      <c r="D62" s="133"/>
      <c r="E62" s="123">
        <f t="shared" si="13"/>
        <v>1</v>
      </c>
      <c r="F62" s="133"/>
      <c r="G62" s="123">
        <f t="shared" si="14"/>
        <v>1</v>
      </c>
      <c r="H62" s="133"/>
      <c r="I62" s="123">
        <f t="shared" si="15"/>
        <v>1</v>
      </c>
      <c r="J62" s="133"/>
      <c r="K62" s="123">
        <f t="shared" si="16"/>
        <v>1</v>
      </c>
      <c r="L62" s="133"/>
      <c r="M62" s="123">
        <f t="shared" si="17"/>
        <v>1</v>
      </c>
      <c r="N62" s="133"/>
      <c r="O62" s="123">
        <f t="shared" si="18"/>
        <v>1</v>
      </c>
      <c r="P62" s="133"/>
      <c r="Q62" s="123">
        <f t="shared" si="19"/>
        <v>1</v>
      </c>
      <c r="R62" s="187">
        <f t="shared" si="20"/>
        <v>0</v>
      </c>
      <c r="S62" s="122">
        <f t="shared" si="21"/>
        <v>0</v>
      </c>
    </row>
    <row r="63" spans="1:19">
      <c r="A63" s="131"/>
      <c r="B63" s="132"/>
      <c r="C63" s="123">
        <f t="shared" si="12"/>
        <v>1</v>
      </c>
      <c r="D63" s="133"/>
      <c r="E63" s="123">
        <f t="shared" si="13"/>
        <v>1</v>
      </c>
      <c r="F63" s="133"/>
      <c r="G63" s="123">
        <f t="shared" si="14"/>
        <v>1</v>
      </c>
      <c r="H63" s="133"/>
      <c r="I63" s="123">
        <f t="shared" si="15"/>
        <v>1</v>
      </c>
      <c r="J63" s="133"/>
      <c r="K63" s="123">
        <f t="shared" si="16"/>
        <v>1</v>
      </c>
      <c r="L63" s="133"/>
      <c r="M63" s="123">
        <f t="shared" si="17"/>
        <v>1</v>
      </c>
      <c r="N63" s="133"/>
      <c r="O63" s="123">
        <f t="shared" si="18"/>
        <v>1</v>
      </c>
      <c r="P63" s="133"/>
      <c r="Q63" s="123">
        <f t="shared" si="19"/>
        <v>1</v>
      </c>
      <c r="R63" s="187">
        <f t="shared" si="20"/>
        <v>0</v>
      </c>
      <c r="S63" s="122">
        <f t="shared" si="21"/>
        <v>0</v>
      </c>
    </row>
    <row r="64" spans="1:19">
      <c r="A64" s="131"/>
      <c r="B64" s="132"/>
      <c r="C64" s="123">
        <f t="shared" si="12"/>
        <v>1</v>
      </c>
      <c r="D64" s="133"/>
      <c r="E64" s="123">
        <f t="shared" si="13"/>
        <v>1</v>
      </c>
      <c r="F64" s="133"/>
      <c r="G64" s="123">
        <f t="shared" si="14"/>
        <v>1</v>
      </c>
      <c r="H64" s="133"/>
      <c r="I64" s="123">
        <f t="shared" si="15"/>
        <v>1</v>
      </c>
      <c r="J64" s="133"/>
      <c r="K64" s="123">
        <f t="shared" si="16"/>
        <v>1</v>
      </c>
      <c r="L64" s="133"/>
      <c r="M64" s="123">
        <f t="shared" si="17"/>
        <v>1</v>
      </c>
      <c r="N64" s="133"/>
      <c r="O64" s="123">
        <f t="shared" si="18"/>
        <v>1</v>
      </c>
      <c r="P64" s="133"/>
      <c r="Q64" s="123">
        <f t="shared" si="19"/>
        <v>1</v>
      </c>
      <c r="R64" s="187">
        <f t="shared" si="20"/>
        <v>0</v>
      </c>
      <c r="S64" s="122">
        <f t="shared" si="21"/>
        <v>0</v>
      </c>
    </row>
    <row r="65" spans="1:19">
      <c r="A65" s="131"/>
      <c r="B65" s="132"/>
      <c r="C65" s="123">
        <f t="shared" si="12"/>
        <v>1</v>
      </c>
      <c r="D65" s="133"/>
      <c r="E65" s="123">
        <f t="shared" si="13"/>
        <v>1</v>
      </c>
      <c r="F65" s="133"/>
      <c r="G65" s="123">
        <f t="shared" si="14"/>
        <v>1</v>
      </c>
      <c r="H65" s="133"/>
      <c r="I65" s="123">
        <f t="shared" si="15"/>
        <v>1</v>
      </c>
      <c r="J65" s="133"/>
      <c r="K65" s="123">
        <f t="shared" si="16"/>
        <v>1</v>
      </c>
      <c r="L65" s="133"/>
      <c r="M65" s="123">
        <f t="shared" si="17"/>
        <v>1</v>
      </c>
      <c r="N65" s="133"/>
      <c r="O65" s="123">
        <f t="shared" si="18"/>
        <v>1</v>
      </c>
      <c r="P65" s="133"/>
      <c r="Q65" s="123">
        <f t="shared" si="19"/>
        <v>1</v>
      </c>
      <c r="R65" s="187">
        <f t="shared" si="20"/>
        <v>0</v>
      </c>
      <c r="S65" s="122">
        <f t="shared" si="21"/>
        <v>0</v>
      </c>
    </row>
    <row r="66" spans="1:19">
      <c r="A66" s="131"/>
      <c r="B66" s="132"/>
      <c r="C66" s="123">
        <f t="shared" si="12"/>
        <v>1</v>
      </c>
      <c r="D66" s="133"/>
      <c r="E66" s="123">
        <f t="shared" si="13"/>
        <v>1</v>
      </c>
      <c r="F66" s="133"/>
      <c r="G66" s="123">
        <f t="shared" si="14"/>
        <v>1</v>
      </c>
      <c r="H66" s="133"/>
      <c r="I66" s="123">
        <f t="shared" si="15"/>
        <v>1</v>
      </c>
      <c r="J66" s="133"/>
      <c r="K66" s="123">
        <f t="shared" si="16"/>
        <v>1</v>
      </c>
      <c r="L66" s="133"/>
      <c r="M66" s="123">
        <f t="shared" si="17"/>
        <v>1</v>
      </c>
      <c r="N66" s="133"/>
      <c r="O66" s="123">
        <f t="shared" si="18"/>
        <v>1</v>
      </c>
      <c r="P66" s="133"/>
      <c r="Q66" s="123">
        <f t="shared" si="19"/>
        <v>1</v>
      </c>
      <c r="R66" s="187">
        <f t="shared" si="20"/>
        <v>0</v>
      </c>
      <c r="S66" s="122">
        <f t="shared" si="21"/>
        <v>0</v>
      </c>
    </row>
    <row r="67" spans="1:19">
      <c r="A67" s="131"/>
      <c r="B67" s="132"/>
      <c r="C67" s="123">
        <f t="shared" si="12"/>
        <v>1</v>
      </c>
      <c r="D67" s="133"/>
      <c r="E67" s="123">
        <f t="shared" si="13"/>
        <v>1</v>
      </c>
      <c r="F67" s="133"/>
      <c r="G67" s="123">
        <f t="shared" si="14"/>
        <v>1</v>
      </c>
      <c r="H67" s="133"/>
      <c r="I67" s="123">
        <f t="shared" si="15"/>
        <v>1</v>
      </c>
      <c r="J67" s="133"/>
      <c r="K67" s="123">
        <f t="shared" si="16"/>
        <v>1</v>
      </c>
      <c r="L67" s="133"/>
      <c r="M67" s="123">
        <f t="shared" si="17"/>
        <v>1</v>
      </c>
      <c r="N67" s="133"/>
      <c r="O67" s="123">
        <f t="shared" si="18"/>
        <v>1</v>
      </c>
      <c r="P67" s="133"/>
      <c r="Q67" s="123">
        <f t="shared" si="19"/>
        <v>1</v>
      </c>
      <c r="R67" s="187">
        <f t="shared" si="20"/>
        <v>0</v>
      </c>
      <c r="S67" s="122">
        <f t="shared" si="21"/>
        <v>0</v>
      </c>
    </row>
    <row r="68" spans="1:19">
      <c r="A68" s="131"/>
      <c r="B68" s="132"/>
      <c r="C68" s="123">
        <f t="shared" si="12"/>
        <v>1</v>
      </c>
      <c r="D68" s="133"/>
      <c r="E68" s="123">
        <f t="shared" si="13"/>
        <v>1</v>
      </c>
      <c r="F68" s="133"/>
      <c r="G68" s="123">
        <f t="shared" si="14"/>
        <v>1</v>
      </c>
      <c r="H68" s="133"/>
      <c r="I68" s="123">
        <f t="shared" si="15"/>
        <v>1</v>
      </c>
      <c r="J68" s="133"/>
      <c r="K68" s="123">
        <f t="shared" si="16"/>
        <v>1</v>
      </c>
      <c r="L68" s="133"/>
      <c r="M68" s="123">
        <f t="shared" si="17"/>
        <v>1</v>
      </c>
      <c r="N68" s="133"/>
      <c r="O68" s="123">
        <f t="shared" si="18"/>
        <v>1</v>
      </c>
      <c r="P68" s="133"/>
      <c r="Q68" s="123">
        <f t="shared" si="19"/>
        <v>1</v>
      </c>
      <c r="R68" s="187">
        <f t="shared" si="20"/>
        <v>0</v>
      </c>
      <c r="S68" s="122">
        <f t="shared" si="21"/>
        <v>0</v>
      </c>
    </row>
    <row r="69" spans="1:19">
      <c r="A69" s="131"/>
      <c r="B69" s="132"/>
      <c r="C69" s="123">
        <f t="shared" si="12"/>
        <v>1</v>
      </c>
      <c r="D69" s="133"/>
      <c r="E69" s="123">
        <f t="shared" si="13"/>
        <v>1</v>
      </c>
      <c r="F69" s="133"/>
      <c r="G69" s="123">
        <f t="shared" si="14"/>
        <v>1</v>
      </c>
      <c r="H69" s="133"/>
      <c r="I69" s="123">
        <f t="shared" si="15"/>
        <v>1</v>
      </c>
      <c r="J69" s="133"/>
      <c r="K69" s="123">
        <f t="shared" si="16"/>
        <v>1</v>
      </c>
      <c r="L69" s="133"/>
      <c r="M69" s="123">
        <f t="shared" si="17"/>
        <v>1</v>
      </c>
      <c r="N69" s="133"/>
      <c r="O69" s="123">
        <f t="shared" si="18"/>
        <v>1</v>
      </c>
      <c r="P69" s="133"/>
      <c r="Q69" s="123">
        <f t="shared" si="19"/>
        <v>1</v>
      </c>
      <c r="R69" s="187">
        <f t="shared" si="20"/>
        <v>0</v>
      </c>
      <c r="S69" s="122">
        <f t="shared" si="21"/>
        <v>0</v>
      </c>
    </row>
    <row r="70" spans="1:19">
      <c r="A70" s="131"/>
      <c r="B70" s="132"/>
      <c r="C70" s="123">
        <f t="shared" si="12"/>
        <v>1</v>
      </c>
      <c r="D70" s="133"/>
      <c r="E70" s="123">
        <f t="shared" si="13"/>
        <v>1</v>
      </c>
      <c r="F70" s="133"/>
      <c r="G70" s="123">
        <f t="shared" si="14"/>
        <v>1</v>
      </c>
      <c r="H70" s="133"/>
      <c r="I70" s="123">
        <f t="shared" si="15"/>
        <v>1</v>
      </c>
      <c r="J70" s="133"/>
      <c r="K70" s="123">
        <f t="shared" si="16"/>
        <v>1</v>
      </c>
      <c r="L70" s="133"/>
      <c r="M70" s="123">
        <f t="shared" si="17"/>
        <v>1</v>
      </c>
      <c r="N70" s="133"/>
      <c r="O70" s="123">
        <f t="shared" si="18"/>
        <v>1</v>
      </c>
      <c r="P70" s="133"/>
      <c r="Q70" s="123">
        <f t="shared" si="19"/>
        <v>1</v>
      </c>
      <c r="R70" s="187">
        <f t="shared" si="20"/>
        <v>0</v>
      </c>
      <c r="S70" s="122">
        <f t="shared" si="21"/>
        <v>0</v>
      </c>
    </row>
    <row r="71" spans="1:19">
      <c r="A71" s="131"/>
      <c r="B71" s="132"/>
      <c r="C71" s="123">
        <f t="shared" si="12"/>
        <v>1</v>
      </c>
      <c r="D71" s="133"/>
      <c r="E71" s="123">
        <f t="shared" si="13"/>
        <v>1</v>
      </c>
      <c r="F71" s="133"/>
      <c r="G71" s="123">
        <f t="shared" si="14"/>
        <v>1</v>
      </c>
      <c r="H71" s="133"/>
      <c r="I71" s="123">
        <f t="shared" si="15"/>
        <v>1</v>
      </c>
      <c r="J71" s="133"/>
      <c r="K71" s="123">
        <f t="shared" si="16"/>
        <v>1</v>
      </c>
      <c r="L71" s="133"/>
      <c r="M71" s="123">
        <f t="shared" si="17"/>
        <v>1</v>
      </c>
      <c r="N71" s="133"/>
      <c r="O71" s="123">
        <f t="shared" si="18"/>
        <v>1</v>
      </c>
      <c r="P71" s="133"/>
      <c r="Q71" s="123">
        <f t="shared" si="19"/>
        <v>1</v>
      </c>
      <c r="R71" s="187">
        <f t="shared" si="20"/>
        <v>0</v>
      </c>
      <c r="S71" s="122">
        <f t="shared" si="21"/>
        <v>0</v>
      </c>
    </row>
    <row r="72" spans="1:19">
      <c r="A72" s="131"/>
      <c r="B72" s="132"/>
      <c r="C72" s="123">
        <f t="shared" si="12"/>
        <v>1</v>
      </c>
      <c r="D72" s="133"/>
      <c r="E72" s="123">
        <f t="shared" si="13"/>
        <v>1</v>
      </c>
      <c r="F72" s="133"/>
      <c r="G72" s="123">
        <f t="shared" si="14"/>
        <v>1</v>
      </c>
      <c r="H72" s="133"/>
      <c r="I72" s="123">
        <f t="shared" si="15"/>
        <v>1</v>
      </c>
      <c r="J72" s="133"/>
      <c r="K72" s="123">
        <f t="shared" si="16"/>
        <v>1</v>
      </c>
      <c r="L72" s="133"/>
      <c r="M72" s="123">
        <f t="shared" si="17"/>
        <v>1</v>
      </c>
      <c r="N72" s="133"/>
      <c r="O72" s="123">
        <f t="shared" si="18"/>
        <v>1</v>
      </c>
      <c r="P72" s="133"/>
      <c r="Q72" s="123">
        <f t="shared" si="19"/>
        <v>1</v>
      </c>
      <c r="R72" s="187">
        <f t="shared" si="20"/>
        <v>0</v>
      </c>
      <c r="S72" s="122">
        <f t="shared" si="21"/>
        <v>0</v>
      </c>
    </row>
    <row r="73" spans="1:19">
      <c r="A73" s="131"/>
      <c r="B73" s="132"/>
      <c r="C73" s="123">
        <f t="shared" si="12"/>
        <v>1</v>
      </c>
      <c r="D73" s="133"/>
      <c r="E73" s="123">
        <f t="shared" si="13"/>
        <v>1</v>
      </c>
      <c r="F73" s="133"/>
      <c r="G73" s="123">
        <f t="shared" si="14"/>
        <v>1</v>
      </c>
      <c r="H73" s="133"/>
      <c r="I73" s="123">
        <f t="shared" si="15"/>
        <v>1</v>
      </c>
      <c r="J73" s="133"/>
      <c r="K73" s="123">
        <f t="shared" si="16"/>
        <v>1</v>
      </c>
      <c r="L73" s="133"/>
      <c r="M73" s="123">
        <f t="shared" si="17"/>
        <v>1</v>
      </c>
      <c r="N73" s="133"/>
      <c r="O73" s="123">
        <f t="shared" si="18"/>
        <v>1</v>
      </c>
      <c r="P73" s="133"/>
      <c r="Q73" s="123">
        <f t="shared" si="19"/>
        <v>1</v>
      </c>
      <c r="R73" s="187">
        <f t="shared" si="20"/>
        <v>0</v>
      </c>
      <c r="S73" s="122">
        <f t="shared" si="21"/>
        <v>0</v>
      </c>
    </row>
    <row r="74" spans="1:19">
      <c r="A74" s="131"/>
      <c r="B74" s="132"/>
      <c r="C74" s="123">
        <f t="shared" si="12"/>
        <v>1</v>
      </c>
      <c r="D74" s="133"/>
      <c r="E74" s="123">
        <f t="shared" si="13"/>
        <v>1</v>
      </c>
      <c r="F74" s="133"/>
      <c r="G74" s="123">
        <f t="shared" si="14"/>
        <v>1</v>
      </c>
      <c r="H74" s="133"/>
      <c r="I74" s="123">
        <f t="shared" si="15"/>
        <v>1</v>
      </c>
      <c r="J74" s="133"/>
      <c r="K74" s="123">
        <f t="shared" si="16"/>
        <v>1</v>
      </c>
      <c r="L74" s="133"/>
      <c r="M74" s="123">
        <f t="shared" si="17"/>
        <v>1</v>
      </c>
      <c r="N74" s="133"/>
      <c r="O74" s="123">
        <f t="shared" si="18"/>
        <v>1</v>
      </c>
      <c r="P74" s="133"/>
      <c r="Q74" s="123">
        <f t="shared" si="19"/>
        <v>1</v>
      </c>
      <c r="R74" s="187">
        <f t="shared" si="20"/>
        <v>0</v>
      </c>
      <c r="S74" s="122">
        <f t="shared" si="21"/>
        <v>0</v>
      </c>
    </row>
    <row r="75" spans="1:19">
      <c r="A75" s="131"/>
      <c r="B75" s="132"/>
      <c r="C75" s="123">
        <f t="shared" si="12"/>
        <v>1</v>
      </c>
      <c r="D75" s="133"/>
      <c r="E75" s="123">
        <f t="shared" si="13"/>
        <v>1</v>
      </c>
      <c r="F75" s="133"/>
      <c r="G75" s="123">
        <f t="shared" si="14"/>
        <v>1</v>
      </c>
      <c r="H75" s="133"/>
      <c r="I75" s="123">
        <f t="shared" si="15"/>
        <v>1</v>
      </c>
      <c r="J75" s="133"/>
      <c r="K75" s="123">
        <f t="shared" si="16"/>
        <v>1</v>
      </c>
      <c r="L75" s="133"/>
      <c r="M75" s="123">
        <f t="shared" si="17"/>
        <v>1</v>
      </c>
      <c r="N75" s="133"/>
      <c r="O75" s="123">
        <f t="shared" si="18"/>
        <v>1</v>
      </c>
      <c r="P75" s="133"/>
      <c r="Q75" s="123">
        <f t="shared" si="19"/>
        <v>1</v>
      </c>
      <c r="R75" s="187">
        <f t="shared" si="20"/>
        <v>0</v>
      </c>
      <c r="S75" s="122">
        <f t="shared" si="21"/>
        <v>0</v>
      </c>
    </row>
    <row r="76" spans="1:19">
      <c r="A76" s="131"/>
      <c r="B76" s="132"/>
      <c r="C76" s="123">
        <f t="shared" si="12"/>
        <v>1</v>
      </c>
      <c r="D76" s="133"/>
      <c r="E76" s="123">
        <f t="shared" si="13"/>
        <v>1</v>
      </c>
      <c r="F76" s="133"/>
      <c r="G76" s="123">
        <f t="shared" si="14"/>
        <v>1</v>
      </c>
      <c r="H76" s="133"/>
      <c r="I76" s="123">
        <f t="shared" si="15"/>
        <v>1</v>
      </c>
      <c r="J76" s="133"/>
      <c r="K76" s="123">
        <f t="shared" si="16"/>
        <v>1</v>
      </c>
      <c r="L76" s="133"/>
      <c r="M76" s="123">
        <f t="shared" si="17"/>
        <v>1</v>
      </c>
      <c r="N76" s="133"/>
      <c r="O76" s="123">
        <f t="shared" si="18"/>
        <v>1</v>
      </c>
      <c r="P76" s="133"/>
      <c r="Q76" s="123">
        <f t="shared" si="19"/>
        <v>1</v>
      </c>
      <c r="R76" s="187">
        <f t="shared" si="20"/>
        <v>0</v>
      </c>
      <c r="S76" s="122">
        <f t="shared" si="21"/>
        <v>0</v>
      </c>
    </row>
    <row r="77" spans="1:19">
      <c r="A77" s="131"/>
      <c r="B77" s="132"/>
      <c r="C77" s="123">
        <f t="shared" si="12"/>
        <v>1</v>
      </c>
      <c r="D77" s="133"/>
      <c r="E77" s="123">
        <f t="shared" si="13"/>
        <v>1</v>
      </c>
      <c r="F77" s="133"/>
      <c r="G77" s="123">
        <f t="shared" si="14"/>
        <v>1</v>
      </c>
      <c r="H77" s="133"/>
      <c r="I77" s="123">
        <f t="shared" si="15"/>
        <v>1</v>
      </c>
      <c r="J77" s="133"/>
      <c r="K77" s="123">
        <f t="shared" si="16"/>
        <v>1</v>
      </c>
      <c r="L77" s="133"/>
      <c r="M77" s="123">
        <f t="shared" si="17"/>
        <v>1</v>
      </c>
      <c r="N77" s="133"/>
      <c r="O77" s="123">
        <f t="shared" si="18"/>
        <v>1</v>
      </c>
      <c r="P77" s="133"/>
      <c r="Q77" s="123">
        <f t="shared" si="19"/>
        <v>1</v>
      </c>
      <c r="R77" s="187">
        <f t="shared" si="20"/>
        <v>0</v>
      </c>
      <c r="S77" s="122">
        <f t="shared" si="21"/>
        <v>0</v>
      </c>
    </row>
    <row r="78" spans="1:19">
      <c r="A78" s="131"/>
      <c r="B78" s="132"/>
      <c r="C78" s="123">
        <f t="shared" si="12"/>
        <v>1</v>
      </c>
      <c r="D78" s="133"/>
      <c r="E78" s="123">
        <f t="shared" si="13"/>
        <v>1</v>
      </c>
      <c r="F78" s="133"/>
      <c r="G78" s="123">
        <f t="shared" si="14"/>
        <v>1</v>
      </c>
      <c r="H78" s="133"/>
      <c r="I78" s="123">
        <f t="shared" si="15"/>
        <v>1</v>
      </c>
      <c r="J78" s="133"/>
      <c r="K78" s="123">
        <f t="shared" si="16"/>
        <v>1</v>
      </c>
      <c r="L78" s="133"/>
      <c r="M78" s="123">
        <f t="shared" si="17"/>
        <v>1</v>
      </c>
      <c r="N78" s="133"/>
      <c r="O78" s="123">
        <f t="shared" si="18"/>
        <v>1</v>
      </c>
      <c r="P78" s="133"/>
      <c r="Q78" s="123">
        <f t="shared" si="19"/>
        <v>1</v>
      </c>
      <c r="R78" s="187">
        <f t="shared" si="20"/>
        <v>0</v>
      </c>
      <c r="S78" s="122">
        <f t="shared" ref="S78:S122" si="22">ROUND(R78*B78/10000,0)</f>
        <v>0</v>
      </c>
    </row>
    <row r="79" spans="1:19">
      <c r="A79" s="131"/>
      <c r="B79" s="132"/>
      <c r="C79" s="123">
        <f t="shared" si="12"/>
        <v>1</v>
      </c>
      <c r="D79" s="133"/>
      <c r="E79" s="123">
        <f t="shared" si="13"/>
        <v>1</v>
      </c>
      <c r="F79" s="133"/>
      <c r="G79" s="123">
        <f t="shared" si="14"/>
        <v>1</v>
      </c>
      <c r="H79" s="133"/>
      <c r="I79" s="123">
        <f t="shared" si="15"/>
        <v>1</v>
      </c>
      <c r="J79" s="133"/>
      <c r="K79" s="123">
        <f t="shared" si="16"/>
        <v>1</v>
      </c>
      <c r="L79" s="133"/>
      <c r="M79" s="123">
        <f t="shared" si="17"/>
        <v>1</v>
      </c>
      <c r="N79" s="133"/>
      <c r="O79" s="123">
        <f t="shared" si="18"/>
        <v>1</v>
      </c>
      <c r="P79" s="133"/>
      <c r="Q79" s="123">
        <f t="shared" si="19"/>
        <v>1</v>
      </c>
      <c r="R79" s="187">
        <f t="shared" si="20"/>
        <v>0</v>
      </c>
      <c r="S79" s="122">
        <f t="shared" si="22"/>
        <v>0</v>
      </c>
    </row>
    <row r="80" spans="1:19">
      <c r="A80" s="131"/>
      <c r="B80" s="132"/>
      <c r="C80" s="123">
        <f t="shared" si="12"/>
        <v>1</v>
      </c>
      <c r="D80" s="133"/>
      <c r="E80" s="123">
        <f t="shared" si="13"/>
        <v>1</v>
      </c>
      <c r="F80" s="133"/>
      <c r="G80" s="123">
        <f t="shared" si="14"/>
        <v>1</v>
      </c>
      <c r="H80" s="133"/>
      <c r="I80" s="123">
        <f t="shared" si="15"/>
        <v>1</v>
      </c>
      <c r="J80" s="133"/>
      <c r="K80" s="123">
        <f t="shared" si="16"/>
        <v>1</v>
      </c>
      <c r="L80" s="133"/>
      <c r="M80" s="123">
        <f t="shared" si="17"/>
        <v>1</v>
      </c>
      <c r="N80" s="133"/>
      <c r="O80" s="123">
        <f t="shared" si="18"/>
        <v>1</v>
      </c>
      <c r="P80" s="133"/>
      <c r="Q80" s="123">
        <f t="shared" si="19"/>
        <v>1</v>
      </c>
      <c r="R80" s="187">
        <f t="shared" si="20"/>
        <v>0</v>
      </c>
      <c r="S80" s="122">
        <f t="shared" si="22"/>
        <v>0</v>
      </c>
    </row>
    <row r="81" spans="1:19">
      <c r="A81" s="131"/>
      <c r="B81" s="132"/>
      <c r="C81" s="123">
        <f t="shared" si="12"/>
        <v>1</v>
      </c>
      <c r="D81" s="133"/>
      <c r="E81" s="123">
        <f t="shared" si="13"/>
        <v>1</v>
      </c>
      <c r="F81" s="133"/>
      <c r="G81" s="123">
        <f t="shared" si="14"/>
        <v>1</v>
      </c>
      <c r="H81" s="133"/>
      <c r="I81" s="123">
        <f t="shared" si="15"/>
        <v>1</v>
      </c>
      <c r="J81" s="133"/>
      <c r="K81" s="123">
        <f t="shared" si="16"/>
        <v>1</v>
      </c>
      <c r="L81" s="133"/>
      <c r="M81" s="123">
        <f t="shared" si="17"/>
        <v>1</v>
      </c>
      <c r="N81" s="133"/>
      <c r="O81" s="123">
        <f t="shared" si="18"/>
        <v>1</v>
      </c>
      <c r="P81" s="133"/>
      <c r="Q81" s="123">
        <f t="shared" si="19"/>
        <v>1</v>
      </c>
      <c r="R81" s="187">
        <f t="shared" si="20"/>
        <v>0</v>
      </c>
      <c r="S81" s="122">
        <f t="shared" si="22"/>
        <v>0</v>
      </c>
    </row>
    <row r="82" spans="1:19">
      <c r="A82" s="131"/>
      <c r="B82" s="132"/>
      <c r="C82" s="123">
        <f t="shared" si="12"/>
        <v>1</v>
      </c>
      <c r="D82" s="133"/>
      <c r="E82" s="123">
        <f t="shared" si="13"/>
        <v>1</v>
      </c>
      <c r="F82" s="133"/>
      <c r="G82" s="123">
        <f t="shared" si="14"/>
        <v>1</v>
      </c>
      <c r="H82" s="133"/>
      <c r="I82" s="123">
        <f t="shared" si="15"/>
        <v>1</v>
      </c>
      <c r="J82" s="133"/>
      <c r="K82" s="123">
        <f t="shared" si="16"/>
        <v>1</v>
      </c>
      <c r="L82" s="133"/>
      <c r="M82" s="123">
        <f t="shared" si="17"/>
        <v>1</v>
      </c>
      <c r="N82" s="133"/>
      <c r="O82" s="123">
        <f t="shared" si="18"/>
        <v>1</v>
      </c>
      <c r="P82" s="133"/>
      <c r="Q82" s="123">
        <f t="shared" si="19"/>
        <v>1</v>
      </c>
      <c r="R82" s="187">
        <f t="shared" si="20"/>
        <v>0</v>
      </c>
      <c r="S82" s="122">
        <f t="shared" si="22"/>
        <v>0</v>
      </c>
    </row>
    <row r="83" spans="1:19">
      <c r="A83" s="131"/>
      <c r="B83" s="132"/>
      <c r="C83" s="123">
        <f t="shared" si="12"/>
        <v>1</v>
      </c>
      <c r="D83" s="133"/>
      <c r="E83" s="123">
        <f t="shared" si="13"/>
        <v>1</v>
      </c>
      <c r="F83" s="133"/>
      <c r="G83" s="123">
        <f t="shared" si="14"/>
        <v>1</v>
      </c>
      <c r="H83" s="133"/>
      <c r="I83" s="123">
        <f t="shared" si="15"/>
        <v>1</v>
      </c>
      <c r="J83" s="133"/>
      <c r="K83" s="123">
        <f t="shared" si="16"/>
        <v>1</v>
      </c>
      <c r="L83" s="133"/>
      <c r="M83" s="123">
        <f t="shared" si="17"/>
        <v>1</v>
      </c>
      <c r="N83" s="133"/>
      <c r="O83" s="123">
        <f t="shared" si="18"/>
        <v>1</v>
      </c>
      <c r="P83" s="133"/>
      <c r="Q83" s="123">
        <f t="shared" si="19"/>
        <v>1</v>
      </c>
      <c r="R83" s="187">
        <f t="shared" si="20"/>
        <v>0</v>
      </c>
      <c r="S83" s="122">
        <f t="shared" si="22"/>
        <v>0</v>
      </c>
    </row>
    <row r="84" spans="1:19">
      <c r="A84" s="131"/>
      <c r="B84" s="132"/>
      <c r="C84" s="123">
        <f t="shared" si="12"/>
        <v>1</v>
      </c>
      <c r="D84" s="133"/>
      <c r="E84" s="123">
        <f t="shared" si="13"/>
        <v>1</v>
      </c>
      <c r="F84" s="133"/>
      <c r="G84" s="123">
        <f t="shared" si="14"/>
        <v>1</v>
      </c>
      <c r="H84" s="133"/>
      <c r="I84" s="123">
        <f t="shared" si="15"/>
        <v>1</v>
      </c>
      <c r="J84" s="133"/>
      <c r="K84" s="123">
        <f t="shared" si="16"/>
        <v>1</v>
      </c>
      <c r="L84" s="133"/>
      <c r="M84" s="123">
        <f t="shared" si="17"/>
        <v>1</v>
      </c>
      <c r="N84" s="133"/>
      <c r="O84" s="123">
        <f t="shared" si="18"/>
        <v>1</v>
      </c>
      <c r="P84" s="133"/>
      <c r="Q84" s="123">
        <f t="shared" si="19"/>
        <v>1</v>
      </c>
      <c r="R84" s="187">
        <f t="shared" si="20"/>
        <v>0</v>
      </c>
      <c r="S84" s="122">
        <f t="shared" si="22"/>
        <v>0</v>
      </c>
    </row>
    <row r="85" spans="1:19">
      <c r="A85" s="131"/>
      <c r="B85" s="132"/>
      <c r="C85" s="123">
        <f t="shared" si="12"/>
        <v>1</v>
      </c>
      <c r="D85" s="133"/>
      <c r="E85" s="123">
        <f t="shared" si="13"/>
        <v>1</v>
      </c>
      <c r="F85" s="133"/>
      <c r="G85" s="123">
        <f t="shared" si="14"/>
        <v>1</v>
      </c>
      <c r="H85" s="133"/>
      <c r="I85" s="123">
        <f t="shared" si="15"/>
        <v>1</v>
      </c>
      <c r="J85" s="133"/>
      <c r="K85" s="123">
        <f t="shared" si="16"/>
        <v>1</v>
      </c>
      <c r="L85" s="133"/>
      <c r="M85" s="123">
        <f t="shared" si="17"/>
        <v>1</v>
      </c>
      <c r="N85" s="133"/>
      <c r="O85" s="123">
        <f t="shared" si="18"/>
        <v>1</v>
      </c>
      <c r="P85" s="133"/>
      <c r="Q85" s="123">
        <f t="shared" si="19"/>
        <v>1</v>
      </c>
      <c r="R85" s="187">
        <f t="shared" si="20"/>
        <v>0</v>
      </c>
      <c r="S85" s="122">
        <f t="shared" si="22"/>
        <v>0</v>
      </c>
    </row>
    <row r="86" spans="1:19">
      <c r="A86" s="131"/>
      <c r="B86" s="132"/>
      <c r="C86" s="123">
        <f t="shared" si="12"/>
        <v>1</v>
      </c>
      <c r="D86" s="133"/>
      <c r="E86" s="123">
        <f t="shared" si="13"/>
        <v>1</v>
      </c>
      <c r="F86" s="133"/>
      <c r="G86" s="123">
        <f t="shared" si="14"/>
        <v>1</v>
      </c>
      <c r="H86" s="133"/>
      <c r="I86" s="123">
        <f t="shared" si="15"/>
        <v>1</v>
      </c>
      <c r="J86" s="133"/>
      <c r="K86" s="123">
        <f t="shared" si="16"/>
        <v>1</v>
      </c>
      <c r="L86" s="133"/>
      <c r="M86" s="123">
        <f t="shared" si="17"/>
        <v>1</v>
      </c>
      <c r="N86" s="133"/>
      <c r="O86" s="123">
        <f t="shared" si="18"/>
        <v>1</v>
      </c>
      <c r="P86" s="133"/>
      <c r="Q86" s="123">
        <f t="shared" si="19"/>
        <v>1</v>
      </c>
      <c r="R86" s="187">
        <f t="shared" si="20"/>
        <v>0</v>
      </c>
      <c r="S86" s="122">
        <f t="shared" si="22"/>
        <v>0</v>
      </c>
    </row>
    <row r="87" spans="1:19">
      <c r="A87" s="131"/>
      <c r="B87" s="132"/>
      <c r="C87" s="123">
        <f t="shared" si="12"/>
        <v>1</v>
      </c>
      <c r="D87" s="133"/>
      <c r="E87" s="123">
        <f t="shared" si="13"/>
        <v>1</v>
      </c>
      <c r="F87" s="133"/>
      <c r="G87" s="123">
        <f t="shared" si="14"/>
        <v>1</v>
      </c>
      <c r="H87" s="133"/>
      <c r="I87" s="123">
        <f t="shared" si="15"/>
        <v>1</v>
      </c>
      <c r="J87" s="133"/>
      <c r="K87" s="123">
        <f t="shared" si="16"/>
        <v>1</v>
      </c>
      <c r="L87" s="133"/>
      <c r="M87" s="123">
        <f t="shared" si="17"/>
        <v>1</v>
      </c>
      <c r="N87" s="133"/>
      <c r="O87" s="123">
        <f t="shared" si="18"/>
        <v>1</v>
      </c>
      <c r="P87" s="133"/>
      <c r="Q87" s="123">
        <f t="shared" si="19"/>
        <v>1</v>
      </c>
      <c r="R87" s="187">
        <f t="shared" si="20"/>
        <v>0</v>
      </c>
      <c r="S87" s="122">
        <f t="shared" si="22"/>
        <v>0</v>
      </c>
    </row>
    <row r="88" spans="1:19">
      <c r="A88" s="131"/>
      <c r="B88" s="132"/>
      <c r="C88" s="123">
        <f t="shared" si="12"/>
        <v>1</v>
      </c>
      <c r="D88" s="133"/>
      <c r="E88" s="123">
        <f t="shared" si="13"/>
        <v>1</v>
      </c>
      <c r="F88" s="133"/>
      <c r="G88" s="123">
        <f t="shared" si="14"/>
        <v>1</v>
      </c>
      <c r="H88" s="133"/>
      <c r="I88" s="123">
        <f t="shared" si="15"/>
        <v>1</v>
      </c>
      <c r="J88" s="133"/>
      <c r="K88" s="123">
        <f t="shared" si="16"/>
        <v>1</v>
      </c>
      <c r="L88" s="133"/>
      <c r="M88" s="123">
        <f t="shared" si="17"/>
        <v>1</v>
      </c>
      <c r="N88" s="133"/>
      <c r="O88" s="123">
        <f t="shared" si="18"/>
        <v>1</v>
      </c>
      <c r="P88" s="133"/>
      <c r="Q88" s="123">
        <f t="shared" si="19"/>
        <v>1</v>
      </c>
      <c r="R88" s="187">
        <f t="shared" si="20"/>
        <v>0</v>
      </c>
      <c r="S88" s="122">
        <f t="shared" si="22"/>
        <v>0</v>
      </c>
    </row>
    <row r="89" spans="1:19">
      <c r="A89" s="131"/>
      <c r="B89" s="132"/>
      <c r="C89" s="123">
        <f t="shared" si="12"/>
        <v>1</v>
      </c>
      <c r="D89" s="133"/>
      <c r="E89" s="123">
        <f t="shared" si="13"/>
        <v>1</v>
      </c>
      <c r="F89" s="133"/>
      <c r="G89" s="123">
        <f t="shared" si="14"/>
        <v>1</v>
      </c>
      <c r="H89" s="133"/>
      <c r="I89" s="123">
        <f t="shared" si="15"/>
        <v>1</v>
      </c>
      <c r="J89" s="133"/>
      <c r="K89" s="123">
        <f t="shared" si="16"/>
        <v>1</v>
      </c>
      <c r="L89" s="133"/>
      <c r="M89" s="123">
        <f t="shared" si="17"/>
        <v>1</v>
      </c>
      <c r="N89" s="133"/>
      <c r="O89" s="123">
        <f t="shared" si="18"/>
        <v>1</v>
      </c>
      <c r="P89" s="133"/>
      <c r="Q89" s="123">
        <f t="shared" si="19"/>
        <v>1</v>
      </c>
      <c r="R89" s="187">
        <f t="shared" si="20"/>
        <v>0</v>
      </c>
      <c r="S89" s="122">
        <f t="shared" si="22"/>
        <v>0</v>
      </c>
    </row>
    <row r="90" spans="1:19">
      <c r="A90" s="131"/>
      <c r="B90" s="132"/>
      <c r="C90" s="123">
        <f t="shared" ref="C90:C153" si="23">IF(B90="",1,(LOOKUP(B90,$3:$3,$4:$4)-LOOKUP($B$24,$3:$3,$4:$4)+100)/100)</f>
        <v>1</v>
      </c>
      <c r="D90" s="133"/>
      <c r="E90" s="123">
        <f t="shared" ref="E90:E153" si="24">(SUMIF($5:$5,D90,$6:$6)-SUMIF($5:$5,$D$24,$6:$6)+100)/100</f>
        <v>1</v>
      </c>
      <c r="F90" s="133"/>
      <c r="G90" s="123">
        <f t="shared" ref="G90:G153" si="25">(SUMIF($7:$7,F90,$8:$8)-SUMIF($7:$7,$F$24,$8:$8)+100)/100</f>
        <v>1</v>
      </c>
      <c r="H90" s="133"/>
      <c r="I90" s="123">
        <f t="shared" ref="I90:I153" si="26">(SUMIF($9:$9,H90,$10:$10)-SUMIF($9:$9,$H$24,$10:$10)+100)/100</f>
        <v>1</v>
      </c>
      <c r="J90" s="133"/>
      <c r="K90" s="123">
        <f t="shared" ref="K90:K153" si="27">(SUMIF($11:$11,J90,$12:$12)-SUMIF($11:$11,$J$24,$12:$12)+100)/100</f>
        <v>1</v>
      </c>
      <c r="L90" s="133"/>
      <c r="M90" s="123">
        <f t="shared" ref="M90:M153" si="28">(SUMIF($13:$13,L90,$14:$14)-SUMIF($13:$13,$L$24,$14:$14)+100)/100</f>
        <v>1</v>
      </c>
      <c r="N90" s="133"/>
      <c r="O90" s="123">
        <f t="shared" ref="O90:O153" si="29">(SUMIF($15:$15,N90,$16:$16)-SUMIF($15:$15,$N$24,$16:$16)+100)/100</f>
        <v>1</v>
      </c>
      <c r="P90" s="133"/>
      <c r="Q90" s="123">
        <f t="shared" ref="Q90:Q153" si="30">(SUMIF($17:$17,P90,$18:$18)-SUMIF($17:$17,$P$24,$18:$18)+100)/100</f>
        <v>1</v>
      </c>
      <c r="R90" s="187">
        <f t="shared" ref="R90:R153" si="31">IF(B90="",0,ROUND($R$24*C90*E90*G90*I90*K90*M90*O90*Q90,0))</f>
        <v>0</v>
      </c>
      <c r="S90" s="122">
        <f t="shared" si="22"/>
        <v>0</v>
      </c>
    </row>
    <row r="91" spans="1:19">
      <c r="A91" s="131"/>
      <c r="B91" s="132"/>
      <c r="C91" s="123">
        <f t="shared" si="23"/>
        <v>1</v>
      </c>
      <c r="D91" s="133"/>
      <c r="E91" s="123">
        <f t="shared" si="24"/>
        <v>1</v>
      </c>
      <c r="F91" s="133"/>
      <c r="G91" s="123">
        <f t="shared" si="25"/>
        <v>1</v>
      </c>
      <c r="H91" s="133"/>
      <c r="I91" s="123">
        <f t="shared" si="26"/>
        <v>1</v>
      </c>
      <c r="J91" s="133"/>
      <c r="K91" s="123">
        <f t="shared" si="27"/>
        <v>1</v>
      </c>
      <c r="L91" s="133"/>
      <c r="M91" s="123">
        <f t="shared" si="28"/>
        <v>1</v>
      </c>
      <c r="N91" s="133"/>
      <c r="O91" s="123">
        <f t="shared" si="29"/>
        <v>1</v>
      </c>
      <c r="P91" s="133"/>
      <c r="Q91" s="123">
        <f t="shared" si="30"/>
        <v>1</v>
      </c>
      <c r="R91" s="187">
        <f t="shared" si="31"/>
        <v>0</v>
      </c>
      <c r="S91" s="122">
        <f t="shared" si="22"/>
        <v>0</v>
      </c>
    </row>
    <row r="92" spans="1:19">
      <c r="A92" s="131"/>
      <c r="B92" s="132"/>
      <c r="C92" s="123">
        <f t="shared" si="23"/>
        <v>1</v>
      </c>
      <c r="D92" s="133"/>
      <c r="E92" s="123">
        <f t="shared" si="24"/>
        <v>1</v>
      </c>
      <c r="F92" s="133"/>
      <c r="G92" s="123">
        <f t="shared" si="25"/>
        <v>1</v>
      </c>
      <c r="H92" s="133"/>
      <c r="I92" s="123">
        <f t="shared" si="26"/>
        <v>1</v>
      </c>
      <c r="J92" s="133"/>
      <c r="K92" s="123">
        <f t="shared" si="27"/>
        <v>1</v>
      </c>
      <c r="L92" s="133"/>
      <c r="M92" s="123">
        <f t="shared" si="28"/>
        <v>1</v>
      </c>
      <c r="N92" s="133"/>
      <c r="O92" s="123">
        <f t="shared" si="29"/>
        <v>1</v>
      </c>
      <c r="P92" s="133"/>
      <c r="Q92" s="123">
        <f t="shared" si="30"/>
        <v>1</v>
      </c>
      <c r="R92" s="187">
        <f t="shared" si="31"/>
        <v>0</v>
      </c>
      <c r="S92" s="122">
        <f t="shared" si="22"/>
        <v>0</v>
      </c>
    </row>
    <row r="93" spans="1:19">
      <c r="A93" s="131"/>
      <c r="B93" s="132"/>
      <c r="C93" s="123">
        <f t="shared" si="23"/>
        <v>1</v>
      </c>
      <c r="D93" s="133"/>
      <c r="E93" s="123">
        <f t="shared" si="24"/>
        <v>1</v>
      </c>
      <c r="F93" s="133"/>
      <c r="G93" s="123">
        <f t="shared" si="25"/>
        <v>1</v>
      </c>
      <c r="H93" s="133"/>
      <c r="I93" s="123">
        <f t="shared" si="26"/>
        <v>1</v>
      </c>
      <c r="J93" s="133"/>
      <c r="K93" s="123">
        <f t="shared" si="27"/>
        <v>1</v>
      </c>
      <c r="L93" s="133"/>
      <c r="M93" s="123">
        <f t="shared" si="28"/>
        <v>1</v>
      </c>
      <c r="N93" s="133"/>
      <c r="O93" s="123">
        <f t="shared" si="29"/>
        <v>1</v>
      </c>
      <c r="P93" s="133"/>
      <c r="Q93" s="123">
        <f t="shared" si="30"/>
        <v>1</v>
      </c>
      <c r="R93" s="187">
        <f t="shared" si="31"/>
        <v>0</v>
      </c>
      <c r="S93" s="122">
        <f t="shared" si="22"/>
        <v>0</v>
      </c>
    </row>
    <row r="94" spans="1:19">
      <c r="A94" s="131"/>
      <c r="B94" s="132"/>
      <c r="C94" s="123">
        <f t="shared" si="23"/>
        <v>1</v>
      </c>
      <c r="D94" s="133"/>
      <c r="E94" s="123">
        <f t="shared" si="24"/>
        <v>1</v>
      </c>
      <c r="F94" s="133"/>
      <c r="G94" s="123">
        <f t="shared" si="25"/>
        <v>1</v>
      </c>
      <c r="H94" s="133"/>
      <c r="I94" s="123">
        <f t="shared" si="26"/>
        <v>1</v>
      </c>
      <c r="J94" s="133"/>
      <c r="K94" s="123">
        <f t="shared" si="27"/>
        <v>1</v>
      </c>
      <c r="L94" s="133"/>
      <c r="M94" s="123">
        <f t="shared" si="28"/>
        <v>1</v>
      </c>
      <c r="N94" s="133"/>
      <c r="O94" s="123">
        <f t="shared" si="29"/>
        <v>1</v>
      </c>
      <c r="P94" s="133"/>
      <c r="Q94" s="123">
        <f t="shared" si="30"/>
        <v>1</v>
      </c>
      <c r="R94" s="187">
        <f t="shared" si="31"/>
        <v>0</v>
      </c>
      <c r="S94" s="122">
        <f t="shared" si="22"/>
        <v>0</v>
      </c>
    </row>
    <row r="95" spans="1:19">
      <c r="A95" s="131"/>
      <c r="B95" s="132"/>
      <c r="C95" s="123">
        <f t="shared" si="23"/>
        <v>1</v>
      </c>
      <c r="D95" s="133"/>
      <c r="E95" s="123">
        <f t="shared" si="24"/>
        <v>1</v>
      </c>
      <c r="F95" s="133"/>
      <c r="G95" s="123">
        <f t="shared" si="25"/>
        <v>1</v>
      </c>
      <c r="H95" s="133"/>
      <c r="I95" s="123">
        <f t="shared" si="26"/>
        <v>1</v>
      </c>
      <c r="J95" s="133"/>
      <c r="K95" s="123">
        <f t="shared" si="27"/>
        <v>1</v>
      </c>
      <c r="L95" s="133"/>
      <c r="M95" s="123">
        <f t="shared" si="28"/>
        <v>1</v>
      </c>
      <c r="N95" s="133"/>
      <c r="O95" s="123">
        <f t="shared" si="29"/>
        <v>1</v>
      </c>
      <c r="P95" s="133"/>
      <c r="Q95" s="123">
        <f t="shared" si="30"/>
        <v>1</v>
      </c>
      <c r="R95" s="187">
        <f t="shared" si="31"/>
        <v>0</v>
      </c>
      <c r="S95" s="122">
        <f t="shared" si="22"/>
        <v>0</v>
      </c>
    </row>
    <row r="96" spans="1:19">
      <c r="A96" s="131"/>
      <c r="B96" s="132"/>
      <c r="C96" s="123">
        <f t="shared" si="23"/>
        <v>1</v>
      </c>
      <c r="D96" s="133"/>
      <c r="E96" s="123">
        <f t="shared" si="24"/>
        <v>1</v>
      </c>
      <c r="F96" s="133"/>
      <c r="G96" s="123">
        <f t="shared" si="25"/>
        <v>1</v>
      </c>
      <c r="H96" s="133"/>
      <c r="I96" s="123">
        <f t="shared" si="26"/>
        <v>1</v>
      </c>
      <c r="J96" s="133"/>
      <c r="K96" s="123">
        <f t="shared" si="27"/>
        <v>1</v>
      </c>
      <c r="L96" s="133"/>
      <c r="M96" s="123">
        <f t="shared" si="28"/>
        <v>1</v>
      </c>
      <c r="N96" s="133"/>
      <c r="O96" s="123">
        <f t="shared" si="29"/>
        <v>1</v>
      </c>
      <c r="P96" s="133"/>
      <c r="Q96" s="123">
        <f t="shared" si="30"/>
        <v>1</v>
      </c>
      <c r="R96" s="187">
        <f t="shared" si="31"/>
        <v>0</v>
      </c>
      <c r="S96" s="122">
        <f t="shared" si="22"/>
        <v>0</v>
      </c>
    </row>
    <row r="97" spans="1:19">
      <c r="A97" s="131"/>
      <c r="B97" s="132"/>
      <c r="C97" s="123">
        <f t="shared" si="23"/>
        <v>1</v>
      </c>
      <c r="D97" s="133"/>
      <c r="E97" s="123">
        <f t="shared" si="24"/>
        <v>1</v>
      </c>
      <c r="F97" s="133"/>
      <c r="G97" s="123">
        <f t="shared" si="25"/>
        <v>1</v>
      </c>
      <c r="H97" s="133"/>
      <c r="I97" s="123">
        <f t="shared" si="26"/>
        <v>1</v>
      </c>
      <c r="J97" s="133"/>
      <c r="K97" s="123">
        <f t="shared" si="27"/>
        <v>1</v>
      </c>
      <c r="L97" s="133"/>
      <c r="M97" s="123">
        <f t="shared" si="28"/>
        <v>1</v>
      </c>
      <c r="N97" s="133"/>
      <c r="O97" s="123">
        <f t="shared" si="29"/>
        <v>1</v>
      </c>
      <c r="P97" s="133"/>
      <c r="Q97" s="123">
        <f t="shared" si="30"/>
        <v>1</v>
      </c>
      <c r="R97" s="187">
        <f t="shared" si="31"/>
        <v>0</v>
      </c>
      <c r="S97" s="122">
        <f t="shared" si="22"/>
        <v>0</v>
      </c>
    </row>
    <row r="98" spans="1:19">
      <c r="A98" s="131"/>
      <c r="B98" s="132"/>
      <c r="C98" s="123">
        <f t="shared" si="23"/>
        <v>1</v>
      </c>
      <c r="D98" s="133"/>
      <c r="E98" s="123">
        <f t="shared" si="24"/>
        <v>1</v>
      </c>
      <c r="F98" s="133"/>
      <c r="G98" s="123">
        <f t="shared" si="25"/>
        <v>1</v>
      </c>
      <c r="H98" s="133"/>
      <c r="I98" s="123">
        <f t="shared" si="26"/>
        <v>1</v>
      </c>
      <c r="J98" s="133"/>
      <c r="K98" s="123">
        <f t="shared" si="27"/>
        <v>1</v>
      </c>
      <c r="L98" s="133"/>
      <c r="M98" s="123">
        <f t="shared" si="28"/>
        <v>1</v>
      </c>
      <c r="N98" s="133"/>
      <c r="O98" s="123">
        <f t="shared" si="29"/>
        <v>1</v>
      </c>
      <c r="P98" s="133"/>
      <c r="Q98" s="123">
        <f t="shared" si="30"/>
        <v>1</v>
      </c>
      <c r="R98" s="187">
        <f t="shared" si="31"/>
        <v>0</v>
      </c>
      <c r="S98" s="122">
        <f t="shared" si="22"/>
        <v>0</v>
      </c>
    </row>
    <row r="99" spans="1:19">
      <c r="A99" s="131"/>
      <c r="B99" s="132"/>
      <c r="C99" s="123">
        <f t="shared" si="23"/>
        <v>1</v>
      </c>
      <c r="D99" s="133"/>
      <c r="E99" s="123">
        <f t="shared" si="24"/>
        <v>1</v>
      </c>
      <c r="F99" s="133"/>
      <c r="G99" s="123">
        <f t="shared" si="25"/>
        <v>1</v>
      </c>
      <c r="H99" s="133"/>
      <c r="I99" s="123">
        <f t="shared" si="26"/>
        <v>1</v>
      </c>
      <c r="J99" s="133"/>
      <c r="K99" s="123">
        <f t="shared" si="27"/>
        <v>1</v>
      </c>
      <c r="L99" s="133"/>
      <c r="M99" s="123">
        <f t="shared" si="28"/>
        <v>1</v>
      </c>
      <c r="N99" s="133"/>
      <c r="O99" s="123">
        <f t="shared" si="29"/>
        <v>1</v>
      </c>
      <c r="P99" s="133"/>
      <c r="Q99" s="123">
        <f t="shared" si="30"/>
        <v>1</v>
      </c>
      <c r="R99" s="187">
        <f t="shared" si="31"/>
        <v>0</v>
      </c>
      <c r="S99" s="122">
        <f t="shared" si="22"/>
        <v>0</v>
      </c>
    </row>
    <row r="100" spans="1:19">
      <c r="A100" s="131"/>
      <c r="B100" s="132"/>
      <c r="C100" s="123">
        <f t="shared" si="23"/>
        <v>1</v>
      </c>
      <c r="D100" s="133"/>
      <c r="E100" s="123">
        <f t="shared" si="24"/>
        <v>1</v>
      </c>
      <c r="F100" s="133"/>
      <c r="G100" s="123">
        <f t="shared" si="25"/>
        <v>1</v>
      </c>
      <c r="H100" s="133"/>
      <c r="I100" s="123">
        <f t="shared" si="26"/>
        <v>1</v>
      </c>
      <c r="J100" s="133"/>
      <c r="K100" s="123">
        <f t="shared" si="27"/>
        <v>1</v>
      </c>
      <c r="L100" s="133"/>
      <c r="M100" s="123">
        <f t="shared" si="28"/>
        <v>1</v>
      </c>
      <c r="N100" s="133"/>
      <c r="O100" s="123">
        <f t="shared" si="29"/>
        <v>1</v>
      </c>
      <c r="P100" s="133"/>
      <c r="Q100" s="123">
        <f t="shared" si="30"/>
        <v>1</v>
      </c>
      <c r="R100" s="187">
        <f t="shared" si="31"/>
        <v>0</v>
      </c>
      <c r="S100" s="122">
        <f t="shared" si="22"/>
        <v>0</v>
      </c>
    </row>
    <row r="101" spans="1:19">
      <c r="A101" s="131"/>
      <c r="B101" s="132"/>
      <c r="C101" s="123">
        <f t="shared" si="23"/>
        <v>1</v>
      </c>
      <c r="D101" s="133"/>
      <c r="E101" s="123">
        <f t="shared" si="24"/>
        <v>1</v>
      </c>
      <c r="F101" s="133"/>
      <c r="G101" s="123">
        <f t="shared" si="25"/>
        <v>1</v>
      </c>
      <c r="H101" s="133"/>
      <c r="I101" s="123">
        <f t="shared" si="26"/>
        <v>1</v>
      </c>
      <c r="J101" s="133"/>
      <c r="K101" s="123">
        <f t="shared" si="27"/>
        <v>1</v>
      </c>
      <c r="L101" s="133"/>
      <c r="M101" s="123">
        <f t="shared" si="28"/>
        <v>1</v>
      </c>
      <c r="N101" s="133"/>
      <c r="O101" s="123">
        <f t="shared" si="29"/>
        <v>1</v>
      </c>
      <c r="P101" s="133"/>
      <c r="Q101" s="123">
        <f t="shared" si="30"/>
        <v>1</v>
      </c>
      <c r="R101" s="187">
        <f t="shared" si="31"/>
        <v>0</v>
      </c>
      <c r="S101" s="122">
        <f t="shared" si="22"/>
        <v>0</v>
      </c>
    </row>
    <row r="102" spans="1:19">
      <c r="A102" s="131"/>
      <c r="B102" s="132"/>
      <c r="C102" s="123">
        <f t="shared" si="23"/>
        <v>1</v>
      </c>
      <c r="D102" s="133"/>
      <c r="E102" s="123">
        <f t="shared" si="24"/>
        <v>1</v>
      </c>
      <c r="F102" s="133"/>
      <c r="G102" s="123">
        <f t="shared" si="25"/>
        <v>1</v>
      </c>
      <c r="H102" s="133"/>
      <c r="I102" s="123">
        <f t="shared" si="26"/>
        <v>1</v>
      </c>
      <c r="J102" s="133"/>
      <c r="K102" s="123">
        <f t="shared" si="27"/>
        <v>1</v>
      </c>
      <c r="L102" s="133"/>
      <c r="M102" s="123">
        <f t="shared" si="28"/>
        <v>1</v>
      </c>
      <c r="N102" s="133"/>
      <c r="O102" s="123">
        <f t="shared" si="29"/>
        <v>1</v>
      </c>
      <c r="P102" s="133"/>
      <c r="Q102" s="123">
        <f t="shared" si="30"/>
        <v>1</v>
      </c>
      <c r="R102" s="187">
        <f t="shared" si="31"/>
        <v>0</v>
      </c>
      <c r="S102" s="122">
        <f t="shared" si="22"/>
        <v>0</v>
      </c>
    </row>
    <row r="103" spans="1:19">
      <c r="A103" s="131"/>
      <c r="B103" s="132"/>
      <c r="C103" s="123">
        <f t="shared" si="23"/>
        <v>1</v>
      </c>
      <c r="D103" s="133"/>
      <c r="E103" s="123">
        <f t="shared" si="24"/>
        <v>1</v>
      </c>
      <c r="F103" s="133"/>
      <c r="G103" s="123">
        <f t="shared" si="25"/>
        <v>1</v>
      </c>
      <c r="H103" s="133"/>
      <c r="I103" s="123">
        <f t="shared" si="26"/>
        <v>1</v>
      </c>
      <c r="J103" s="133"/>
      <c r="K103" s="123">
        <f t="shared" si="27"/>
        <v>1</v>
      </c>
      <c r="L103" s="133"/>
      <c r="M103" s="123">
        <f t="shared" si="28"/>
        <v>1</v>
      </c>
      <c r="N103" s="133"/>
      <c r="O103" s="123">
        <f t="shared" si="29"/>
        <v>1</v>
      </c>
      <c r="P103" s="133"/>
      <c r="Q103" s="123">
        <f t="shared" si="30"/>
        <v>1</v>
      </c>
      <c r="R103" s="187">
        <f t="shared" si="31"/>
        <v>0</v>
      </c>
      <c r="S103" s="122">
        <f t="shared" si="22"/>
        <v>0</v>
      </c>
    </row>
    <row r="104" spans="1:19">
      <c r="A104" s="131"/>
      <c r="B104" s="132"/>
      <c r="C104" s="123">
        <f t="shared" si="23"/>
        <v>1</v>
      </c>
      <c r="D104" s="133"/>
      <c r="E104" s="123">
        <f t="shared" si="24"/>
        <v>1</v>
      </c>
      <c r="F104" s="133"/>
      <c r="G104" s="123">
        <f t="shared" si="25"/>
        <v>1</v>
      </c>
      <c r="H104" s="133"/>
      <c r="I104" s="123">
        <f t="shared" si="26"/>
        <v>1</v>
      </c>
      <c r="J104" s="133"/>
      <c r="K104" s="123">
        <f t="shared" si="27"/>
        <v>1</v>
      </c>
      <c r="L104" s="133"/>
      <c r="M104" s="123">
        <f t="shared" si="28"/>
        <v>1</v>
      </c>
      <c r="N104" s="133"/>
      <c r="O104" s="123">
        <f t="shared" si="29"/>
        <v>1</v>
      </c>
      <c r="P104" s="133"/>
      <c r="Q104" s="123">
        <f t="shared" si="30"/>
        <v>1</v>
      </c>
      <c r="R104" s="187">
        <f t="shared" si="31"/>
        <v>0</v>
      </c>
      <c r="S104" s="122">
        <f t="shared" si="22"/>
        <v>0</v>
      </c>
    </row>
    <row r="105" spans="1:19">
      <c r="A105" s="131"/>
      <c r="B105" s="132"/>
      <c r="C105" s="123">
        <f t="shared" si="23"/>
        <v>1</v>
      </c>
      <c r="D105" s="133"/>
      <c r="E105" s="123">
        <f t="shared" si="24"/>
        <v>1</v>
      </c>
      <c r="F105" s="133"/>
      <c r="G105" s="123">
        <f t="shared" si="25"/>
        <v>1</v>
      </c>
      <c r="H105" s="133"/>
      <c r="I105" s="123">
        <f t="shared" si="26"/>
        <v>1</v>
      </c>
      <c r="J105" s="133"/>
      <c r="K105" s="123">
        <f t="shared" si="27"/>
        <v>1</v>
      </c>
      <c r="L105" s="133"/>
      <c r="M105" s="123">
        <f t="shared" si="28"/>
        <v>1</v>
      </c>
      <c r="N105" s="133"/>
      <c r="O105" s="123">
        <f t="shared" si="29"/>
        <v>1</v>
      </c>
      <c r="P105" s="133"/>
      <c r="Q105" s="123">
        <f t="shared" si="30"/>
        <v>1</v>
      </c>
      <c r="R105" s="187">
        <f t="shared" si="31"/>
        <v>0</v>
      </c>
      <c r="S105" s="122">
        <f t="shared" si="22"/>
        <v>0</v>
      </c>
    </row>
    <row r="106" spans="1:19">
      <c r="A106" s="131"/>
      <c r="B106" s="132"/>
      <c r="C106" s="123">
        <f t="shared" si="23"/>
        <v>1</v>
      </c>
      <c r="D106" s="133"/>
      <c r="E106" s="123">
        <f t="shared" si="24"/>
        <v>1</v>
      </c>
      <c r="F106" s="133"/>
      <c r="G106" s="123">
        <f t="shared" si="25"/>
        <v>1</v>
      </c>
      <c r="H106" s="133"/>
      <c r="I106" s="123">
        <f t="shared" si="26"/>
        <v>1</v>
      </c>
      <c r="J106" s="133"/>
      <c r="K106" s="123">
        <f t="shared" si="27"/>
        <v>1</v>
      </c>
      <c r="L106" s="133"/>
      <c r="M106" s="123">
        <f t="shared" si="28"/>
        <v>1</v>
      </c>
      <c r="N106" s="133"/>
      <c r="O106" s="123">
        <f t="shared" si="29"/>
        <v>1</v>
      </c>
      <c r="P106" s="133"/>
      <c r="Q106" s="123">
        <f t="shared" si="30"/>
        <v>1</v>
      </c>
      <c r="R106" s="187">
        <f t="shared" si="31"/>
        <v>0</v>
      </c>
      <c r="S106" s="122">
        <f t="shared" si="22"/>
        <v>0</v>
      </c>
    </row>
    <row r="107" spans="1:19">
      <c r="A107" s="131"/>
      <c r="B107" s="132"/>
      <c r="C107" s="123">
        <f t="shared" si="23"/>
        <v>1</v>
      </c>
      <c r="D107" s="133"/>
      <c r="E107" s="123">
        <f t="shared" si="24"/>
        <v>1</v>
      </c>
      <c r="F107" s="133"/>
      <c r="G107" s="123">
        <f t="shared" si="25"/>
        <v>1</v>
      </c>
      <c r="H107" s="133"/>
      <c r="I107" s="123">
        <f t="shared" si="26"/>
        <v>1</v>
      </c>
      <c r="J107" s="133"/>
      <c r="K107" s="123">
        <f t="shared" si="27"/>
        <v>1</v>
      </c>
      <c r="L107" s="133"/>
      <c r="M107" s="123">
        <f t="shared" si="28"/>
        <v>1</v>
      </c>
      <c r="N107" s="133"/>
      <c r="O107" s="123">
        <f t="shared" si="29"/>
        <v>1</v>
      </c>
      <c r="P107" s="133"/>
      <c r="Q107" s="123">
        <f t="shared" si="30"/>
        <v>1</v>
      </c>
      <c r="R107" s="187">
        <f t="shared" si="31"/>
        <v>0</v>
      </c>
      <c r="S107" s="122">
        <f t="shared" si="22"/>
        <v>0</v>
      </c>
    </row>
    <row r="108" spans="1:19">
      <c r="A108" s="131"/>
      <c r="B108" s="132"/>
      <c r="C108" s="123">
        <f t="shared" si="23"/>
        <v>1</v>
      </c>
      <c r="D108" s="133"/>
      <c r="E108" s="123">
        <f t="shared" si="24"/>
        <v>1</v>
      </c>
      <c r="F108" s="133"/>
      <c r="G108" s="123">
        <f t="shared" si="25"/>
        <v>1</v>
      </c>
      <c r="H108" s="133"/>
      <c r="I108" s="123">
        <f t="shared" si="26"/>
        <v>1</v>
      </c>
      <c r="J108" s="133"/>
      <c r="K108" s="123">
        <f t="shared" si="27"/>
        <v>1</v>
      </c>
      <c r="L108" s="133"/>
      <c r="M108" s="123">
        <f t="shared" si="28"/>
        <v>1</v>
      </c>
      <c r="N108" s="133"/>
      <c r="O108" s="123">
        <f t="shared" si="29"/>
        <v>1</v>
      </c>
      <c r="P108" s="133"/>
      <c r="Q108" s="123">
        <f t="shared" si="30"/>
        <v>1</v>
      </c>
      <c r="R108" s="187">
        <f t="shared" si="31"/>
        <v>0</v>
      </c>
      <c r="S108" s="122">
        <f t="shared" si="22"/>
        <v>0</v>
      </c>
    </row>
    <row r="109" spans="1:19">
      <c r="A109" s="131"/>
      <c r="B109" s="132"/>
      <c r="C109" s="123">
        <f t="shared" si="23"/>
        <v>1</v>
      </c>
      <c r="D109" s="133"/>
      <c r="E109" s="123">
        <f t="shared" si="24"/>
        <v>1</v>
      </c>
      <c r="F109" s="133"/>
      <c r="G109" s="123">
        <f t="shared" si="25"/>
        <v>1</v>
      </c>
      <c r="H109" s="133"/>
      <c r="I109" s="123">
        <f t="shared" si="26"/>
        <v>1</v>
      </c>
      <c r="J109" s="133"/>
      <c r="K109" s="123">
        <f t="shared" si="27"/>
        <v>1</v>
      </c>
      <c r="L109" s="133"/>
      <c r="M109" s="123">
        <f t="shared" si="28"/>
        <v>1</v>
      </c>
      <c r="N109" s="133"/>
      <c r="O109" s="123">
        <f t="shared" si="29"/>
        <v>1</v>
      </c>
      <c r="P109" s="133"/>
      <c r="Q109" s="123">
        <f t="shared" si="30"/>
        <v>1</v>
      </c>
      <c r="R109" s="187">
        <f t="shared" si="31"/>
        <v>0</v>
      </c>
      <c r="S109" s="122">
        <f t="shared" si="22"/>
        <v>0</v>
      </c>
    </row>
    <row r="110" spans="1:19">
      <c r="A110" s="131"/>
      <c r="B110" s="132"/>
      <c r="C110" s="123">
        <f t="shared" si="23"/>
        <v>1</v>
      </c>
      <c r="D110" s="133"/>
      <c r="E110" s="123">
        <f t="shared" si="24"/>
        <v>1</v>
      </c>
      <c r="F110" s="133"/>
      <c r="G110" s="123">
        <f t="shared" si="25"/>
        <v>1</v>
      </c>
      <c r="H110" s="133"/>
      <c r="I110" s="123">
        <f t="shared" si="26"/>
        <v>1</v>
      </c>
      <c r="J110" s="133"/>
      <c r="K110" s="123">
        <f t="shared" si="27"/>
        <v>1</v>
      </c>
      <c r="L110" s="133"/>
      <c r="M110" s="123">
        <f t="shared" si="28"/>
        <v>1</v>
      </c>
      <c r="N110" s="133"/>
      <c r="O110" s="123">
        <f t="shared" si="29"/>
        <v>1</v>
      </c>
      <c r="P110" s="133"/>
      <c r="Q110" s="123">
        <f t="shared" si="30"/>
        <v>1</v>
      </c>
      <c r="R110" s="187">
        <f t="shared" si="31"/>
        <v>0</v>
      </c>
      <c r="S110" s="122">
        <f t="shared" si="22"/>
        <v>0</v>
      </c>
    </row>
    <row r="111" spans="1:19">
      <c r="A111" s="131"/>
      <c r="B111" s="132"/>
      <c r="C111" s="123">
        <f t="shared" si="23"/>
        <v>1</v>
      </c>
      <c r="D111" s="133"/>
      <c r="E111" s="123">
        <f t="shared" si="24"/>
        <v>1</v>
      </c>
      <c r="F111" s="133"/>
      <c r="G111" s="123">
        <f t="shared" si="25"/>
        <v>1</v>
      </c>
      <c r="H111" s="133"/>
      <c r="I111" s="123">
        <f t="shared" si="26"/>
        <v>1</v>
      </c>
      <c r="J111" s="133"/>
      <c r="K111" s="123">
        <f t="shared" si="27"/>
        <v>1</v>
      </c>
      <c r="L111" s="133"/>
      <c r="M111" s="123">
        <f t="shared" si="28"/>
        <v>1</v>
      </c>
      <c r="N111" s="133"/>
      <c r="O111" s="123">
        <f t="shared" si="29"/>
        <v>1</v>
      </c>
      <c r="P111" s="133"/>
      <c r="Q111" s="123">
        <f t="shared" si="30"/>
        <v>1</v>
      </c>
      <c r="R111" s="187">
        <f t="shared" si="31"/>
        <v>0</v>
      </c>
      <c r="S111" s="122">
        <f t="shared" si="22"/>
        <v>0</v>
      </c>
    </row>
    <row r="112" spans="1:19">
      <c r="A112" s="131"/>
      <c r="B112" s="132"/>
      <c r="C112" s="123">
        <f t="shared" si="23"/>
        <v>1</v>
      </c>
      <c r="D112" s="133"/>
      <c r="E112" s="123">
        <f t="shared" si="24"/>
        <v>1</v>
      </c>
      <c r="F112" s="133"/>
      <c r="G112" s="123">
        <f t="shared" si="25"/>
        <v>1</v>
      </c>
      <c r="H112" s="133"/>
      <c r="I112" s="123">
        <f t="shared" si="26"/>
        <v>1</v>
      </c>
      <c r="J112" s="133"/>
      <c r="K112" s="123">
        <f t="shared" si="27"/>
        <v>1</v>
      </c>
      <c r="L112" s="133"/>
      <c r="M112" s="123">
        <f t="shared" si="28"/>
        <v>1</v>
      </c>
      <c r="N112" s="133"/>
      <c r="O112" s="123">
        <f t="shared" si="29"/>
        <v>1</v>
      </c>
      <c r="P112" s="133"/>
      <c r="Q112" s="123">
        <f t="shared" si="30"/>
        <v>1</v>
      </c>
      <c r="R112" s="187">
        <f t="shared" si="31"/>
        <v>0</v>
      </c>
      <c r="S112" s="122">
        <f t="shared" si="22"/>
        <v>0</v>
      </c>
    </row>
    <row r="113" spans="1:19">
      <c r="A113" s="131"/>
      <c r="B113" s="132"/>
      <c r="C113" s="123">
        <f t="shared" si="23"/>
        <v>1</v>
      </c>
      <c r="D113" s="133"/>
      <c r="E113" s="123">
        <f t="shared" si="24"/>
        <v>1</v>
      </c>
      <c r="F113" s="133"/>
      <c r="G113" s="123">
        <f t="shared" si="25"/>
        <v>1</v>
      </c>
      <c r="H113" s="133"/>
      <c r="I113" s="123">
        <f t="shared" si="26"/>
        <v>1</v>
      </c>
      <c r="J113" s="133"/>
      <c r="K113" s="123">
        <f t="shared" si="27"/>
        <v>1</v>
      </c>
      <c r="L113" s="133"/>
      <c r="M113" s="123">
        <f t="shared" si="28"/>
        <v>1</v>
      </c>
      <c r="N113" s="133"/>
      <c r="O113" s="123">
        <f t="shared" si="29"/>
        <v>1</v>
      </c>
      <c r="P113" s="133"/>
      <c r="Q113" s="123">
        <f t="shared" si="30"/>
        <v>1</v>
      </c>
      <c r="R113" s="187">
        <f t="shared" si="31"/>
        <v>0</v>
      </c>
      <c r="S113" s="122">
        <f t="shared" si="22"/>
        <v>0</v>
      </c>
    </row>
    <row r="114" spans="1:19">
      <c r="A114" s="131"/>
      <c r="B114" s="132"/>
      <c r="C114" s="123">
        <f t="shared" si="23"/>
        <v>1</v>
      </c>
      <c r="D114" s="133"/>
      <c r="E114" s="123">
        <f t="shared" si="24"/>
        <v>1</v>
      </c>
      <c r="F114" s="133"/>
      <c r="G114" s="123">
        <f t="shared" si="25"/>
        <v>1</v>
      </c>
      <c r="H114" s="133"/>
      <c r="I114" s="123">
        <f t="shared" si="26"/>
        <v>1</v>
      </c>
      <c r="J114" s="133"/>
      <c r="K114" s="123">
        <f t="shared" si="27"/>
        <v>1</v>
      </c>
      <c r="L114" s="133"/>
      <c r="M114" s="123">
        <f t="shared" si="28"/>
        <v>1</v>
      </c>
      <c r="N114" s="133"/>
      <c r="O114" s="123">
        <f t="shared" si="29"/>
        <v>1</v>
      </c>
      <c r="P114" s="133"/>
      <c r="Q114" s="123">
        <f t="shared" si="30"/>
        <v>1</v>
      </c>
      <c r="R114" s="187">
        <f t="shared" si="31"/>
        <v>0</v>
      </c>
      <c r="S114" s="122">
        <f t="shared" si="22"/>
        <v>0</v>
      </c>
    </row>
    <row r="115" spans="1:19">
      <c r="A115" s="131"/>
      <c r="B115" s="132"/>
      <c r="C115" s="123">
        <f t="shared" si="23"/>
        <v>1</v>
      </c>
      <c r="D115" s="133"/>
      <c r="E115" s="123">
        <f t="shared" si="24"/>
        <v>1</v>
      </c>
      <c r="F115" s="133"/>
      <c r="G115" s="123">
        <f t="shared" si="25"/>
        <v>1</v>
      </c>
      <c r="H115" s="133"/>
      <c r="I115" s="123">
        <f t="shared" si="26"/>
        <v>1</v>
      </c>
      <c r="J115" s="133"/>
      <c r="K115" s="123">
        <f t="shared" si="27"/>
        <v>1</v>
      </c>
      <c r="L115" s="133"/>
      <c r="M115" s="123">
        <f t="shared" si="28"/>
        <v>1</v>
      </c>
      <c r="N115" s="133"/>
      <c r="O115" s="123">
        <f t="shared" si="29"/>
        <v>1</v>
      </c>
      <c r="P115" s="133"/>
      <c r="Q115" s="123">
        <f t="shared" si="30"/>
        <v>1</v>
      </c>
      <c r="R115" s="187">
        <f t="shared" si="31"/>
        <v>0</v>
      </c>
      <c r="S115" s="122">
        <f t="shared" si="22"/>
        <v>0</v>
      </c>
    </row>
    <row r="116" spans="1:19">
      <c r="A116" s="131"/>
      <c r="B116" s="132"/>
      <c r="C116" s="123">
        <f t="shared" si="23"/>
        <v>1</v>
      </c>
      <c r="D116" s="133"/>
      <c r="E116" s="123">
        <f t="shared" si="24"/>
        <v>1</v>
      </c>
      <c r="F116" s="133"/>
      <c r="G116" s="123">
        <f t="shared" si="25"/>
        <v>1</v>
      </c>
      <c r="H116" s="133"/>
      <c r="I116" s="123">
        <f t="shared" si="26"/>
        <v>1</v>
      </c>
      <c r="J116" s="133"/>
      <c r="K116" s="123">
        <f t="shared" si="27"/>
        <v>1</v>
      </c>
      <c r="L116" s="133"/>
      <c r="M116" s="123">
        <f t="shared" si="28"/>
        <v>1</v>
      </c>
      <c r="N116" s="133"/>
      <c r="O116" s="123">
        <f t="shared" si="29"/>
        <v>1</v>
      </c>
      <c r="P116" s="133"/>
      <c r="Q116" s="123">
        <f t="shared" si="30"/>
        <v>1</v>
      </c>
      <c r="R116" s="187">
        <f t="shared" si="31"/>
        <v>0</v>
      </c>
      <c r="S116" s="122">
        <f t="shared" si="22"/>
        <v>0</v>
      </c>
    </row>
    <row r="117" spans="1:19">
      <c r="A117" s="131"/>
      <c r="B117" s="132"/>
      <c r="C117" s="123">
        <f t="shared" si="23"/>
        <v>1</v>
      </c>
      <c r="D117" s="133"/>
      <c r="E117" s="123">
        <f t="shared" si="24"/>
        <v>1</v>
      </c>
      <c r="F117" s="133"/>
      <c r="G117" s="123">
        <f t="shared" si="25"/>
        <v>1</v>
      </c>
      <c r="H117" s="133"/>
      <c r="I117" s="123">
        <f t="shared" si="26"/>
        <v>1</v>
      </c>
      <c r="J117" s="133"/>
      <c r="K117" s="123">
        <f t="shared" si="27"/>
        <v>1</v>
      </c>
      <c r="L117" s="133"/>
      <c r="M117" s="123">
        <f t="shared" si="28"/>
        <v>1</v>
      </c>
      <c r="N117" s="133"/>
      <c r="O117" s="123">
        <f t="shared" si="29"/>
        <v>1</v>
      </c>
      <c r="P117" s="133"/>
      <c r="Q117" s="123">
        <f t="shared" si="30"/>
        <v>1</v>
      </c>
      <c r="R117" s="187">
        <f t="shared" si="31"/>
        <v>0</v>
      </c>
      <c r="S117" s="122">
        <f t="shared" si="22"/>
        <v>0</v>
      </c>
    </row>
    <row r="118" spans="1:19">
      <c r="A118" s="131"/>
      <c r="B118" s="132"/>
      <c r="C118" s="123">
        <f t="shared" si="23"/>
        <v>1</v>
      </c>
      <c r="D118" s="133"/>
      <c r="E118" s="123">
        <f t="shared" si="24"/>
        <v>1</v>
      </c>
      <c r="F118" s="133"/>
      <c r="G118" s="123">
        <f t="shared" si="25"/>
        <v>1</v>
      </c>
      <c r="H118" s="133"/>
      <c r="I118" s="123">
        <f t="shared" si="26"/>
        <v>1</v>
      </c>
      <c r="J118" s="133"/>
      <c r="K118" s="123">
        <f t="shared" si="27"/>
        <v>1</v>
      </c>
      <c r="L118" s="133"/>
      <c r="M118" s="123">
        <f t="shared" si="28"/>
        <v>1</v>
      </c>
      <c r="N118" s="133"/>
      <c r="O118" s="123">
        <f t="shared" si="29"/>
        <v>1</v>
      </c>
      <c r="P118" s="133"/>
      <c r="Q118" s="123">
        <f t="shared" si="30"/>
        <v>1</v>
      </c>
      <c r="R118" s="187">
        <f t="shared" si="31"/>
        <v>0</v>
      </c>
      <c r="S118" s="122">
        <f t="shared" si="22"/>
        <v>0</v>
      </c>
    </row>
    <row r="119" spans="1:19">
      <c r="A119" s="131"/>
      <c r="B119" s="132"/>
      <c r="C119" s="123">
        <f t="shared" si="23"/>
        <v>1</v>
      </c>
      <c r="D119" s="133"/>
      <c r="E119" s="123">
        <f t="shared" si="24"/>
        <v>1</v>
      </c>
      <c r="F119" s="133"/>
      <c r="G119" s="123">
        <f t="shared" si="25"/>
        <v>1</v>
      </c>
      <c r="H119" s="133"/>
      <c r="I119" s="123">
        <f t="shared" si="26"/>
        <v>1</v>
      </c>
      <c r="J119" s="133"/>
      <c r="K119" s="123">
        <f t="shared" si="27"/>
        <v>1</v>
      </c>
      <c r="L119" s="133"/>
      <c r="M119" s="123">
        <f t="shared" si="28"/>
        <v>1</v>
      </c>
      <c r="N119" s="133"/>
      <c r="O119" s="123">
        <f t="shared" si="29"/>
        <v>1</v>
      </c>
      <c r="P119" s="133"/>
      <c r="Q119" s="123">
        <f t="shared" si="30"/>
        <v>1</v>
      </c>
      <c r="R119" s="187">
        <f t="shared" si="31"/>
        <v>0</v>
      </c>
      <c r="S119" s="122">
        <f t="shared" si="22"/>
        <v>0</v>
      </c>
    </row>
    <row r="120" spans="1:19">
      <c r="A120" s="131"/>
      <c r="B120" s="132"/>
      <c r="C120" s="123">
        <f t="shared" si="23"/>
        <v>1</v>
      </c>
      <c r="D120" s="133"/>
      <c r="E120" s="123">
        <f t="shared" si="24"/>
        <v>1</v>
      </c>
      <c r="F120" s="133"/>
      <c r="G120" s="123">
        <f t="shared" si="25"/>
        <v>1</v>
      </c>
      <c r="H120" s="133"/>
      <c r="I120" s="123">
        <f t="shared" si="26"/>
        <v>1</v>
      </c>
      <c r="J120" s="133"/>
      <c r="K120" s="123">
        <f t="shared" si="27"/>
        <v>1</v>
      </c>
      <c r="L120" s="133"/>
      <c r="M120" s="123">
        <f t="shared" si="28"/>
        <v>1</v>
      </c>
      <c r="N120" s="133"/>
      <c r="O120" s="123">
        <f t="shared" si="29"/>
        <v>1</v>
      </c>
      <c r="P120" s="133"/>
      <c r="Q120" s="123">
        <f t="shared" si="30"/>
        <v>1</v>
      </c>
      <c r="R120" s="187">
        <f t="shared" si="31"/>
        <v>0</v>
      </c>
      <c r="S120" s="122">
        <f t="shared" si="22"/>
        <v>0</v>
      </c>
    </row>
    <row r="121" spans="1:19">
      <c r="A121" s="131"/>
      <c r="B121" s="132"/>
      <c r="C121" s="123">
        <f t="shared" si="23"/>
        <v>1</v>
      </c>
      <c r="D121" s="133"/>
      <c r="E121" s="123">
        <f t="shared" si="24"/>
        <v>1</v>
      </c>
      <c r="F121" s="133"/>
      <c r="G121" s="123">
        <f t="shared" si="25"/>
        <v>1</v>
      </c>
      <c r="H121" s="133"/>
      <c r="I121" s="123">
        <f t="shared" si="26"/>
        <v>1</v>
      </c>
      <c r="J121" s="133"/>
      <c r="K121" s="123">
        <f t="shared" si="27"/>
        <v>1</v>
      </c>
      <c r="L121" s="133"/>
      <c r="M121" s="123">
        <f t="shared" si="28"/>
        <v>1</v>
      </c>
      <c r="N121" s="133"/>
      <c r="O121" s="123">
        <f t="shared" si="29"/>
        <v>1</v>
      </c>
      <c r="P121" s="133"/>
      <c r="Q121" s="123">
        <f t="shared" si="30"/>
        <v>1</v>
      </c>
      <c r="R121" s="187">
        <f t="shared" si="31"/>
        <v>0</v>
      </c>
      <c r="S121" s="122">
        <f t="shared" si="22"/>
        <v>0</v>
      </c>
    </row>
    <row r="122" spans="1:19">
      <c r="A122" s="131"/>
      <c r="B122" s="132"/>
      <c r="C122" s="123">
        <f t="shared" si="23"/>
        <v>1</v>
      </c>
      <c r="D122" s="133"/>
      <c r="E122" s="123">
        <f t="shared" si="24"/>
        <v>1</v>
      </c>
      <c r="F122" s="133"/>
      <c r="G122" s="123">
        <f t="shared" si="25"/>
        <v>1</v>
      </c>
      <c r="H122" s="133"/>
      <c r="I122" s="123">
        <f t="shared" si="26"/>
        <v>1</v>
      </c>
      <c r="J122" s="133"/>
      <c r="K122" s="123">
        <f t="shared" si="27"/>
        <v>1</v>
      </c>
      <c r="L122" s="133"/>
      <c r="M122" s="123">
        <f t="shared" si="28"/>
        <v>1</v>
      </c>
      <c r="N122" s="133"/>
      <c r="O122" s="123">
        <f t="shared" si="29"/>
        <v>1</v>
      </c>
      <c r="P122" s="133"/>
      <c r="Q122" s="123">
        <f t="shared" si="30"/>
        <v>1</v>
      </c>
      <c r="R122" s="187">
        <f t="shared" si="31"/>
        <v>0</v>
      </c>
      <c r="S122" s="122">
        <f t="shared" si="22"/>
        <v>0</v>
      </c>
    </row>
    <row r="123" spans="1:19">
      <c r="A123" s="131"/>
      <c r="B123" s="132"/>
      <c r="C123" s="123">
        <f t="shared" si="23"/>
        <v>1</v>
      </c>
      <c r="D123" s="133"/>
      <c r="E123" s="123">
        <f t="shared" si="24"/>
        <v>1</v>
      </c>
      <c r="F123" s="133"/>
      <c r="G123" s="123">
        <f t="shared" si="25"/>
        <v>1</v>
      </c>
      <c r="H123" s="133"/>
      <c r="I123" s="123">
        <f t="shared" si="26"/>
        <v>1</v>
      </c>
      <c r="J123" s="133"/>
      <c r="K123" s="123">
        <f t="shared" si="27"/>
        <v>1</v>
      </c>
      <c r="L123" s="133"/>
      <c r="M123" s="123">
        <f t="shared" si="28"/>
        <v>1</v>
      </c>
      <c r="N123" s="133"/>
      <c r="O123" s="123">
        <f t="shared" si="29"/>
        <v>1</v>
      </c>
      <c r="P123" s="133"/>
      <c r="Q123" s="123">
        <f t="shared" si="30"/>
        <v>1</v>
      </c>
      <c r="R123" s="187">
        <f t="shared" si="31"/>
        <v>0</v>
      </c>
      <c r="S123" s="122">
        <f t="shared" ref="S123:S186" si="32">ROUND(R123*B123/10000,0)</f>
        <v>0</v>
      </c>
    </row>
    <row r="124" spans="1:19">
      <c r="A124" s="131"/>
      <c r="B124" s="132"/>
      <c r="C124" s="123">
        <f t="shared" si="23"/>
        <v>1</v>
      </c>
      <c r="D124" s="133"/>
      <c r="E124" s="123">
        <f t="shared" si="24"/>
        <v>1</v>
      </c>
      <c r="F124" s="133"/>
      <c r="G124" s="123">
        <f t="shared" si="25"/>
        <v>1</v>
      </c>
      <c r="H124" s="133"/>
      <c r="I124" s="123">
        <f t="shared" si="26"/>
        <v>1</v>
      </c>
      <c r="J124" s="133"/>
      <c r="K124" s="123">
        <f t="shared" si="27"/>
        <v>1</v>
      </c>
      <c r="L124" s="133"/>
      <c r="M124" s="123">
        <f t="shared" si="28"/>
        <v>1</v>
      </c>
      <c r="N124" s="133"/>
      <c r="O124" s="123">
        <f t="shared" si="29"/>
        <v>1</v>
      </c>
      <c r="P124" s="133"/>
      <c r="Q124" s="123">
        <f t="shared" si="30"/>
        <v>1</v>
      </c>
      <c r="R124" s="187">
        <f t="shared" si="31"/>
        <v>0</v>
      </c>
      <c r="S124" s="122">
        <f t="shared" si="32"/>
        <v>0</v>
      </c>
    </row>
    <row r="125" spans="1:19">
      <c r="A125" s="131"/>
      <c r="B125" s="132"/>
      <c r="C125" s="123">
        <f t="shared" si="23"/>
        <v>1</v>
      </c>
      <c r="D125" s="133"/>
      <c r="E125" s="123">
        <f t="shared" si="24"/>
        <v>1</v>
      </c>
      <c r="F125" s="133"/>
      <c r="G125" s="123">
        <f t="shared" si="25"/>
        <v>1</v>
      </c>
      <c r="H125" s="133"/>
      <c r="I125" s="123">
        <f t="shared" si="26"/>
        <v>1</v>
      </c>
      <c r="J125" s="133"/>
      <c r="K125" s="123">
        <f t="shared" si="27"/>
        <v>1</v>
      </c>
      <c r="L125" s="133"/>
      <c r="M125" s="123">
        <f t="shared" si="28"/>
        <v>1</v>
      </c>
      <c r="N125" s="133"/>
      <c r="O125" s="123">
        <f t="shared" si="29"/>
        <v>1</v>
      </c>
      <c r="P125" s="133"/>
      <c r="Q125" s="123">
        <f t="shared" si="30"/>
        <v>1</v>
      </c>
      <c r="R125" s="187">
        <f t="shared" si="31"/>
        <v>0</v>
      </c>
      <c r="S125" s="122">
        <f t="shared" si="32"/>
        <v>0</v>
      </c>
    </row>
    <row r="126" spans="1:19">
      <c r="A126" s="131"/>
      <c r="B126" s="132"/>
      <c r="C126" s="123">
        <f t="shared" si="23"/>
        <v>1</v>
      </c>
      <c r="D126" s="133"/>
      <c r="E126" s="123">
        <f t="shared" si="24"/>
        <v>1</v>
      </c>
      <c r="F126" s="133"/>
      <c r="G126" s="123">
        <f t="shared" si="25"/>
        <v>1</v>
      </c>
      <c r="H126" s="133"/>
      <c r="I126" s="123">
        <f t="shared" si="26"/>
        <v>1</v>
      </c>
      <c r="J126" s="133"/>
      <c r="K126" s="123">
        <f t="shared" si="27"/>
        <v>1</v>
      </c>
      <c r="L126" s="133"/>
      <c r="M126" s="123">
        <f t="shared" si="28"/>
        <v>1</v>
      </c>
      <c r="N126" s="133"/>
      <c r="O126" s="123">
        <f t="shared" si="29"/>
        <v>1</v>
      </c>
      <c r="P126" s="133"/>
      <c r="Q126" s="123">
        <f t="shared" si="30"/>
        <v>1</v>
      </c>
      <c r="R126" s="187">
        <f t="shared" si="31"/>
        <v>0</v>
      </c>
      <c r="S126" s="122">
        <f t="shared" si="32"/>
        <v>0</v>
      </c>
    </row>
    <row r="127" spans="1:19">
      <c r="A127" s="131"/>
      <c r="B127" s="132"/>
      <c r="C127" s="123">
        <f t="shared" si="23"/>
        <v>1</v>
      </c>
      <c r="D127" s="133"/>
      <c r="E127" s="123">
        <f t="shared" si="24"/>
        <v>1</v>
      </c>
      <c r="F127" s="133"/>
      <c r="G127" s="123">
        <f t="shared" si="25"/>
        <v>1</v>
      </c>
      <c r="H127" s="133"/>
      <c r="I127" s="123">
        <f t="shared" si="26"/>
        <v>1</v>
      </c>
      <c r="J127" s="133"/>
      <c r="K127" s="123">
        <f t="shared" si="27"/>
        <v>1</v>
      </c>
      <c r="L127" s="133"/>
      <c r="M127" s="123">
        <f t="shared" si="28"/>
        <v>1</v>
      </c>
      <c r="N127" s="133"/>
      <c r="O127" s="123">
        <f t="shared" si="29"/>
        <v>1</v>
      </c>
      <c r="P127" s="133"/>
      <c r="Q127" s="123">
        <f t="shared" si="30"/>
        <v>1</v>
      </c>
      <c r="R127" s="187">
        <f t="shared" si="31"/>
        <v>0</v>
      </c>
      <c r="S127" s="122">
        <f t="shared" si="32"/>
        <v>0</v>
      </c>
    </row>
    <row r="128" spans="1:19">
      <c r="A128" s="131"/>
      <c r="B128" s="132"/>
      <c r="C128" s="123">
        <f t="shared" si="23"/>
        <v>1</v>
      </c>
      <c r="D128" s="133"/>
      <c r="E128" s="123">
        <f t="shared" si="24"/>
        <v>1</v>
      </c>
      <c r="F128" s="133"/>
      <c r="G128" s="123">
        <f t="shared" si="25"/>
        <v>1</v>
      </c>
      <c r="H128" s="133"/>
      <c r="I128" s="123">
        <f t="shared" si="26"/>
        <v>1</v>
      </c>
      <c r="J128" s="133"/>
      <c r="K128" s="123">
        <f t="shared" si="27"/>
        <v>1</v>
      </c>
      <c r="L128" s="133"/>
      <c r="M128" s="123">
        <f t="shared" si="28"/>
        <v>1</v>
      </c>
      <c r="N128" s="133"/>
      <c r="O128" s="123">
        <f t="shared" si="29"/>
        <v>1</v>
      </c>
      <c r="P128" s="133"/>
      <c r="Q128" s="123">
        <f t="shared" si="30"/>
        <v>1</v>
      </c>
      <c r="R128" s="187">
        <f t="shared" si="31"/>
        <v>0</v>
      </c>
      <c r="S128" s="122">
        <f t="shared" si="32"/>
        <v>0</v>
      </c>
    </row>
    <row r="129" spans="1:19">
      <c r="A129" s="131"/>
      <c r="B129" s="132"/>
      <c r="C129" s="123">
        <f t="shared" si="23"/>
        <v>1</v>
      </c>
      <c r="D129" s="133"/>
      <c r="E129" s="123">
        <f t="shared" si="24"/>
        <v>1</v>
      </c>
      <c r="F129" s="133"/>
      <c r="G129" s="123">
        <f t="shared" si="25"/>
        <v>1</v>
      </c>
      <c r="H129" s="133"/>
      <c r="I129" s="123">
        <f t="shared" si="26"/>
        <v>1</v>
      </c>
      <c r="J129" s="133"/>
      <c r="K129" s="123">
        <f t="shared" si="27"/>
        <v>1</v>
      </c>
      <c r="L129" s="133"/>
      <c r="M129" s="123">
        <f t="shared" si="28"/>
        <v>1</v>
      </c>
      <c r="N129" s="133"/>
      <c r="O129" s="123">
        <f t="shared" si="29"/>
        <v>1</v>
      </c>
      <c r="P129" s="133"/>
      <c r="Q129" s="123">
        <f t="shared" si="30"/>
        <v>1</v>
      </c>
      <c r="R129" s="187">
        <f t="shared" si="31"/>
        <v>0</v>
      </c>
      <c r="S129" s="122">
        <f t="shared" si="32"/>
        <v>0</v>
      </c>
    </row>
    <row r="130" spans="1:19">
      <c r="A130" s="131"/>
      <c r="B130" s="132"/>
      <c r="C130" s="123">
        <f t="shared" si="23"/>
        <v>1</v>
      </c>
      <c r="D130" s="133"/>
      <c r="E130" s="123">
        <f t="shared" si="24"/>
        <v>1</v>
      </c>
      <c r="F130" s="133"/>
      <c r="G130" s="123">
        <f t="shared" si="25"/>
        <v>1</v>
      </c>
      <c r="H130" s="133"/>
      <c r="I130" s="123">
        <f t="shared" si="26"/>
        <v>1</v>
      </c>
      <c r="J130" s="133"/>
      <c r="K130" s="123">
        <f t="shared" si="27"/>
        <v>1</v>
      </c>
      <c r="L130" s="133"/>
      <c r="M130" s="123">
        <f t="shared" si="28"/>
        <v>1</v>
      </c>
      <c r="N130" s="133"/>
      <c r="O130" s="123">
        <f t="shared" si="29"/>
        <v>1</v>
      </c>
      <c r="P130" s="133"/>
      <c r="Q130" s="123">
        <f t="shared" si="30"/>
        <v>1</v>
      </c>
      <c r="R130" s="187">
        <f t="shared" si="31"/>
        <v>0</v>
      </c>
      <c r="S130" s="122">
        <f t="shared" si="32"/>
        <v>0</v>
      </c>
    </row>
    <row r="131" spans="1:19">
      <c r="A131" s="131"/>
      <c r="B131" s="132"/>
      <c r="C131" s="123">
        <f t="shared" si="23"/>
        <v>1</v>
      </c>
      <c r="D131" s="133"/>
      <c r="E131" s="123">
        <f t="shared" si="24"/>
        <v>1</v>
      </c>
      <c r="F131" s="133"/>
      <c r="G131" s="123">
        <f t="shared" si="25"/>
        <v>1</v>
      </c>
      <c r="H131" s="133"/>
      <c r="I131" s="123">
        <f t="shared" si="26"/>
        <v>1</v>
      </c>
      <c r="J131" s="133"/>
      <c r="K131" s="123">
        <f t="shared" si="27"/>
        <v>1</v>
      </c>
      <c r="L131" s="133"/>
      <c r="M131" s="123">
        <f t="shared" si="28"/>
        <v>1</v>
      </c>
      <c r="N131" s="133"/>
      <c r="O131" s="123">
        <f t="shared" si="29"/>
        <v>1</v>
      </c>
      <c r="P131" s="133"/>
      <c r="Q131" s="123">
        <f t="shared" si="30"/>
        <v>1</v>
      </c>
      <c r="R131" s="187">
        <f t="shared" si="31"/>
        <v>0</v>
      </c>
      <c r="S131" s="122">
        <f t="shared" si="32"/>
        <v>0</v>
      </c>
    </row>
    <row r="132" spans="1:19">
      <c r="A132" s="131"/>
      <c r="B132" s="132"/>
      <c r="C132" s="123">
        <f t="shared" si="23"/>
        <v>1</v>
      </c>
      <c r="D132" s="133"/>
      <c r="E132" s="123">
        <f t="shared" si="24"/>
        <v>1</v>
      </c>
      <c r="F132" s="133"/>
      <c r="G132" s="123">
        <f t="shared" si="25"/>
        <v>1</v>
      </c>
      <c r="H132" s="133"/>
      <c r="I132" s="123">
        <f t="shared" si="26"/>
        <v>1</v>
      </c>
      <c r="J132" s="133"/>
      <c r="K132" s="123">
        <f t="shared" si="27"/>
        <v>1</v>
      </c>
      <c r="L132" s="133"/>
      <c r="M132" s="123">
        <f t="shared" si="28"/>
        <v>1</v>
      </c>
      <c r="N132" s="133"/>
      <c r="O132" s="123">
        <f t="shared" si="29"/>
        <v>1</v>
      </c>
      <c r="P132" s="133"/>
      <c r="Q132" s="123">
        <f t="shared" si="30"/>
        <v>1</v>
      </c>
      <c r="R132" s="187">
        <f t="shared" si="31"/>
        <v>0</v>
      </c>
      <c r="S132" s="122">
        <f t="shared" si="32"/>
        <v>0</v>
      </c>
    </row>
    <row r="133" spans="1:19">
      <c r="A133" s="131"/>
      <c r="B133" s="132"/>
      <c r="C133" s="123">
        <f t="shared" si="23"/>
        <v>1</v>
      </c>
      <c r="D133" s="133"/>
      <c r="E133" s="123">
        <f t="shared" si="24"/>
        <v>1</v>
      </c>
      <c r="F133" s="133"/>
      <c r="G133" s="123">
        <f t="shared" si="25"/>
        <v>1</v>
      </c>
      <c r="H133" s="133"/>
      <c r="I133" s="123">
        <f t="shared" si="26"/>
        <v>1</v>
      </c>
      <c r="J133" s="133"/>
      <c r="K133" s="123">
        <f t="shared" si="27"/>
        <v>1</v>
      </c>
      <c r="L133" s="133"/>
      <c r="M133" s="123">
        <f t="shared" si="28"/>
        <v>1</v>
      </c>
      <c r="N133" s="133"/>
      <c r="O133" s="123">
        <f t="shared" si="29"/>
        <v>1</v>
      </c>
      <c r="P133" s="133"/>
      <c r="Q133" s="123">
        <f t="shared" si="30"/>
        <v>1</v>
      </c>
      <c r="R133" s="187">
        <f t="shared" si="31"/>
        <v>0</v>
      </c>
      <c r="S133" s="122">
        <f t="shared" si="32"/>
        <v>0</v>
      </c>
    </row>
    <row r="134" spans="1:19">
      <c r="A134" s="131"/>
      <c r="B134" s="132"/>
      <c r="C134" s="123">
        <f t="shared" si="23"/>
        <v>1</v>
      </c>
      <c r="D134" s="133"/>
      <c r="E134" s="123">
        <f t="shared" si="24"/>
        <v>1</v>
      </c>
      <c r="F134" s="133"/>
      <c r="G134" s="123">
        <f t="shared" si="25"/>
        <v>1</v>
      </c>
      <c r="H134" s="133"/>
      <c r="I134" s="123">
        <f t="shared" si="26"/>
        <v>1</v>
      </c>
      <c r="J134" s="133"/>
      <c r="K134" s="123">
        <f t="shared" si="27"/>
        <v>1</v>
      </c>
      <c r="L134" s="133"/>
      <c r="M134" s="123">
        <f t="shared" si="28"/>
        <v>1</v>
      </c>
      <c r="N134" s="133"/>
      <c r="O134" s="123">
        <f t="shared" si="29"/>
        <v>1</v>
      </c>
      <c r="P134" s="133"/>
      <c r="Q134" s="123">
        <f t="shared" si="30"/>
        <v>1</v>
      </c>
      <c r="R134" s="187">
        <f t="shared" si="31"/>
        <v>0</v>
      </c>
      <c r="S134" s="122">
        <f t="shared" si="32"/>
        <v>0</v>
      </c>
    </row>
    <row r="135" spans="1:19">
      <c r="A135" s="131"/>
      <c r="B135" s="132"/>
      <c r="C135" s="123">
        <f t="shared" si="23"/>
        <v>1</v>
      </c>
      <c r="D135" s="133"/>
      <c r="E135" s="123">
        <f t="shared" si="24"/>
        <v>1</v>
      </c>
      <c r="F135" s="133"/>
      <c r="G135" s="123">
        <f t="shared" si="25"/>
        <v>1</v>
      </c>
      <c r="H135" s="133"/>
      <c r="I135" s="123">
        <f t="shared" si="26"/>
        <v>1</v>
      </c>
      <c r="J135" s="133"/>
      <c r="K135" s="123">
        <f t="shared" si="27"/>
        <v>1</v>
      </c>
      <c r="L135" s="133"/>
      <c r="M135" s="123">
        <f t="shared" si="28"/>
        <v>1</v>
      </c>
      <c r="N135" s="133"/>
      <c r="O135" s="123">
        <f t="shared" si="29"/>
        <v>1</v>
      </c>
      <c r="P135" s="133"/>
      <c r="Q135" s="123">
        <f t="shared" si="30"/>
        <v>1</v>
      </c>
      <c r="R135" s="187">
        <f t="shared" si="31"/>
        <v>0</v>
      </c>
      <c r="S135" s="122">
        <f t="shared" si="32"/>
        <v>0</v>
      </c>
    </row>
    <row r="136" spans="1:19">
      <c r="A136" s="131"/>
      <c r="B136" s="132"/>
      <c r="C136" s="123">
        <f t="shared" si="23"/>
        <v>1</v>
      </c>
      <c r="D136" s="133"/>
      <c r="E136" s="123">
        <f t="shared" si="24"/>
        <v>1</v>
      </c>
      <c r="F136" s="133"/>
      <c r="G136" s="123">
        <f t="shared" si="25"/>
        <v>1</v>
      </c>
      <c r="H136" s="133"/>
      <c r="I136" s="123">
        <f t="shared" si="26"/>
        <v>1</v>
      </c>
      <c r="J136" s="133"/>
      <c r="K136" s="123">
        <f t="shared" si="27"/>
        <v>1</v>
      </c>
      <c r="L136" s="133"/>
      <c r="M136" s="123">
        <f t="shared" si="28"/>
        <v>1</v>
      </c>
      <c r="N136" s="133"/>
      <c r="O136" s="123">
        <f t="shared" si="29"/>
        <v>1</v>
      </c>
      <c r="P136" s="133"/>
      <c r="Q136" s="123">
        <f t="shared" si="30"/>
        <v>1</v>
      </c>
      <c r="R136" s="187">
        <f t="shared" si="31"/>
        <v>0</v>
      </c>
      <c r="S136" s="122">
        <f t="shared" si="32"/>
        <v>0</v>
      </c>
    </row>
    <row r="137" spans="1:19">
      <c r="A137" s="131"/>
      <c r="B137" s="132"/>
      <c r="C137" s="123">
        <f t="shared" si="23"/>
        <v>1</v>
      </c>
      <c r="D137" s="133"/>
      <c r="E137" s="123">
        <f t="shared" si="24"/>
        <v>1</v>
      </c>
      <c r="F137" s="133"/>
      <c r="G137" s="123">
        <f t="shared" si="25"/>
        <v>1</v>
      </c>
      <c r="H137" s="133"/>
      <c r="I137" s="123">
        <f t="shared" si="26"/>
        <v>1</v>
      </c>
      <c r="J137" s="133"/>
      <c r="K137" s="123">
        <f t="shared" si="27"/>
        <v>1</v>
      </c>
      <c r="L137" s="133"/>
      <c r="M137" s="123">
        <f t="shared" si="28"/>
        <v>1</v>
      </c>
      <c r="N137" s="133"/>
      <c r="O137" s="123">
        <f t="shared" si="29"/>
        <v>1</v>
      </c>
      <c r="P137" s="133"/>
      <c r="Q137" s="123">
        <f t="shared" si="30"/>
        <v>1</v>
      </c>
      <c r="R137" s="187">
        <f t="shared" si="31"/>
        <v>0</v>
      </c>
      <c r="S137" s="122">
        <f t="shared" si="32"/>
        <v>0</v>
      </c>
    </row>
    <row r="138" spans="1:19">
      <c r="A138" s="131"/>
      <c r="B138" s="132"/>
      <c r="C138" s="123">
        <f t="shared" si="23"/>
        <v>1</v>
      </c>
      <c r="D138" s="133"/>
      <c r="E138" s="123">
        <f t="shared" si="24"/>
        <v>1</v>
      </c>
      <c r="F138" s="133"/>
      <c r="G138" s="123">
        <f t="shared" si="25"/>
        <v>1</v>
      </c>
      <c r="H138" s="133"/>
      <c r="I138" s="123">
        <f t="shared" si="26"/>
        <v>1</v>
      </c>
      <c r="J138" s="133"/>
      <c r="K138" s="123">
        <f t="shared" si="27"/>
        <v>1</v>
      </c>
      <c r="L138" s="133"/>
      <c r="M138" s="123">
        <f t="shared" si="28"/>
        <v>1</v>
      </c>
      <c r="N138" s="133"/>
      <c r="O138" s="123">
        <f t="shared" si="29"/>
        <v>1</v>
      </c>
      <c r="P138" s="133"/>
      <c r="Q138" s="123">
        <f t="shared" si="30"/>
        <v>1</v>
      </c>
      <c r="R138" s="187">
        <f t="shared" si="31"/>
        <v>0</v>
      </c>
      <c r="S138" s="122">
        <f t="shared" si="32"/>
        <v>0</v>
      </c>
    </row>
    <row r="139" spans="1:19">
      <c r="A139" s="131"/>
      <c r="B139" s="132"/>
      <c r="C139" s="123">
        <f t="shared" si="23"/>
        <v>1</v>
      </c>
      <c r="D139" s="133"/>
      <c r="E139" s="123">
        <f t="shared" si="24"/>
        <v>1</v>
      </c>
      <c r="F139" s="133"/>
      <c r="G139" s="123">
        <f t="shared" si="25"/>
        <v>1</v>
      </c>
      <c r="H139" s="133"/>
      <c r="I139" s="123">
        <f t="shared" si="26"/>
        <v>1</v>
      </c>
      <c r="J139" s="133"/>
      <c r="K139" s="123">
        <f t="shared" si="27"/>
        <v>1</v>
      </c>
      <c r="L139" s="133"/>
      <c r="M139" s="123">
        <f t="shared" si="28"/>
        <v>1</v>
      </c>
      <c r="N139" s="133"/>
      <c r="O139" s="123">
        <f t="shared" si="29"/>
        <v>1</v>
      </c>
      <c r="P139" s="133"/>
      <c r="Q139" s="123">
        <f t="shared" si="30"/>
        <v>1</v>
      </c>
      <c r="R139" s="187">
        <f t="shared" si="31"/>
        <v>0</v>
      </c>
      <c r="S139" s="122">
        <f t="shared" si="32"/>
        <v>0</v>
      </c>
    </row>
    <row r="140" spans="1:19">
      <c r="A140" s="131"/>
      <c r="B140" s="132"/>
      <c r="C140" s="123">
        <f t="shared" si="23"/>
        <v>1</v>
      </c>
      <c r="D140" s="133"/>
      <c r="E140" s="123">
        <f t="shared" si="24"/>
        <v>1</v>
      </c>
      <c r="F140" s="133"/>
      <c r="G140" s="123">
        <f t="shared" si="25"/>
        <v>1</v>
      </c>
      <c r="H140" s="133"/>
      <c r="I140" s="123">
        <f t="shared" si="26"/>
        <v>1</v>
      </c>
      <c r="J140" s="133"/>
      <c r="K140" s="123">
        <f t="shared" si="27"/>
        <v>1</v>
      </c>
      <c r="L140" s="133"/>
      <c r="M140" s="123">
        <f t="shared" si="28"/>
        <v>1</v>
      </c>
      <c r="N140" s="133"/>
      <c r="O140" s="123">
        <f t="shared" si="29"/>
        <v>1</v>
      </c>
      <c r="P140" s="133"/>
      <c r="Q140" s="123">
        <f t="shared" si="30"/>
        <v>1</v>
      </c>
      <c r="R140" s="187">
        <f t="shared" si="31"/>
        <v>0</v>
      </c>
      <c r="S140" s="122">
        <f t="shared" si="32"/>
        <v>0</v>
      </c>
    </row>
    <row r="141" spans="1:19">
      <c r="A141" s="131"/>
      <c r="B141" s="132"/>
      <c r="C141" s="123">
        <f t="shared" si="23"/>
        <v>1</v>
      </c>
      <c r="D141" s="133"/>
      <c r="E141" s="123">
        <f t="shared" si="24"/>
        <v>1</v>
      </c>
      <c r="F141" s="133"/>
      <c r="G141" s="123">
        <f t="shared" si="25"/>
        <v>1</v>
      </c>
      <c r="H141" s="133"/>
      <c r="I141" s="123">
        <f t="shared" si="26"/>
        <v>1</v>
      </c>
      <c r="J141" s="133"/>
      <c r="K141" s="123">
        <f t="shared" si="27"/>
        <v>1</v>
      </c>
      <c r="L141" s="133"/>
      <c r="M141" s="123">
        <f t="shared" si="28"/>
        <v>1</v>
      </c>
      <c r="N141" s="133"/>
      <c r="O141" s="123">
        <f t="shared" si="29"/>
        <v>1</v>
      </c>
      <c r="P141" s="133"/>
      <c r="Q141" s="123">
        <f t="shared" si="30"/>
        <v>1</v>
      </c>
      <c r="R141" s="187">
        <f t="shared" si="31"/>
        <v>0</v>
      </c>
      <c r="S141" s="122">
        <f t="shared" si="32"/>
        <v>0</v>
      </c>
    </row>
    <row r="142" spans="1:19">
      <c r="A142" s="131"/>
      <c r="B142" s="132"/>
      <c r="C142" s="123">
        <f t="shared" si="23"/>
        <v>1</v>
      </c>
      <c r="D142" s="133"/>
      <c r="E142" s="123">
        <f t="shared" si="24"/>
        <v>1</v>
      </c>
      <c r="F142" s="133"/>
      <c r="G142" s="123">
        <f t="shared" si="25"/>
        <v>1</v>
      </c>
      <c r="H142" s="133"/>
      <c r="I142" s="123">
        <f t="shared" si="26"/>
        <v>1</v>
      </c>
      <c r="J142" s="133"/>
      <c r="K142" s="123">
        <f t="shared" si="27"/>
        <v>1</v>
      </c>
      <c r="L142" s="133"/>
      <c r="M142" s="123">
        <f t="shared" si="28"/>
        <v>1</v>
      </c>
      <c r="N142" s="133"/>
      <c r="O142" s="123">
        <f t="shared" si="29"/>
        <v>1</v>
      </c>
      <c r="P142" s="133"/>
      <c r="Q142" s="123">
        <f t="shared" si="30"/>
        <v>1</v>
      </c>
      <c r="R142" s="187">
        <f t="shared" si="31"/>
        <v>0</v>
      </c>
      <c r="S142" s="122">
        <f t="shared" si="32"/>
        <v>0</v>
      </c>
    </row>
    <row r="143" spans="1:19">
      <c r="A143" s="131"/>
      <c r="B143" s="132"/>
      <c r="C143" s="123">
        <f t="shared" si="23"/>
        <v>1</v>
      </c>
      <c r="D143" s="133"/>
      <c r="E143" s="123">
        <f t="shared" si="24"/>
        <v>1</v>
      </c>
      <c r="F143" s="133"/>
      <c r="G143" s="123">
        <f t="shared" si="25"/>
        <v>1</v>
      </c>
      <c r="H143" s="133"/>
      <c r="I143" s="123">
        <f t="shared" si="26"/>
        <v>1</v>
      </c>
      <c r="J143" s="133"/>
      <c r="K143" s="123">
        <f t="shared" si="27"/>
        <v>1</v>
      </c>
      <c r="L143" s="133"/>
      <c r="M143" s="123">
        <f t="shared" si="28"/>
        <v>1</v>
      </c>
      <c r="N143" s="133"/>
      <c r="O143" s="123">
        <f t="shared" si="29"/>
        <v>1</v>
      </c>
      <c r="P143" s="133"/>
      <c r="Q143" s="123">
        <f t="shared" si="30"/>
        <v>1</v>
      </c>
      <c r="R143" s="187">
        <f t="shared" si="31"/>
        <v>0</v>
      </c>
      <c r="S143" s="122">
        <f t="shared" si="32"/>
        <v>0</v>
      </c>
    </row>
    <row r="144" spans="1:19">
      <c r="A144" s="131"/>
      <c r="B144" s="132"/>
      <c r="C144" s="123">
        <f t="shared" si="23"/>
        <v>1</v>
      </c>
      <c r="D144" s="133"/>
      <c r="E144" s="123">
        <f t="shared" si="24"/>
        <v>1</v>
      </c>
      <c r="F144" s="133"/>
      <c r="G144" s="123">
        <f t="shared" si="25"/>
        <v>1</v>
      </c>
      <c r="H144" s="133"/>
      <c r="I144" s="123">
        <f t="shared" si="26"/>
        <v>1</v>
      </c>
      <c r="J144" s="133"/>
      <c r="K144" s="123">
        <f t="shared" si="27"/>
        <v>1</v>
      </c>
      <c r="L144" s="133"/>
      <c r="M144" s="123">
        <f t="shared" si="28"/>
        <v>1</v>
      </c>
      <c r="N144" s="133"/>
      <c r="O144" s="123">
        <f t="shared" si="29"/>
        <v>1</v>
      </c>
      <c r="P144" s="133"/>
      <c r="Q144" s="123">
        <f t="shared" si="30"/>
        <v>1</v>
      </c>
      <c r="R144" s="187">
        <f t="shared" si="31"/>
        <v>0</v>
      </c>
      <c r="S144" s="122">
        <f t="shared" si="32"/>
        <v>0</v>
      </c>
    </row>
    <row r="145" spans="1:19">
      <c r="A145" s="131"/>
      <c r="B145" s="132"/>
      <c r="C145" s="123">
        <f t="shared" si="23"/>
        <v>1</v>
      </c>
      <c r="D145" s="133"/>
      <c r="E145" s="123">
        <f t="shared" si="24"/>
        <v>1</v>
      </c>
      <c r="F145" s="133"/>
      <c r="G145" s="123">
        <f t="shared" si="25"/>
        <v>1</v>
      </c>
      <c r="H145" s="133"/>
      <c r="I145" s="123">
        <f t="shared" si="26"/>
        <v>1</v>
      </c>
      <c r="J145" s="133"/>
      <c r="K145" s="123">
        <f t="shared" si="27"/>
        <v>1</v>
      </c>
      <c r="L145" s="133"/>
      <c r="M145" s="123">
        <f t="shared" si="28"/>
        <v>1</v>
      </c>
      <c r="N145" s="133"/>
      <c r="O145" s="123">
        <f t="shared" si="29"/>
        <v>1</v>
      </c>
      <c r="P145" s="133"/>
      <c r="Q145" s="123">
        <f t="shared" si="30"/>
        <v>1</v>
      </c>
      <c r="R145" s="187">
        <f t="shared" si="31"/>
        <v>0</v>
      </c>
      <c r="S145" s="122">
        <f t="shared" si="32"/>
        <v>0</v>
      </c>
    </row>
    <row r="146" spans="1:19">
      <c r="A146" s="131"/>
      <c r="B146" s="132"/>
      <c r="C146" s="123">
        <f t="shared" si="23"/>
        <v>1</v>
      </c>
      <c r="D146" s="133"/>
      <c r="E146" s="123">
        <f t="shared" si="24"/>
        <v>1</v>
      </c>
      <c r="F146" s="133"/>
      <c r="G146" s="123">
        <f t="shared" si="25"/>
        <v>1</v>
      </c>
      <c r="H146" s="133"/>
      <c r="I146" s="123">
        <f t="shared" si="26"/>
        <v>1</v>
      </c>
      <c r="J146" s="133"/>
      <c r="K146" s="123">
        <f t="shared" si="27"/>
        <v>1</v>
      </c>
      <c r="L146" s="133"/>
      <c r="M146" s="123">
        <f t="shared" si="28"/>
        <v>1</v>
      </c>
      <c r="N146" s="133"/>
      <c r="O146" s="123">
        <f t="shared" si="29"/>
        <v>1</v>
      </c>
      <c r="P146" s="133"/>
      <c r="Q146" s="123">
        <f t="shared" si="30"/>
        <v>1</v>
      </c>
      <c r="R146" s="187">
        <f t="shared" si="31"/>
        <v>0</v>
      </c>
      <c r="S146" s="122">
        <f t="shared" si="32"/>
        <v>0</v>
      </c>
    </row>
    <row r="147" spans="1:19">
      <c r="A147" s="131"/>
      <c r="B147" s="132"/>
      <c r="C147" s="123">
        <f t="shared" si="23"/>
        <v>1</v>
      </c>
      <c r="D147" s="133"/>
      <c r="E147" s="123">
        <f t="shared" si="24"/>
        <v>1</v>
      </c>
      <c r="F147" s="133"/>
      <c r="G147" s="123">
        <f t="shared" si="25"/>
        <v>1</v>
      </c>
      <c r="H147" s="133"/>
      <c r="I147" s="123">
        <f t="shared" si="26"/>
        <v>1</v>
      </c>
      <c r="J147" s="133"/>
      <c r="K147" s="123">
        <f t="shared" si="27"/>
        <v>1</v>
      </c>
      <c r="L147" s="133"/>
      <c r="M147" s="123">
        <f t="shared" si="28"/>
        <v>1</v>
      </c>
      <c r="N147" s="133"/>
      <c r="O147" s="123">
        <f t="shared" si="29"/>
        <v>1</v>
      </c>
      <c r="P147" s="133"/>
      <c r="Q147" s="123">
        <f t="shared" si="30"/>
        <v>1</v>
      </c>
      <c r="R147" s="187">
        <f t="shared" si="31"/>
        <v>0</v>
      </c>
      <c r="S147" s="122">
        <f t="shared" si="32"/>
        <v>0</v>
      </c>
    </row>
    <row r="148" spans="1:19">
      <c r="A148" s="131"/>
      <c r="B148" s="132"/>
      <c r="C148" s="123">
        <f t="shared" si="23"/>
        <v>1</v>
      </c>
      <c r="D148" s="133"/>
      <c r="E148" s="123">
        <f t="shared" si="24"/>
        <v>1</v>
      </c>
      <c r="F148" s="133"/>
      <c r="G148" s="123">
        <f t="shared" si="25"/>
        <v>1</v>
      </c>
      <c r="H148" s="133"/>
      <c r="I148" s="123">
        <f t="shared" si="26"/>
        <v>1</v>
      </c>
      <c r="J148" s="133"/>
      <c r="K148" s="123">
        <f t="shared" si="27"/>
        <v>1</v>
      </c>
      <c r="L148" s="133"/>
      <c r="M148" s="123">
        <f t="shared" si="28"/>
        <v>1</v>
      </c>
      <c r="N148" s="133"/>
      <c r="O148" s="123">
        <f t="shared" si="29"/>
        <v>1</v>
      </c>
      <c r="P148" s="133"/>
      <c r="Q148" s="123">
        <f t="shared" si="30"/>
        <v>1</v>
      </c>
      <c r="R148" s="187">
        <f t="shared" si="31"/>
        <v>0</v>
      </c>
      <c r="S148" s="122">
        <f t="shared" si="32"/>
        <v>0</v>
      </c>
    </row>
    <row r="149" spans="1:19">
      <c r="A149" s="131"/>
      <c r="B149" s="132"/>
      <c r="C149" s="123">
        <f t="shared" si="23"/>
        <v>1</v>
      </c>
      <c r="D149" s="133"/>
      <c r="E149" s="123">
        <f t="shared" si="24"/>
        <v>1</v>
      </c>
      <c r="F149" s="133"/>
      <c r="G149" s="123">
        <f t="shared" si="25"/>
        <v>1</v>
      </c>
      <c r="H149" s="133"/>
      <c r="I149" s="123">
        <f t="shared" si="26"/>
        <v>1</v>
      </c>
      <c r="J149" s="133"/>
      <c r="K149" s="123">
        <f t="shared" si="27"/>
        <v>1</v>
      </c>
      <c r="L149" s="133"/>
      <c r="M149" s="123">
        <f t="shared" si="28"/>
        <v>1</v>
      </c>
      <c r="N149" s="133"/>
      <c r="O149" s="123">
        <f t="shared" si="29"/>
        <v>1</v>
      </c>
      <c r="P149" s="133"/>
      <c r="Q149" s="123">
        <f t="shared" si="30"/>
        <v>1</v>
      </c>
      <c r="R149" s="187">
        <f t="shared" si="31"/>
        <v>0</v>
      </c>
      <c r="S149" s="122">
        <f t="shared" si="32"/>
        <v>0</v>
      </c>
    </row>
    <row r="150" spans="1:19">
      <c r="A150" s="131"/>
      <c r="B150" s="132"/>
      <c r="C150" s="123">
        <f t="shared" si="23"/>
        <v>1</v>
      </c>
      <c r="D150" s="133"/>
      <c r="E150" s="123">
        <f t="shared" si="24"/>
        <v>1</v>
      </c>
      <c r="F150" s="133"/>
      <c r="G150" s="123">
        <f t="shared" si="25"/>
        <v>1</v>
      </c>
      <c r="H150" s="133"/>
      <c r="I150" s="123">
        <f t="shared" si="26"/>
        <v>1</v>
      </c>
      <c r="J150" s="133"/>
      <c r="K150" s="123">
        <f t="shared" si="27"/>
        <v>1</v>
      </c>
      <c r="L150" s="133"/>
      <c r="M150" s="123">
        <f t="shared" si="28"/>
        <v>1</v>
      </c>
      <c r="N150" s="133"/>
      <c r="O150" s="123">
        <f t="shared" si="29"/>
        <v>1</v>
      </c>
      <c r="P150" s="133"/>
      <c r="Q150" s="123">
        <f t="shared" si="30"/>
        <v>1</v>
      </c>
      <c r="R150" s="187">
        <f t="shared" si="31"/>
        <v>0</v>
      </c>
      <c r="S150" s="122">
        <f t="shared" si="32"/>
        <v>0</v>
      </c>
    </row>
    <row r="151" spans="1:19">
      <c r="A151" s="131"/>
      <c r="B151" s="132"/>
      <c r="C151" s="123">
        <f t="shared" si="23"/>
        <v>1</v>
      </c>
      <c r="D151" s="133"/>
      <c r="E151" s="123">
        <f t="shared" si="24"/>
        <v>1</v>
      </c>
      <c r="F151" s="133"/>
      <c r="G151" s="123">
        <f t="shared" si="25"/>
        <v>1</v>
      </c>
      <c r="H151" s="133"/>
      <c r="I151" s="123">
        <f t="shared" si="26"/>
        <v>1</v>
      </c>
      <c r="J151" s="133"/>
      <c r="K151" s="123">
        <f t="shared" si="27"/>
        <v>1</v>
      </c>
      <c r="L151" s="133"/>
      <c r="M151" s="123">
        <f t="shared" si="28"/>
        <v>1</v>
      </c>
      <c r="N151" s="133"/>
      <c r="O151" s="123">
        <f t="shared" si="29"/>
        <v>1</v>
      </c>
      <c r="P151" s="133"/>
      <c r="Q151" s="123">
        <f t="shared" si="30"/>
        <v>1</v>
      </c>
      <c r="R151" s="187">
        <f t="shared" si="31"/>
        <v>0</v>
      </c>
      <c r="S151" s="122">
        <f t="shared" si="32"/>
        <v>0</v>
      </c>
    </row>
    <row r="152" spans="1:19">
      <c r="A152" s="131"/>
      <c r="B152" s="132"/>
      <c r="C152" s="123">
        <f t="shared" si="23"/>
        <v>1</v>
      </c>
      <c r="D152" s="133"/>
      <c r="E152" s="123">
        <f t="shared" si="24"/>
        <v>1</v>
      </c>
      <c r="F152" s="133"/>
      <c r="G152" s="123">
        <f t="shared" si="25"/>
        <v>1</v>
      </c>
      <c r="H152" s="133"/>
      <c r="I152" s="123">
        <f t="shared" si="26"/>
        <v>1</v>
      </c>
      <c r="J152" s="133"/>
      <c r="K152" s="123">
        <f t="shared" si="27"/>
        <v>1</v>
      </c>
      <c r="L152" s="133"/>
      <c r="M152" s="123">
        <f t="shared" si="28"/>
        <v>1</v>
      </c>
      <c r="N152" s="133"/>
      <c r="O152" s="123">
        <f t="shared" si="29"/>
        <v>1</v>
      </c>
      <c r="P152" s="133"/>
      <c r="Q152" s="123">
        <f t="shared" si="30"/>
        <v>1</v>
      </c>
      <c r="R152" s="187">
        <f t="shared" si="31"/>
        <v>0</v>
      </c>
      <c r="S152" s="122">
        <f t="shared" si="32"/>
        <v>0</v>
      </c>
    </row>
    <row r="153" spans="1:19">
      <c r="A153" s="131"/>
      <c r="B153" s="132"/>
      <c r="C153" s="123">
        <f t="shared" si="23"/>
        <v>1</v>
      </c>
      <c r="D153" s="133"/>
      <c r="E153" s="123">
        <f t="shared" si="24"/>
        <v>1</v>
      </c>
      <c r="F153" s="133"/>
      <c r="G153" s="123">
        <f t="shared" si="25"/>
        <v>1</v>
      </c>
      <c r="H153" s="133"/>
      <c r="I153" s="123">
        <f t="shared" si="26"/>
        <v>1</v>
      </c>
      <c r="J153" s="133"/>
      <c r="K153" s="123">
        <f t="shared" si="27"/>
        <v>1</v>
      </c>
      <c r="L153" s="133"/>
      <c r="M153" s="123">
        <f t="shared" si="28"/>
        <v>1</v>
      </c>
      <c r="N153" s="133"/>
      <c r="O153" s="123">
        <f t="shared" si="29"/>
        <v>1</v>
      </c>
      <c r="P153" s="133"/>
      <c r="Q153" s="123">
        <f t="shared" si="30"/>
        <v>1</v>
      </c>
      <c r="R153" s="187">
        <f t="shared" si="31"/>
        <v>0</v>
      </c>
      <c r="S153" s="122">
        <f t="shared" si="32"/>
        <v>0</v>
      </c>
    </row>
    <row r="154" spans="1:19">
      <c r="A154" s="131"/>
      <c r="B154" s="132"/>
      <c r="C154" s="123">
        <f t="shared" ref="C154:C217" si="33">IF(B154="",1,(LOOKUP(B154,$3:$3,$4:$4)-LOOKUP($B$24,$3:$3,$4:$4)+100)/100)</f>
        <v>1</v>
      </c>
      <c r="D154" s="133"/>
      <c r="E154" s="123">
        <f t="shared" ref="E154:E217" si="34">(SUMIF($5:$5,D154,$6:$6)-SUMIF($5:$5,$D$24,$6:$6)+100)/100</f>
        <v>1</v>
      </c>
      <c r="F154" s="133"/>
      <c r="G154" s="123">
        <f t="shared" ref="G154:G217" si="35">(SUMIF($7:$7,F154,$8:$8)-SUMIF($7:$7,$F$24,$8:$8)+100)/100</f>
        <v>1</v>
      </c>
      <c r="H154" s="133"/>
      <c r="I154" s="123">
        <f t="shared" ref="I154:I217" si="36">(SUMIF($9:$9,H154,$10:$10)-SUMIF($9:$9,$H$24,$10:$10)+100)/100</f>
        <v>1</v>
      </c>
      <c r="J154" s="133"/>
      <c r="K154" s="123">
        <f t="shared" ref="K154:K217" si="37">(SUMIF($11:$11,J154,$12:$12)-SUMIF($11:$11,$J$24,$12:$12)+100)/100</f>
        <v>1</v>
      </c>
      <c r="L154" s="133"/>
      <c r="M154" s="123">
        <f t="shared" ref="M154:M217" si="38">(SUMIF($13:$13,L154,$14:$14)-SUMIF($13:$13,$L$24,$14:$14)+100)/100</f>
        <v>1</v>
      </c>
      <c r="N154" s="133"/>
      <c r="O154" s="123">
        <f t="shared" ref="O154:O217" si="39">(SUMIF($15:$15,N154,$16:$16)-SUMIF($15:$15,$N$24,$16:$16)+100)/100</f>
        <v>1</v>
      </c>
      <c r="P154" s="133"/>
      <c r="Q154" s="123">
        <f t="shared" ref="Q154:Q217" si="40">(SUMIF($17:$17,P154,$18:$18)-SUMIF($17:$17,$P$24,$18:$18)+100)/100</f>
        <v>1</v>
      </c>
      <c r="R154" s="187">
        <f t="shared" ref="R154:R217" si="41">IF(B154="",0,ROUND($R$24*C154*E154*G154*I154*K154*M154*O154*Q154,0))</f>
        <v>0</v>
      </c>
      <c r="S154" s="122">
        <f t="shared" si="32"/>
        <v>0</v>
      </c>
    </row>
    <row r="155" spans="1:19">
      <c r="A155" s="131"/>
      <c r="B155" s="132"/>
      <c r="C155" s="123">
        <f t="shared" si="33"/>
        <v>1</v>
      </c>
      <c r="D155" s="133"/>
      <c r="E155" s="123">
        <f t="shared" si="34"/>
        <v>1</v>
      </c>
      <c r="F155" s="133"/>
      <c r="G155" s="123">
        <f t="shared" si="35"/>
        <v>1</v>
      </c>
      <c r="H155" s="133"/>
      <c r="I155" s="123">
        <f t="shared" si="36"/>
        <v>1</v>
      </c>
      <c r="J155" s="133"/>
      <c r="K155" s="123">
        <f t="shared" si="37"/>
        <v>1</v>
      </c>
      <c r="L155" s="133"/>
      <c r="M155" s="123">
        <f t="shared" si="38"/>
        <v>1</v>
      </c>
      <c r="N155" s="133"/>
      <c r="O155" s="123">
        <f t="shared" si="39"/>
        <v>1</v>
      </c>
      <c r="P155" s="133"/>
      <c r="Q155" s="123">
        <f t="shared" si="40"/>
        <v>1</v>
      </c>
      <c r="R155" s="187">
        <f t="shared" si="41"/>
        <v>0</v>
      </c>
      <c r="S155" s="122">
        <f t="shared" si="32"/>
        <v>0</v>
      </c>
    </row>
    <row r="156" spans="1:19">
      <c r="A156" s="131"/>
      <c r="B156" s="132"/>
      <c r="C156" s="123">
        <f t="shared" si="33"/>
        <v>1</v>
      </c>
      <c r="D156" s="133"/>
      <c r="E156" s="123">
        <f t="shared" si="34"/>
        <v>1</v>
      </c>
      <c r="F156" s="133"/>
      <c r="G156" s="123">
        <f t="shared" si="35"/>
        <v>1</v>
      </c>
      <c r="H156" s="133"/>
      <c r="I156" s="123">
        <f t="shared" si="36"/>
        <v>1</v>
      </c>
      <c r="J156" s="133"/>
      <c r="K156" s="123">
        <f t="shared" si="37"/>
        <v>1</v>
      </c>
      <c r="L156" s="133"/>
      <c r="M156" s="123">
        <f t="shared" si="38"/>
        <v>1</v>
      </c>
      <c r="N156" s="133"/>
      <c r="O156" s="123">
        <f t="shared" si="39"/>
        <v>1</v>
      </c>
      <c r="P156" s="133"/>
      <c r="Q156" s="123">
        <f t="shared" si="40"/>
        <v>1</v>
      </c>
      <c r="R156" s="187">
        <f t="shared" si="41"/>
        <v>0</v>
      </c>
      <c r="S156" s="122">
        <f t="shared" si="32"/>
        <v>0</v>
      </c>
    </row>
    <row r="157" spans="1:19">
      <c r="A157" s="131"/>
      <c r="B157" s="132"/>
      <c r="C157" s="123">
        <f t="shared" si="33"/>
        <v>1</v>
      </c>
      <c r="D157" s="133"/>
      <c r="E157" s="123">
        <f t="shared" si="34"/>
        <v>1</v>
      </c>
      <c r="F157" s="133"/>
      <c r="G157" s="123">
        <f t="shared" si="35"/>
        <v>1</v>
      </c>
      <c r="H157" s="133"/>
      <c r="I157" s="123">
        <f t="shared" si="36"/>
        <v>1</v>
      </c>
      <c r="J157" s="133"/>
      <c r="K157" s="123">
        <f t="shared" si="37"/>
        <v>1</v>
      </c>
      <c r="L157" s="133"/>
      <c r="M157" s="123">
        <f t="shared" si="38"/>
        <v>1</v>
      </c>
      <c r="N157" s="133"/>
      <c r="O157" s="123">
        <f t="shared" si="39"/>
        <v>1</v>
      </c>
      <c r="P157" s="133"/>
      <c r="Q157" s="123">
        <f t="shared" si="40"/>
        <v>1</v>
      </c>
      <c r="R157" s="187">
        <f t="shared" si="41"/>
        <v>0</v>
      </c>
      <c r="S157" s="122">
        <f t="shared" si="32"/>
        <v>0</v>
      </c>
    </row>
    <row r="158" spans="1:19">
      <c r="A158" s="131"/>
      <c r="B158" s="132"/>
      <c r="C158" s="123">
        <f t="shared" si="33"/>
        <v>1</v>
      </c>
      <c r="D158" s="133"/>
      <c r="E158" s="123">
        <f t="shared" si="34"/>
        <v>1</v>
      </c>
      <c r="F158" s="133"/>
      <c r="G158" s="123">
        <f t="shared" si="35"/>
        <v>1</v>
      </c>
      <c r="H158" s="133"/>
      <c r="I158" s="123">
        <f t="shared" si="36"/>
        <v>1</v>
      </c>
      <c r="J158" s="133"/>
      <c r="K158" s="123">
        <f t="shared" si="37"/>
        <v>1</v>
      </c>
      <c r="L158" s="133"/>
      <c r="M158" s="123">
        <f t="shared" si="38"/>
        <v>1</v>
      </c>
      <c r="N158" s="133"/>
      <c r="O158" s="123">
        <f t="shared" si="39"/>
        <v>1</v>
      </c>
      <c r="P158" s="133"/>
      <c r="Q158" s="123">
        <f t="shared" si="40"/>
        <v>1</v>
      </c>
      <c r="R158" s="187">
        <f t="shared" si="41"/>
        <v>0</v>
      </c>
      <c r="S158" s="122">
        <f t="shared" si="32"/>
        <v>0</v>
      </c>
    </row>
    <row r="159" spans="1:19">
      <c r="A159" s="131"/>
      <c r="B159" s="132"/>
      <c r="C159" s="123">
        <f t="shared" si="33"/>
        <v>1</v>
      </c>
      <c r="D159" s="133"/>
      <c r="E159" s="123">
        <f t="shared" si="34"/>
        <v>1</v>
      </c>
      <c r="F159" s="133"/>
      <c r="G159" s="123">
        <f t="shared" si="35"/>
        <v>1</v>
      </c>
      <c r="H159" s="133"/>
      <c r="I159" s="123">
        <f t="shared" si="36"/>
        <v>1</v>
      </c>
      <c r="J159" s="133"/>
      <c r="K159" s="123">
        <f t="shared" si="37"/>
        <v>1</v>
      </c>
      <c r="L159" s="133"/>
      <c r="M159" s="123">
        <f t="shared" si="38"/>
        <v>1</v>
      </c>
      <c r="N159" s="133"/>
      <c r="O159" s="123">
        <f t="shared" si="39"/>
        <v>1</v>
      </c>
      <c r="P159" s="133"/>
      <c r="Q159" s="123">
        <f t="shared" si="40"/>
        <v>1</v>
      </c>
      <c r="R159" s="187">
        <f t="shared" si="41"/>
        <v>0</v>
      </c>
      <c r="S159" s="122">
        <f t="shared" si="32"/>
        <v>0</v>
      </c>
    </row>
    <row r="160" spans="1:19">
      <c r="A160" s="131"/>
      <c r="B160" s="132"/>
      <c r="C160" s="123">
        <f t="shared" si="33"/>
        <v>1</v>
      </c>
      <c r="D160" s="133"/>
      <c r="E160" s="123">
        <f t="shared" si="34"/>
        <v>1</v>
      </c>
      <c r="F160" s="133"/>
      <c r="G160" s="123">
        <f t="shared" si="35"/>
        <v>1</v>
      </c>
      <c r="H160" s="133"/>
      <c r="I160" s="123">
        <f t="shared" si="36"/>
        <v>1</v>
      </c>
      <c r="J160" s="133"/>
      <c r="K160" s="123">
        <f t="shared" si="37"/>
        <v>1</v>
      </c>
      <c r="L160" s="133"/>
      <c r="M160" s="123">
        <f t="shared" si="38"/>
        <v>1</v>
      </c>
      <c r="N160" s="133"/>
      <c r="O160" s="123">
        <f t="shared" si="39"/>
        <v>1</v>
      </c>
      <c r="P160" s="133"/>
      <c r="Q160" s="123">
        <f t="shared" si="40"/>
        <v>1</v>
      </c>
      <c r="R160" s="187">
        <f t="shared" si="41"/>
        <v>0</v>
      </c>
      <c r="S160" s="122">
        <f t="shared" si="32"/>
        <v>0</v>
      </c>
    </row>
    <row r="161" spans="1:19">
      <c r="A161" s="131"/>
      <c r="B161" s="132"/>
      <c r="C161" s="123">
        <f t="shared" si="33"/>
        <v>1</v>
      </c>
      <c r="D161" s="133"/>
      <c r="E161" s="123">
        <f t="shared" si="34"/>
        <v>1</v>
      </c>
      <c r="F161" s="133"/>
      <c r="G161" s="123">
        <f t="shared" si="35"/>
        <v>1</v>
      </c>
      <c r="H161" s="133"/>
      <c r="I161" s="123">
        <f t="shared" si="36"/>
        <v>1</v>
      </c>
      <c r="J161" s="133"/>
      <c r="K161" s="123">
        <f t="shared" si="37"/>
        <v>1</v>
      </c>
      <c r="L161" s="133"/>
      <c r="M161" s="123">
        <f t="shared" si="38"/>
        <v>1</v>
      </c>
      <c r="N161" s="133"/>
      <c r="O161" s="123">
        <f t="shared" si="39"/>
        <v>1</v>
      </c>
      <c r="P161" s="133"/>
      <c r="Q161" s="123">
        <f t="shared" si="40"/>
        <v>1</v>
      </c>
      <c r="R161" s="187">
        <f t="shared" si="41"/>
        <v>0</v>
      </c>
      <c r="S161" s="122">
        <f t="shared" si="32"/>
        <v>0</v>
      </c>
    </row>
    <row r="162" spans="1:19">
      <c r="A162" s="131"/>
      <c r="B162" s="132"/>
      <c r="C162" s="123">
        <f t="shared" si="33"/>
        <v>1</v>
      </c>
      <c r="D162" s="133"/>
      <c r="E162" s="123">
        <f t="shared" si="34"/>
        <v>1</v>
      </c>
      <c r="F162" s="133"/>
      <c r="G162" s="123">
        <f t="shared" si="35"/>
        <v>1</v>
      </c>
      <c r="H162" s="133"/>
      <c r="I162" s="123">
        <f t="shared" si="36"/>
        <v>1</v>
      </c>
      <c r="J162" s="133"/>
      <c r="K162" s="123">
        <f t="shared" si="37"/>
        <v>1</v>
      </c>
      <c r="L162" s="133"/>
      <c r="M162" s="123">
        <f t="shared" si="38"/>
        <v>1</v>
      </c>
      <c r="N162" s="133"/>
      <c r="O162" s="123">
        <f t="shared" si="39"/>
        <v>1</v>
      </c>
      <c r="P162" s="133"/>
      <c r="Q162" s="123">
        <f t="shared" si="40"/>
        <v>1</v>
      </c>
      <c r="R162" s="187">
        <f t="shared" si="41"/>
        <v>0</v>
      </c>
      <c r="S162" s="122">
        <f t="shared" si="32"/>
        <v>0</v>
      </c>
    </row>
    <row r="163" spans="1:19">
      <c r="A163" s="131"/>
      <c r="B163" s="132"/>
      <c r="C163" s="123">
        <f t="shared" si="33"/>
        <v>1</v>
      </c>
      <c r="D163" s="133"/>
      <c r="E163" s="123">
        <f t="shared" si="34"/>
        <v>1</v>
      </c>
      <c r="F163" s="133"/>
      <c r="G163" s="123">
        <f t="shared" si="35"/>
        <v>1</v>
      </c>
      <c r="H163" s="133"/>
      <c r="I163" s="123">
        <f t="shared" si="36"/>
        <v>1</v>
      </c>
      <c r="J163" s="133"/>
      <c r="K163" s="123">
        <f t="shared" si="37"/>
        <v>1</v>
      </c>
      <c r="L163" s="133"/>
      <c r="M163" s="123">
        <f t="shared" si="38"/>
        <v>1</v>
      </c>
      <c r="N163" s="133"/>
      <c r="O163" s="123">
        <f t="shared" si="39"/>
        <v>1</v>
      </c>
      <c r="P163" s="133"/>
      <c r="Q163" s="123">
        <f t="shared" si="40"/>
        <v>1</v>
      </c>
      <c r="R163" s="187">
        <f t="shared" si="41"/>
        <v>0</v>
      </c>
      <c r="S163" s="122">
        <f t="shared" si="32"/>
        <v>0</v>
      </c>
    </row>
    <row r="164" spans="1:19">
      <c r="A164" s="131"/>
      <c r="B164" s="132"/>
      <c r="C164" s="123">
        <f t="shared" si="33"/>
        <v>1</v>
      </c>
      <c r="D164" s="133"/>
      <c r="E164" s="123">
        <f t="shared" si="34"/>
        <v>1</v>
      </c>
      <c r="F164" s="133"/>
      <c r="G164" s="123">
        <f t="shared" si="35"/>
        <v>1</v>
      </c>
      <c r="H164" s="133"/>
      <c r="I164" s="123">
        <f t="shared" si="36"/>
        <v>1</v>
      </c>
      <c r="J164" s="133"/>
      <c r="K164" s="123">
        <f t="shared" si="37"/>
        <v>1</v>
      </c>
      <c r="L164" s="133"/>
      <c r="M164" s="123">
        <f t="shared" si="38"/>
        <v>1</v>
      </c>
      <c r="N164" s="133"/>
      <c r="O164" s="123">
        <f t="shared" si="39"/>
        <v>1</v>
      </c>
      <c r="P164" s="133"/>
      <c r="Q164" s="123">
        <f t="shared" si="40"/>
        <v>1</v>
      </c>
      <c r="R164" s="187">
        <f t="shared" si="41"/>
        <v>0</v>
      </c>
      <c r="S164" s="122">
        <f t="shared" si="32"/>
        <v>0</v>
      </c>
    </row>
    <row r="165" spans="1:19">
      <c r="A165" s="131"/>
      <c r="B165" s="132"/>
      <c r="C165" s="123">
        <f t="shared" si="33"/>
        <v>1</v>
      </c>
      <c r="D165" s="133"/>
      <c r="E165" s="123">
        <f t="shared" si="34"/>
        <v>1</v>
      </c>
      <c r="F165" s="133"/>
      <c r="G165" s="123">
        <f t="shared" si="35"/>
        <v>1</v>
      </c>
      <c r="H165" s="133"/>
      <c r="I165" s="123">
        <f t="shared" si="36"/>
        <v>1</v>
      </c>
      <c r="J165" s="133"/>
      <c r="K165" s="123">
        <f t="shared" si="37"/>
        <v>1</v>
      </c>
      <c r="L165" s="133"/>
      <c r="M165" s="123">
        <f t="shared" si="38"/>
        <v>1</v>
      </c>
      <c r="N165" s="133"/>
      <c r="O165" s="123">
        <f t="shared" si="39"/>
        <v>1</v>
      </c>
      <c r="P165" s="133"/>
      <c r="Q165" s="123">
        <f t="shared" si="40"/>
        <v>1</v>
      </c>
      <c r="R165" s="187">
        <f t="shared" si="41"/>
        <v>0</v>
      </c>
      <c r="S165" s="122">
        <f t="shared" si="32"/>
        <v>0</v>
      </c>
    </row>
    <row r="166" spans="1:19">
      <c r="A166" s="131"/>
      <c r="B166" s="132"/>
      <c r="C166" s="123">
        <f t="shared" si="33"/>
        <v>1</v>
      </c>
      <c r="D166" s="133"/>
      <c r="E166" s="123">
        <f t="shared" si="34"/>
        <v>1</v>
      </c>
      <c r="F166" s="133"/>
      <c r="G166" s="123">
        <f t="shared" si="35"/>
        <v>1</v>
      </c>
      <c r="H166" s="133"/>
      <c r="I166" s="123">
        <f t="shared" si="36"/>
        <v>1</v>
      </c>
      <c r="J166" s="133"/>
      <c r="K166" s="123">
        <f t="shared" si="37"/>
        <v>1</v>
      </c>
      <c r="L166" s="133"/>
      <c r="M166" s="123">
        <f t="shared" si="38"/>
        <v>1</v>
      </c>
      <c r="N166" s="133"/>
      <c r="O166" s="123">
        <f t="shared" si="39"/>
        <v>1</v>
      </c>
      <c r="P166" s="133"/>
      <c r="Q166" s="123">
        <f t="shared" si="40"/>
        <v>1</v>
      </c>
      <c r="R166" s="187">
        <f t="shared" si="41"/>
        <v>0</v>
      </c>
      <c r="S166" s="122">
        <f t="shared" si="32"/>
        <v>0</v>
      </c>
    </row>
    <row r="167" spans="1:19">
      <c r="A167" s="131"/>
      <c r="B167" s="132"/>
      <c r="C167" s="123">
        <f t="shared" si="33"/>
        <v>1</v>
      </c>
      <c r="D167" s="133"/>
      <c r="E167" s="123">
        <f t="shared" si="34"/>
        <v>1</v>
      </c>
      <c r="F167" s="133"/>
      <c r="G167" s="123">
        <f t="shared" si="35"/>
        <v>1</v>
      </c>
      <c r="H167" s="133"/>
      <c r="I167" s="123">
        <f t="shared" si="36"/>
        <v>1</v>
      </c>
      <c r="J167" s="133"/>
      <c r="K167" s="123">
        <f t="shared" si="37"/>
        <v>1</v>
      </c>
      <c r="L167" s="133"/>
      <c r="M167" s="123">
        <f t="shared" si="38"/>
        <v>1</v>
      </c>
      <c r="N167" s="133"/>
      <c r="O167" s="123">
        <f t="shared" si="39"/>
        <v>1</v>
      </c>
      <c r="P167" s="133"/>
      <c r="Q167" s="123">
        <f t="shared" si="40"/>
        <v>1</v>
      </c>
      <c r="R167" s="187">
        <f t="shared" si="41"/>
        <v>0</v>
      </c>
      <c r="S167" s="122">
        <f t="shared" si="32"/>
        <v>0</v>
      </c>
    </row>
    <row r="168" spans="1:19">
      <c r="A168" s="131"/>
      <c r="B168" s="132"/>
      <c r="C168" s="123">
        <f t="shared" si="33"/>
        <v>1</v>
      </c>
      <c r="D168" s="133"/>
      <c r="E168" s="123">
        <f t="shared" si="34"/>
        <v>1</v>
      </c>
      <c r="F168" s="133"/>
      <c r="G168" s="123">
        <f t="shared" si="35"/>
        <v>1</v>
      </c>
      <c r="H168" s="133"/>
      <c r="I168" s="123">
        <f t="shared" si="36"/>
        <v>1</v>
      </c>
      <c r="J168" s="133"/>
      <c r="K168" s="123">
        <f t="shared" si="37"/>
        <v>1</v>
      </c>
      <c r="L168" s="133"/>
      <c r="M168" s="123">
        <f t="shared" si="38"/>
        <v>1</v>
      </c>
      <c r="N168" s="133"/>
      <c r="O168" s="123">
        <f t="shared" si="39"/>
        <v>1</v>
      </c>
      <c r="P168" s="133"/>
      <c r="Q168" s="123">
        <f t="shared" si="40"/>
        <v>1</v>
      </c>
      <c r="R168" s="187">
        <f t="shared" si="41"/>
        <v>0</v>
      </c>
      <c r="S168" s="122">
        <f t="shared" si="32"/>
        <v>0</v>
      </c>
    </row>
    <row r="169" spans="1:19">
      <c r="A169" s="131"/>
      <c r="B169" s="132"/>
      <c r="C169" s="123">
        <f t="shared" si="33"/>
        <v>1</v>
      </c>
      <c r="D169" s="133"/>
      <c r="E169" s="123">
        <f t="shared" si="34"/>
        <v>1</v>
      </c>
      <c r="F169" s="133"/>
      <c r="G169" s="123">
        <f t="shared" si="35"/>
        <v>1</v>
      </c>
      <c r="H169" s="133"/>
      <c r="I169" s="123">
        <f t="shared" si="36"/>
        <v>1</v>
      </c>
      <c r="J169" s="133"/>
      <c r="K169" s="123">
        <f t="shared" si="37"/>
        <v>1</v>
      </c>
      <c r="L169" s="133"/>
      <c r="M169" s="123">
        <f t="shared" si="38"/>
        <v>1</v>
      </c>
      <c r="N169" s="133"/>
      <c r="O169" s="123">
        <f t="shared" si="39"/>
        <v>1</v>
      </c>
      <c r="P169" s="133"/>
      <c r="Q169" s="123">
        <f t="shared" si="40"/>
        <v>1</v>
      </c>
      <c r="R169" s="187">
        <f t="shared" si="41"/>
        <v>0</v>
      </c>
      <c r="S169" s="122">
        <f t="shared" si="32"/>
        <v>0</v>
      </c>
    </row>
    <row r="170" spans="1:19">
      <c r="A170" s="131"/>
      <c r="B170" s="132"/>
      <c r="C170" s="123">
        <f t="shared" si="33"/>
        <v>1</v>
      </c>
      <c r="D170" s="133"/>
      <c r="E170" s="123">
        <f t="shared" si="34"/>
        <v>1</v>
      </c>
      <c r="F170" s="133"/>
      <c r="G170" s="123">
        <f t="shared" si="35"/>
        <v>1</v>
      </c>
      <c r="H170" s="133"/>
      <c r="I170" s="123">
        <f t="shared" si="36"/>
        <v>1</v>
      </c>
      <c r="J170" s="133"/>
      <c r="K170" s="123">
        <f t="shared" si="37"/>
        <v>1</v>
      </c>
      <c r="L170" s="133"/>
      <c r="M170" s="123">
        <f t="shared" si="38"/>
        <v>1</v>
      </c>
      <c r="N170" s="133"/>
      <c r="O170" s="123">
        <f t="shared" si="39"/>
        <v>1</v>
      </c>
      <c r="P170" s="133"/>
      <c r="Q170" s="123">
        <f t="shared" si="40"/>
        <v>1</v>
      </c>
      <c r="R170" s="187">
        <f t="shared" si="41"/>
        <v>0</v>
      </c>
      <c r="S170" s="122">
        <f t="shared" si="32"/>
        <v>0</v>
      </c>
    </row>
    <row r="171" spans="1:19">
      <c r="A171" s="131"/>
      <c r="B171" s="132"/>
      <c r="C171" s="123">
        <f t="shared" si="33"/>
        <v>1</v>
      </c>
      <c r="D171" s="133"/>
      <c r="E171" s="123">
        <f t="shared" si="34"/>
        <v>1</v>
      </c>
      <c r="F171" s="133"/>
      <c r="G171" s="123">
        <f t="shared" si="35"/>
        <v>1</v>
      </c>
      <c r="H171" s="133"/>
      <c r="I171" s="123">
        <f t="shared" si="36"/>
        <v>1</v>
      </c>
      <c r="J171" s="133"/>
      <c r="K171" s="123">
        <f t="shared" si="37"/>
        <v>1</v>
      </c>
      <c r="L171" s="133"/>
      <c r="M171" s="123">
        <f t="shared" si="38"/>
        <v>1</v>
      </c>
      <c r="N171" s="133"/>
      <c r="O171" s="123">
        <f t="shared" si="39"/>
        <v>1</v>
      </c>
      <c r="P171" s="133"/>
      <c r="Q171" s="123">
        <f t="shared" si="40"/>
        <v>1</v>
      </c>
      <c r="R171" s="187">
        <f t="shared" si="41"/>
        <v>0</v>
      </c>
      <c r="S171" s="122">
        <f t="shared" si="32"/>
        <v>0</v>
      </c>
    </row>
    <row r="172" spans="1:19">
      <c r="A172" s="131"/>
      <c r="B172" s="132"/>
      <c r="C172" s="123">
        <f t="shared" si="33"/>
        <v>1</v>
      </c>
      <c r="D172" s="133"/>
      <c r="E172" s="123">
        <f t="shared" si="34"/>
        <v>1</v>
      </c>
      <c r="F172" s="133"/>
      <c r="G172" s="123">
        <f t="shared" si="35"/>
        <v>1</v>
      </c>
      <c r="H172" s="133"/>
      <c r="I172" s="123">
        <f t="shared" si="36"/>
        <v>1</v>
      </c>
      <c r="J172" s="133"/>
      <c r="K172" s="123">
        <f t="shared" si="37"/>
        <v>1</v>
      </c>
      <c r="L172" s="133"/>
      <c r="M172" s="123">
        <f t="shared" si="38"/>
        <v>1</v>
      </c>
      <c r="N172" s="133"/>
      <c r="O172" s="123">
        <f t="shared" si="39"/>
        <v>1</v>
      </c>
      <c r="P172" s="133"/>
      <c r="Q172" s="123">
        <f t="shared" si="40"/>
        <v>1</v>
      </c>
      <c r="R172" s="187">
        <f t="shared" si="41"/>
        <v>0</v>
      </c>
      <c r="S172" s="122">
        <f t="shared" si="32"/>
        <v>0</v>
      </c>
    </row>
    <row r="173" spans="1:19">
      <c r="A173" s="131"/>
      <c r="B173" s="132"/>
      <c r="C173" s="123">
        <f t="shared" si="33"/>
        <v>1</v>
      </c>
      <c r="D173" s="133"/>
      <c r="E173" s="123">
        <f t="shared" si="34"/>
        <v>1</v>
      </c>
      <c r="F173" s="133"/>
      <c r="G173" s="123">
        <f t="shared" si="35"/>
        <v>1</v>
      </c>
      <c r="H173" s="133"/>
      <c r="I173" s="123">
        <f t="shared" si="36"/>
        <v>1</v>
      </c>
      <c r="J173" s="133"/>
      <c r="K173" s="123">
        <f t="shared" si="37"/>
        <v>1</v>
      </c>
      <c r="L173" s="133"/>
      <c r="M173" s="123">
        <f t="shared" si="38"/>
        <v>1</v>
      </c>
      <c r="N173" s="133"/>
      <c r="O173" s="123">
        <f t="shared" si="39"/>
        <v>1</v>
      </c>
      <c r="P173" s="133"/>
      <c r="Q173" s="123">
        <f t="shared" si="40"/>
        <v>1</v>
      </c>
      <c r="R173" s="187">
        <f t="shared" si="41"/>
        <v>0</v>
      </c>
      <c r="S173" s="122">
        <f t="shared" si="32"/>
        <v>0</v>
      </c>
    </row>
    <row r="174" spans="1:19">
      <c r="A174" s="131"/>
      <c r="B174" s="132"/>
      <c r="C174" s="123">
        <f t="shared" si="33"/>
        <v>1</v>
      </c>
      <c r="D174" s="133"/>
      <c r="E174" s="123">
        <f t="shared" si="34"/>
        <v>1</v>
      </c>
      <c r="F174" s="133"/>
      <c r="G174" s="123">
        <f t="shared" si="35"/>
        <v>1</v>
      </c>
      <c r="H174" s="133"/>
      <c r="I174" s="123">
        <f t="shared" si="36"/>
        <v>1</v>
      </c>
      <c r="J174" s="133"/>
      <c r="K174" s="123">
        <f t="shared" si="37"/>
        <v>1</v>
      </c>
      <c r="L174" s="133"/>
      <c r="M174" s="123">
        <f t="shared" si="38"/>
        <v>1</v>
      </c>
      <c r="N174" s="133"/>
      <c r="O174" s="123">
        <f t="shared" si="39"/>
        <v>1</v>
      </c>
      <c r="P174" s="133"/>
      <c r="Q174" s="123">
        <f t="shared" si="40"/>
        <v>1</v>
      </c>
      <c r="R174" s="187">
        <f t="shared" si="41"/>
        <v>0</v>
      </c>
      <c r="S174" s="122">
        <f t="shared" si="32"/>
        <v>0</v>
      </c>
    </row>
    <row r="175" spans="1:19">
      <c r="A175" s="131"/>
      <c r="B175" s="132"/>
      <c r="C175" s="123">
        <f t="shared" si="33"/>
        <v>1</v>
      </c>
      <c r="D175" s="133"/>
      <c r="E175" s="123">
        <f t="shared" si="34"/>
        <v>1</v>
      </c>
      <c r="F175" s="133"/>
      <c r="G175" s="123">
        <f t="shared" si="35"/>
        <v>1</v>
      </c>
      <c r="H175" s="133"/>
      <c r="I175" s="123">
        <f t="shared" si="36"/>
        <v>1</v>
      </c>
      <c r="J175" s="133"/>
      <c r="K175" s="123">
        <f t="shared" si="37"/>
        <v>1</v>
      </c>
      <c r="L175" s="133"/>
      <c r="M175" s="123">
        <f t="shared" si="38"/>
        <v>1</v>
      </c>
      <c r="N175" s="133"/>
      <c r="O175" s="123">
        <f t="shared" si="39"/>
        <v>1</v>
      </c>
      <c r="P175" s="133"/>
      <c r="Q175" s="123">
        <f t="shared" si="40"/>
        <v>1</v>
      </c>
      <c r="R175" s="187">
        <f t="shared" si="41"/>
        <v>0</v>
      </c>
      <c r="S175" s="122">
        <f t="shared" si="32"/>
        <v>0</v>
      </c>
    </row>
    <row r="176" spans="1:19">
      <c r="A176" s="131"/>
      <c r="B176" s="132"/>
      <c r="C176" s="123">
        <f t="shared" si="33"/>
        <v>1</v>
      </c>
      <c r="D176" s="133"/>
      <c r="E176" s="123">
        <f t="shared" si="34"/>
        <v>1</v>
      </c>
      <c r="F176" s="133"/>
      <c r="G176" s="123">
        <f t="shared" si="35"/>
        <v>1</v>
      </c>
      <c r="H176" s="133"/>
      <c r="I176" s="123">
        <f t="shared" si="36"/>
        <v>1</v>
      </c>
      <c r="J176" s="133"/>
      <c r="K176" s="123">
        <f t="shared" si="37"/>
        <v>1</v>
      </c>
      <c r="L176" s="133"/>
      <c r="M176" s="123">
        <f t="shared" si="38"/>
        <v>1</v>
      </c>
      <c r="N176" s="133"/>
      <c r="O176" s="123">
        <f t="shared" si="39"/>
        <v>1</v>
      </c>
      <c r="P176" s="133"/>
      <c r="Q176" s="123">
        <f t="shared" si="40"/>
        <v>1</v>
      </c>
      <c r="R176" s="187">
        <f t="shared" si="41"/>
        <v>0</v>
      </c>
      <c r="S176" s="122">
        <f t="shared" si="32"/>
        <v>0</v>
      </c>
    </row>
    <row r="177" spans="1:19">
      <c r="A177" s="131"/>
      <c r="B177" s="132"/>
      <c r="C177" s="123">
        <f t="shared" si="33"/>
        <v>1</v>
      </c>
      <c r="D177" s="133"/>
      <c r="E177" s="123">
        <f t="shared" si="34"/>
        <v>1</v>
      </c>
      <c r="F177" s="133"/>
      <c r="G177" s="123">
        <f t="shared" si="35"/>
        <v>1</v>
      </c>
      <c r="H177" s="133"/>
      <c r="I177" s="123">
        <f t="shared" si="36"/>
        <v>1</v>
      </c>
      <c r="J177" s="133"/>
      <c r="K177" s="123">
        <f t="shared" si="37"/>
        <v>1</v>
      </c>
      <c r="L177" s="133"/>
      <c r="M177" s="123">
        <f t="shared" si="38"/>
        <v>1</v>
      </c>
      <c r="N177" s="133"/>
      <c r="O177" s="123">
        <f t="shared" si="39"/>
        <v>1</v>
      </c>
      <c r="P177" s="133"/>
      <c r="Q177" s="123">
        <f t="shared" si="40"/>
        <v>1</v>
      </c>
      <c r="R177" s="187">
        <f t="shared" si="41"/>
        <v>0</v>
      </c>
      <c r="S177" s="122">
        <f t="shared" si="32"/>
        <v>0</v>
      </c>
    </row>
    <row r="178" spans="1:19">
      <c r="A178" s="131"/>
      <c r="B178" s="132"/>
      <c r="C178" s="123">
        <f t="shared" si="33"/>
        <v>1</v>
      </c>
      <c r="D178" s="133"/>
      <c r="E178" s="123">
        <f t="shared" si="34"/>
        <v>1</v>
      </c>
      <c r="F178" s="133"/>
      <c r="G178" s="123">
        <f t="shared" si="35"/>
        <v>1</v>
      </c>
      <c r="H178" s="133"/>
      <c r="I178" s="123">
        <f t="shared" si="36"/>
        <v>1</v>
      </c>
      <c r="J178" s="133"/>
      <c r="K178" s="123">
        <f t="shared" si="37"/>
        <v>1</v>
      </c>
      <c r="L178" s="133"/>
      <c r="M178" s="123">
        <f t="shared" si="38"/>
        <v>1</v>
      </c>
      <c r="N178" s="133"/>
      <c r="O178" s="123">
        <f t="shared" si="39"/>
        <v>1</v>
      </c>
      <c r="P178" s="133"/>
      <c r="Q178" s="123">
        <f t="shared" si="40"/>
        <v>1</v>
      </c>
      <c r="R178" s="187">
        <f t="shared" si="41"/>
        <v>0</v>
      </c>
      <c r="S178" s="122">
        <f t="shared" si="32"/>
        <v>0</v>
      </c>
    </row>
    <row r="179" spans="1:19">
      <c r="A179" s="131"/>
      <c r="B179" s="132"/>
      <c r="C179" s="123">
        <f t="shared" si="33"/>
        <v>1</v>
      </c>
      <c r="D179" s="133"/>
      <c r="E179" s="123">
        <f t="shared" si="34"/>
        <v>1</v>
      </c>
      <c r="F179" s="133"/>
      <c r="G179" s="123">
        <f t="shared" si="35"/>
        <v>1</v>
      </c>
      <c r="H179" s="133"/>
      <c r="I179" s="123">
        <f t="shared" si="36"/>
        <v>1</v>
      </c>
      <c r="J179" s="133"/>
      <c r="K179" s="123">
        <f t="shared" si="37"/>
        <v>1</v>
      </c>
      <c r="L179" s="133"/>
      <c r="M179" s="123">
        <f t="shared" si="38"/>
        <v>1</v>
      </c>
      <c r="N179" s="133"/>
      <c r="O179" s="123">
        <f t="shared" si="39"/>
        <v>1</v>
      </c>
      <c r="P179" s="133"/>
      <c r="Q179" s="123">
        <f t="shared" si="40"/>
        <v>1</v>
      </c>
      <c r="R179" s="187">
        <f t="shared" si="41"/>
        <v>0</v>
      </c>
      <c r="S179" s="122">
        <f t="shared" si="32"/>
        <v>0</v>
      </c>
    </row>
    <row r="180" spans="1:19">
      <c r="A180" s="131"/>
      <c r="B180" s="132"/>
      <c r="C180" s="123">
        <f t="shared" si="33"/>
        <v>1</v>
      </c>
      <c r="D180" s="133"/>
      <c r="E180" s="123">
        <f t="shared" si="34"/>
        <v>1</v>
      </c>
      <c r="F180" s="133"/>
      <c r="G180" s="123">
        <f t="shared" si="35"/>
        <v>1</v>
      </c>
      <c r="H180" s="133"/>
      <c r="I180" s="123">
        <f t="shared" si="36"/>
        <v>1</v>
      </c>
      <c r="J180" s="133"/>
      <c r="K180" s="123">
        <f t="shared" si="37"/>
        <v>1</v>
      </c>
      <c r="L180" s="133"/>
      <c r="M180" s="123">
        <f t="shared" si="38"/>
        <v>1</v>
      </c>
      <c r="N180" s="133"/>
      <c r="O180" s="123">
        <f t="shared" si="39"/>
        <v>1</v>
      </c>
      <c r="P180" s="133"/>
      <c r="Q180" s="123">
        <f t="shared" si="40"/>
        <v>1</v>
      </c>
      <c r="R180" s="187">
        <f t="shared" si="41"/>
        <v>0</v>
      </c>
      <c r="S180" s="122">
        <f t="shared" si="32"/>
        <v>0</v>
      </c>
    </row>
    <row r="181" spans="1:19">
      <c r="A181" s="131"/>
      <c r="B181" s="132"/>
      <c r="C181" s="123">
        <f t="shared" si="33"/>
        <v>1</v>
      </c>
      <c r="D181" s="133"/>
      <c r="E181" s="123">
        <f t="shared" si="34"/>
        <v>1</v>
      </c>
      <c r="F181" s="133"/>
      <c r="G181" s="123">
        <f t="shared" si="35"/>
        <v>1</v>
      </c>
      <c r="H181" s="133"/>
      <c r="I181" s="123">
        <f t="shared" si="36"/>
        <v>1</v>
      </c>
      <c r="J181" s="133"/>
      <c r="K181" s="123">
        <f t="shared" si="37"/>
        <v>1</v>
      </c>
      <c r="L181" s="133"/>
      <c r="M181" s="123">
        <f t="shared" si="38"/>
        <v>1</v>
      </c>
      <c r="N181" s="133"/>
      <c r="O181" s="123">
        <f t="shared" si="39"/>
        <v>1</v>
      </c>
      <c r="P181" s="133"/>
      <c r="Q181" s="123">
        <f t="shared" si="40"/>
        <v>1</v>
      </c>
      <c r="R181" s="187">
        <f t="shared" si="41"/>
        <v>0</v>
      </c>
      <c r="S181" s="122">
        <f t="shared" si="32"/>
        <v>0</v>
      </c>
    </row>
    <row r="182" spans="1:19">
      <c r="A182" s="131"/>
      <c r="B182" s="132"/>
      <c r="C182" s="123">
        <f t="shared" si="33"/>
        <v>1</v>
      </c>
      <c r="D182" s="133"/>
      <c r="E182" s="123">
        <f t="shared" si="34"/>
        <v>1</v>
      </c>
      <c r="F182" s="133"/>
      <c r="G182" s="123">
        <f t="shared" si="35"/>
        <v>1</v>
      </c>
      <c r="H182" s="133"/>
      <c r="I182" s="123">
        <f t="shared" si="36"/>
        <v>1</v>
      </c>
      <c r="J182" s="133"/>
      <c r="K182" s="123">
        <f t="shared" si="37"/>
        <v>1</v>
      </c>
      <c r="L182" s="133"/>
      <c r="M182" s="123">
        <f t="shared" si="38"/>
        <v>1</v>
      </c>
      <c r="N182" s="133"/>
      <c r="O182" s="123">
        <f t="shared" si="39"/>
        <v>1</v>
      </c>
      <c r="P182" s="133"/>
      <c r="Q182" s="123">
        <f t="shared" si="40"/>
        <v>1</v>
      </c>
      <c r="R182" s="187">
        <f t="shared" si="41"/>
        <v>0</v>
      </c>
      <c r="S182" s="122">
        <f t="shared" si="32"/>
        <v>0</v>
      </c>
    </row>
    <row r="183" spans="1:19">
      <c r="A183" s="131"/>
      <c r="B183" s="132"/>
      <c r="C183" s="123">
        <f t="shared" si="33"/>
        <v>1</v>
      </c>
      <c r="D183" s="133"/>
      <c r="E183" s="123">
        <f t="shared" si="34"/>
        <v>1</v>
      </c>
      <c r="F183" s="133"/>
      <c r="G183" s="123">
        <f t="shared" si="35"/>
        <v>1</v>
      </c>
      <c r="H183" s="133"/>
      <c r="I183" s="123">
        <f t="shared" si="36"/>
        <v>1</v>
      </c>
      <c r="J183" s="133"/>
      <c r="K183" s="123">
        <f t="shared" si="37"/>
        <v>1</v>
      </c>
      <c r="L183" s="133"/>
      <c r="M183" s="123">
        <f t="shared" si="38"/>
        <v>1</v>
      </c>
      <c r="N183" s="133"/>
      <c r="O183" s="123">
        <f t="shared" si="39"/>
        <v>1</v>
      </c>
      <c r="P183" s="133"/>
      <c r="Q183" s="123">
        <f t="shared" si="40"/>
        <v>1</v>
      </c>
      <c r="R183" s="187">
        <f t="shared" si="41"/>
        <v>0</v>
      </c>
      <c r="S183" s="122">
        <f t="shared" si="32"/>
        <v>0</v>
      </c>
    </row>
    <row r="184" spans="1:19">
      <c r="A184" s="131"/>
      <c r="B184" s="132"/>
      <c r="C184" s="123">
        <f t="shared" si="33"/>
        <v>1</v>
      </c>
      <c r="D184" s="133"/>
      <c r="E184" s="123">
        <f t="shared" si="34"/>
        <v>1</v>
      </c>
      <c r="F184" s="133"/>
      <c r="G184" s="123">
        <f t="shared" si="35"/>
        <v>1</v>
      </c>
      <c r="H184" s="133"/>
      <c r="I184" s="123">
        <f t="shared" si="36"/>
        <v>1</v>
      </c>
      <c r="J184" s="133"/>
      <c r="K184" s="123">
        <f t="shared" si="37"/>
        <v>1</v>
      </c>
      <c r="L184" s="133"/>
      <c r="M184" s="123">
        <f t="shared" si="38"/>
        <v>1</v>
      </c>
      <c r="N184" s="133"/>
      <c r="O184" s="123">
        <f t="shared" si="39"/>
        <v>1</v>
      </c>
      <c r="P184" s="133"/>
      <c r="Q184" s="123">
        <f t="shared" si="40"/>
        <v>1</v>
      </c>
      <c r="R184" s="187">
        <f t="shared" si="41"/>
        <v>0</v>
      </c>
      <c r="S184" s="122">
        <f t="shared" si="32"/>
        <v>0</v>
      </c>
    </row>
    <row r="185" spans="1:19">
      <c r="A185" s="131"/>
      <c r="B185" s="132"/>
      <c r="C185" s="123">
        <f t="shared" si="33"/>
        <v>1</v>
      </c>
      <c r="D185" s="133"/>
      <c r="E185" s="123">
        <f t="shared" si="34"/>
        <v>1</v>
      </c>
      <c r="F185" s="133"/>
      <c r="G185" s="123">
        <f t="shared" si="35"/>
        <v>1</v>
      </c>
      <c r="H185" s="133"/>
      <c r="I185" s="123">
        <f t="shared" si="36"/>
        <v>1</v>
      </c>
      <c r="J185" s="133"/>
      <c r="K185" s="123">
        <f t="shared" si="37"/>
        <v>1</v>
      </c>
      <c r="L185" s="133"/>
      <c r="M185" s="123">
        <f t="shared" si="38"/>
        <v>1</v>
      </c>
      <c r="N185" s="133"/>
      <c r="O185" s="123">
        <f t="shared" si="39"/>
        <v>1</v>
      </c>
      <c r="P185" s="133"/>
      <c r="Q185" s="123">
        <f t="shared" si="40"/>
        <v>1</v>
      </c>
      <c r="R185" s="187">
        <f t="shared" si="41"/>
        <v>0</v>
      </c>
      <c r="S185" s="122">
        <f t="shared" si="32"/>
        <v>0</v>
      </c>
    </row>
    <row r="186" spans="1:19">
      <c r="A186" s="131"/>
      <c r="B186" s="132"/>
      <c r="C186" s="123">
        <f t="shared" si="33"/>
        <v>1</v>
      </c>
      <c r="D186" s="133"/>
      <c r="E186" s="123">
        <f t="shared" si="34"/>
        <v>1</v>
      </c>
      <c r="F186" s="133"/>
      <c r="G186" s="123">
        <f t="shared" si="35"/>
        <v>1</v>
      </c>
      <c r="H186" s="133"/>
      <c r="I186" s="123">
        <f t="shared" si="36"/>
        <v>1</v>
      </c>
      <c r="J186" s="133"/>
      <c r="K186" s="123">
        <f t="shared" si="37"/>
        <v>1</v>
      </c>
      <c r="L186" s="133"/>
      <c r="M186" s="123">
        <f t="shared" si="38"/>
        <v>1</v>
      </c>
      <c r="N186" s="133"/>
      <c r="O186" s="123">
        <f t="shared" si="39"/>
        <v>1</v>
      </c>
      <c r="P186" s="133"/>
      <c r="Q186" s="123">
        <f t="shared" si="40"/>
        <v>1</v>
      </c>
      <c r="R186" s="187">
        <f t="shared" si="41"/>
        <v>0</v>
      </c>
      <c r="S186" s="122">
        <f t="shared" si="32"/>
        <v>0</v>
      </c>
    </row>
    <row r="187" spans="1:19">
      <c r="A187" s="131"/>
      <c r="B187" s="132"/>
      <c r="C187" s="123">
        <f t="shared" si="33"/>
        <v>1</v>
      </c>
      <c r="D187" s="133"/>
      <c r="E187" s="123">
        <f t="shared" si="34"/>
        <v>1</v>
      </c>
      <c r="F187" s="133"/>
      <c r="G187" s="123">
        <f t="shared" si="35"/>
        <v>1</v>
      </c>
      <c r="H187" s="133"/>
      <c r="I187" s="123">
        <f t="shared" si="36"/>
        <v>1</v>
      </c>
      <c r="J187" s="133"/>
      <c r="K187" s="123">
        <f t="shared" si="37"/>
        <v>1</v>
      </c>
      <c r="L187" s="133"/>
      <c r="M187" s="123">
        <f t="shared" si="38"/>
        <v>1</v>
      </c>
      <c r="N187" s="133"/>
      <c r="O187" s="123">
        <f t="shared" si="39"/>
        <v>1</v>
      </c>
      <c r="P187" s="133"/>
      <c r="Q187" s="123">
        <f t="shared" si="40"/>
        <v>1</v>
      </c>
      <c r="R187" s="187">
        <f t="shared" si="41"/>
        <v>0</v>
      </c>
      <c r="S187" s="122">
        <f t="shared" ref="S187:S222" si="42">ROUND(R187*B187/10000,0)</f>
        <v>0</v>
      </c>
    </row>
    <row r="188" spans="1:19">
      <c r="A188" s="131"/>
      <c r="B188" s="132"/>
      <c r="C188" s="123">
        <f t="shared" si="33"/>
        <v>1</v>
      </c>
      <c r="D188" s="133"/>
      <c r="E188" s="123">
        <f t="shared" si="34"/>
        <v>1</v>
      </c>
      <c r="F188" s="133"/>
      <c r="G188" s="123">
        <f t="shared" si="35"/>
        <v>1</v>
      </c>
      <c r="H188" s="133"/>
      <c r="I188" s="123">
        <f t="shared" si="36"/>
        <v>1</v>
      </c>
      <c r="J188" s="133"/>
      <c r="K188" s="123">
        <f t="shared" si="37"/>
        <v>1</v>
      </c>
      <c r="L188" s="133"/>
      <c r="M188" s="123">
        <f t="shared" si="38"/>
        <v>1</v>
      </c>
      <c r="N188" s="133"/>
      <c r="O188" s="123">
        <f t="shared" si="39"/>
        <v>1</v>
      </c>
      <c r="P188" s="133"/>
      <c r="Q188" s="123">
        <f t="shared" si="40"/>
        <v>1</v>
      </c>
      <c r="R188" s="187">
        <f t="shared" si="41"/>
        <v>0</v>
      </c>
      <c r="S188" s="122">
        <f t="shared" si="42"/>
        <v>0</v>
      </c>
    </row>
    <row r="189" spans="1:19">
      <c r="A189" s="131"/>
      <c r="B189" s="132"/>
      <c r="C189" s="123">
        <f t="shared" si="33"/>
        <v>1</v>
      </c>
      <c r="D189" s="133"/>
      <c r="E189" s="123">
        <f t="shared" si="34"/>
        <v>1</v>
      </c>
      <c r="F189" s="133"/>
      <c r="G189" s="123">
        <f t="shared" si="35"/>
        <v>1</v>
      </c>
      <c r="H189" s="133"/>
      <c r="I189" s="123">
        <f t="shared" si="36"/>
        <v>1</v>
      </c>
      <c r="J189" s="133"/>
      <c r="K189" s="123">
        <f t="shared" si="37"/>
        <v>1</v>
      </c>
      <c r="L189" s="133"/>
      <c r="M189" s="123">
        <f t="shared" si="38"/>
        <v>1</v>
      </c>
      <c r="N189" s="133"/>
      <c r="O189" s="123">
        <f t="shared" si="39"/>
        <v>1</v>
      </c>
      <c r="P189" s="133"/>
      <c r="Q189" s="123">
        <f t="shared" si="40"/>
        <v>1</v>
      </c>
      <c r="R189" s="187">
        <f t="shared" si="41"/>
        <v>0</v>
      </c>
      <c r="S189" s="122">
        <f t="shared" si="42"/>
        <v>0</v>
      </c>
    </row>
    <row r="190" spans="1:19">
      <c r="A190" s="131"/>
      <c r="B190" s="132"/>
      <c r="C190" s="123">
        <f t="shared" si="33"/>
        <v>1</v>
      </c>
      <c r="D190" s="133"/>
      <c r="E190" s="123">
        <f t="shared" si="34"/>
        <v>1</v>
      </c>
      <c r="F190" s="133"/>
      <c r="G190" s="123">
        <f t="shared" si="35"/>
        <v>1</v>
      </c>
      <c r="H190" s="133"/>
      <c r="I190" s="123">
        <f t="shared" si="36"/>
        <v>1</v>
      </c>
      <c r="J190" s="133"/>
      <c r="K190" s="123">
        <f t="shared" si="37"/>
        <v>1</v>
      </c>
      <c r="L190" s="133"/>
      <c r="M190" s="123">
        <f t="shared" si="38"/>
        <v>1</v>
      </c>
      <c r="N190" s="133"/>
      <c r="O190" s="123">
        <f t="shared" si="39"/>
        <v>1</v>
      </c>
      <c r="P190" s="133"/>
      <c r="Q190" s="123">
        <f t="shared" si="40"/>
        <v>1</v>
      </c>
      <c r="R190" s="187">
        <f t="shared" si="41"/>
        <v>0</v>
      </c>
      <c r="S190" s="122">
        <f t="shared" si="42"/>
        <v>0</v>
      </c>
    </row>
    <row r="191" spans="1:19">
      <c r="A191" s="131"/>
      <c r="B191" s="132"/>
      <c r="C191" s="123">
        <f t="shared" si="33"/>
        <v>1</v>
      </c>
      <c r="D191" s="133"/>
      <c r="E191" s="123">
        <f t="shared" si="34"/>
        <v>1</v>
      </c>
      <c r="F191" s="133"/>
      <c r="G191" s="123">
        <f t="shared" si="35"/>
        <v>1</v>
      </c>
      <c r="H191" s="133"/>
      <c r="I191" s="123">
        <f t="shared" si="36"/>
        <v>1</v>
      </c>
      <c r="J191" s="133"/>
      <c r="K191" s="123">
        <f t="shared" si="37"/>
        <v>1</v>
      </c>
      <c r="L191" s="133"/>
      <c r="M191" s="123">
        <f t="shared" si="38"/>
        <v>1</v>
      </c>
      <c r="N191" s="133"/>
      <c r="O191" s="123">
        <f t="shared" si="39"/>
        <v>1</v>
      </c>
      <c r="P191" s="133"/>
      <c r="Q191" s="123">
        <f t="shared" si="40"/>
        <v>1</v>
      </c>
      <c r="R191" s="187">
        <f t="shared" si="41"/>
        <v>0</v>
      </c>
      <c r="S191" s="122">
        <f t="shared" si="42"/>
        <v>0</v>
      </c>
    </row>
    <row r="192" spans="1:19">
      <c r="A192" s="131"/>
      <c r="B192" s="132"/>
      <c r="C192" s="123">
        <f t="shared" si="33"/>
        <v>1</v>
      </c>
      <c r="D192" s="133"/>
      <c r="E192" s="123">
        <f t="shared" si="34"/>
        <v>1</v>
      </c>
      <c r="F192" s="133"/>
      <c r="G192" s="123">
        <f t="shared" si="35"/>
        <v>1</v>
      </c>
      <c r="H192" s="133"/>
      <c r="I192" s="123">
        <f t="shared" si="36"/>
        <v>1</v>
      </c>
      <c r="J192" s="133"/>
      <c r="K192" s="123">
        <f t="shared" si="37"/>
        <v>1</v>
      </c>
      <c r="L192" s="133"/>
      <c r="M192" s="123">
        <f t="shared" si="38"/>
        <v>1</v>
      </c>
      <c r="N192" s="133"/>
      <c r="O192" s="123">
        <f t="shared" si="39"/>
        <v>1</v>
      </c>
      <c r="P192" s="133"/>
      <c r="Q192" s="123">
        <f t="shared" si="40"/>
        <v>1</v>
      </c>
      <c r="R192" s="187">
        <f t="shared" si="41"/>
        <v>0</v>
      </c>
      <c r="S192" s="122">
        <f t="shared" si="42"/>
        <v>0</v>
      </c>
    </row>
    <row r="193" spans="1:19">
      <c r="A193" s="131"/>
      <c r="B193" s="132"/>
      <c r="C193" s="123">
        <f t="shared" si="33"/>
        <v>1</v>
      </c>
      <c r="D193" s="133"/>
      <c r="E193" s="123">
        <f t="shared" si="34"/>
        <v>1</v>
      </c>
      <c r="F193" s="133"/>
      <c r="G193" s="123">
        <f t="shared" si="35"/>
        <v>1</v>
      </c>
      <c r="H193" s="133"/>
      <c r="I193" s="123">
        <f t="shared" si="36"/>
        <v>1</v>
      </c>
      <c r="J193" s="133"/>
      <c r="K193" s="123">
        <f t="shared" si="37"/>
        <v>1</v>
      </c>
      <c r="L193" s="133"/>
      <c r="M193" s="123">
        <f t="shared" si="38"/>
        <v>1</v>
      </c>
      <c r="N193" s="133"/>
      <c r="O193" s="123">
        <f t="shared" si="39"/>
        <v>1</v>
      </c>
      <c r="P193" s="133"/>
      <c r="Q193" s="123">
        <f t="shared" si="40"/>
        <v>1</v>
      </c>
      <c r="R193" s="187">
        <f t="shared" si="41"/>
        <v>0</v>
      </c>
      <c r="S193" s="122">
        <f t="shared" si="42"/>
        <v>0</v>
      </c>
    </row>
    <row r="194" spans="1:19">
      <c r="A194" s="131"/>
      <c r="B194" s="132"/>
      <c r="C194" s="123">
        <f t="shared" si="33"/>
        <v>1</v>
      </c>
      <c r="D194" s="133"/>
      <c r="E194" s="123">
        <f t="shared" si="34"/>
        <v>1</v>
      </c>
      <c r="F194" s="133"/>
      <c r="G194" s="123">
        <f t="shared" si="35"/>
        <v>1</v>
      </c>
      <c r="H194" s="133"/>
      <c r="I194" s="123">
        <f t="shared" si="36"/>
        <v>1</v>
      </c>
      <c r="J194" s="133"/>
      <c r="K194" s="123">
        <f t="shared" si="37"/>
        <v>1</v>
      </c>
      <c r="L194" s="133"/>
      <c r="M194" s="123">
        <f t="shared" si="38"/>
        <v>1</v>
      </c>
      <c r="N194" s="133"/>
      <c r="O194" s="123">
        <f t="shared" si="39"/>
        <v>1</v>
      </c>
      <c r="P194" s="133"/>
      <c r="Q194" s="123">
        <f t="shared" si="40"/>
        <v>1</v>
      </c>
      <c r="R194" s="187">
        <f t="shared" si="41"/>
        <v>0</v>
      </c>
      <c r="S194" s="122">
        <f t="shared" si="42"/>
        <v>0</v>
      </c>
    </row>
    <row r="195" spans="1:19">
      <c r="A195" s="131"/>
      <c r="B195" s="132"/>
      <c r="C195" s="123">
        <f t="shared" si="33"/>
        <v>1</v>
      </c>
      <c r="D195" s="133"/>
      <c r="E195" s="123">
        <f t="shared" si="34"/>
        <v>1</v>
      </c>
      <c r="F195" s="133"/>
      <c r="G195" s="123">
        <f t="shared" si="35"/>
        <v>1</v>
      </c>
      <c r="H195" s="133"/>
      <c r="I195" s="123">
        <f t="shared" si="36"/>
        <v>1</v>
      </c>
      <c r="J195" s="133"/>
      <c r="K195" s="123">
        <f t="shared" si="37"/>
        <v>1</v>
      </c>
      <c r="L195" s="133"/>
      <c r="M195" s="123">
        <f t="shared" si="38"/>
        <v>1</v>
      </c>
      <c r="N195" s="133"/>
      <c r="O195" s="123">
        <f t="shared" si="39"/>
        <v>1</v>
      </c>
      <c r="P195" s="133"/>
      <c r="Q195" s="123">
        <f t="shared" si="40"/>
        <v>1</v>
      </c>
      <c r="R195" s="187">
        <f t="shared" si="41"/>
        <v>0</v>
      </c>
      <c r="S195" s="122">
        <f t="shared" si="42"/>
        <v>0</v>
      </c>
    </row>
    <row r="196" spans="1:19">
      <c r="A196" s="131"/>
      <c r="B196" s="132"/>
      <c r="C196" s="123">
        <f t="shared" si="33"/>
        <v>1</v>
      </c>
      <c r="D196" s="133"/>
      <c r="E196" s="123">
        <f t="shared" si="34"/>
        <v>1</v>
      </c>
      <c r="F196" s="133"/>
      <c r="G196" s="123">
        <f t="shared" si="35"/>
        <v>1</v>
      </c>
      <c r="H196" s="133"/>
      <c r="I196" s="123">
        <f t="shared" si="36"/>
        <v>1</v>
      </c>
      <c r="J196" s="133"/>
      <c r="K196" s="123">
        <f t="shared" si="37"/>
        <v>1</v>
      </c>
      <c r="L196" s="133"/>
      <c r="M196" s="123">
        <f t="shared" si="38"/>
        <v>1</v>
      </c>
      <c r="N196" s="133"/>
      <c r="O196" s="123">
        <f t="shared" si="39"/>
        <v>1</v>
      </c>
      <c r="P196" s="133"/>
      <c r="Q196" s="123">
        <f t="shared" si="40"/>
        <v>1</v>
      </c>
      <c r="R196" s="187">
        <f t="shared" si="41"/>
        <v>0</v>
      </c>
      <c r="S196" s="122">
        <f t="shared" si="42"/>
        <v>0</v>
      </c>
    </row>
    <row r="197" spans="1:19">
      <c r="A197" s="131"/>
      <c r="B197" s="132"/>
      <c r="C197" s="123">
        <f t="shared" si="33"/>
        <v>1</v>
      </c>
      <c r="D197" s="133"/>
      <c r="E197" s="123">
        <f t="shared" si="34"/>
        <v>1</v>
      </c>
      <c r="F197" s="133"/>
      <c r="G197" s="123">
        <f t="shared" si="35"/>
        <v>1</v>
      </c>
      <c r="H197" s="133"/>
      <c r="I197" s="123">
        <f t="shared" si="36"/>
        <v>1</v>
      </c>
      <c r="J197" s="133"/>
      <c r="K197" s="123">
        <f t="shared" si="37"/>
        <v>1</v>
      </c>
      <c r="L197" s="133"/>
      <c r="M197" s="123">
        <f t="shared" si="38"/>
        <v>1</v>
      </c>
      <c r="N197" s="133"/>
      <c r="O197" s="123">
        <f t="shared" si="39"/>
        <v>1</v>
      </c>
      <c r="P197" s="133"/>
      <c r="Q197" s="123">
        <f t="shared" si="40"/>
        <v>1</v>
      </c>
      <c r="R197" s="187">
        <f t="shared" si="41"/>
        <v>0</v>
      </c>
      <c r="S197" s="122">
        <f t="shared" si="42"/>
        <v>0</v>
      </c>
    </row>
    <row r="198" spans="1:19">
      <c r="A198" s="131"/>
      <c r="B198" s="132"/>
      <c r="C198" s="123">
        <f t="shared" si="33"/>
        <v>1</v>
      </c>
      <c r="D198" s="133"/>
      <c r="E198" s="123">
        <f t="shared" si="34"/>
        <v>1</v>
      </c>
      <c r="F198" s="133"/>
      <c r="G198" s="123">
        <f t="shared" si="35"/>
        <v>1</v>
      </c>
      <c r="H198" s="133"/>
      <c r="I198" s="123">
        <f t="shared" si="36"/>
        <v>1</v>
      </c>
      <c r="J198" s="133"/>
      <c r="K198" s="123">
        <f t="shared" si="37"/>
        <v>1</v>
      </c>
      <c r="L198" s="133"/>
      <c r="M198" s="123">
        <f t="shared" si="38"/>
        <v>1</v>
      </c>
      <c r="N198" s="133"/>
      <c r="O198" s="123">
        <f t="shared" si="39"/>
        <v>1</v>
      </c>
      <c r="P198" s="133"/>
      <c r="Q198" s="123">
        <f t="shared" si="40"/>
        <v>1</v>
      </c>
      <c r="R198" s="187">
        <f t="shared" si="41"/>
        <v>0</v>
      </c>
      <c r="S198" s="122">
        <f t="shared" si="42"/>
        <v>0</v>
      </c>
    </row>
    <row r="199" spans="1:19">
      <c r="A199" s="131"/>
      <c r="B199" s="132"/>
      <c r="C199" s="123">
        <f t="shared" si="33"/>
        <v>1</v>
      </c>
      <c r="D199" s="133"/>
      <c r="E199" s="123">
        <f t="shared" si="34"/>
        <v>1</v>
      </c>
      <c r="F199" s="133"/>
      <c r="G199" s="123">
        <f t="shared" si="35"/>
        <v>1</v>
      </c>
      <c r="H199" s="133"/>
      <c r="I199" s="123">
        <f t="shared" si="36"/>
        <v>1</v>
      </c>
      <c r="J199" s="133"/>
      <c r="K199" s="123">
        <f t="shared" si="37"/>
        <v>1</v>
      </c>
      <c r="L199" s="133"/>
      <c r="M199" s="123">
        <f t="shared" si="38"/>
        <v>1</v>
      </c>
      <c r="N199" s="133"/>
      <c r="O199" s="123">
        <f t="shared" si="39"/>
        <v>1</v>
      </c>
      <c r="P199" s="133"/>
      <c r="Q199" s="123">
        <f t="shared" si="40"/>
        <v>1</v>
      </c>
      <c r="R199" s="187">
        <f t="shared" si="41"/>
        <v>0</v>
      </c>
      <c r="S199" s="122">
        <f t="shared" si="42"/>
        <v>0</v>
      </c>
    </row>
    <row r="200" spans="1:19">
      <c r="A200" s="131"/>
      <c r="B200" s="132"/>
      <c r="C200" s="123">
        <f t="shared" si="33"/>
        <v>1</v>
      </c>
      <c r="D200" s="133"/>
      <c r="E200" s="123">
        <f t="shared" si="34"/>
        <v>1</v>
      </c>
      <c r="F200" s="133"/>
      <c r="G200" s="123">
        <f t="shared" si="35"/>
        <v>1</v>
      </c>
      <c r="H200" s="133"/>
      <c r="I200" s="123">
        <f t="shared" si="36"/>
        <v>1</v>
      </c>
      <c r="J200" s="133"/>
      <c r="K200" s="123">
        <f t="shared" si="37"/>
        <v>1</v>
      </c>
      <c r="L200" s="133"/>
      <c r="M200" s="123">
        <f t="shared" si="38"/>
        <v>1</v>
      </c>
      <c r="N200" s="133"/>
      <c r="O200" s="123">
        <f t="shared" si="39"/>
        <v>1</v>
      </c>
      <c r="P200" s="133"/>
      <c r="Q200" s="123">
        <f t="shared" si="40"/>
        <v>1</v>
      </c>
      <c r="R200" s="187">
        <f t="shared" si="41"/>
        <v>0</v>
      </c>
      <c r="S200" s="122">
        <f t="shared" si="42"/>
        <v>0</v>
      </c>
    </row>
    <row r="201" spans="1:19">
      <c r="A201" s="131"/>
      <c r="B201" s="132"/>
      <c r="C201" s="123">
        <f t="shared" si="33"/>
        <v>1</v>
      </c>
      <c r="D201" s="133"/>
      <c r="E201" s="123">
        <f t="shared" si="34"/>
        <v>1</v>
      </c>
      <c r="F201" s="133"/>
      <c r="G201" s="123">
        <f t="shared" si="35"/>
        <v>1</v>
      </c>
      <c r="H201" s="133"/>
      <c r="I201" s="123">
        <f t="shared" si="36"/>
        <v>1</v>
      </c>
      <c r="J201" s="133"/>
      <c r="K201" s="123">
        <f t="shared" si="37"/>
        <v>1</v>
      </c>
      <c r="L201" s="133"/>
      <c r="M201" s="123">
        <f t="shared" si="38"/>
        <v>1</v>
      </c>
      <c r="N201" s="133"/>
      <c r="O201" s="123">
        <f t="shared" si="39"/>
        <v>1</v>
      </c>
      <c r="P201" s="133"/>
      <c r="Q201" s="123">
        <f t="shared" si="40"/>
        <v>1</v>
      </c>
      <c r="R201" s="187">
        <f t="shared" si="41"/>
        <v>0</v>
      </c>
      <c r="S201" s="122">
        <f t="shared" si="42"/>
        <v>0</v>
      </c>
    </row>
    <row r="202" spans="1:19">
      <c r="A202" s="131"/>
      <c r="B202" s="132"/>
      <c r="C202" s="123">
        <f t="shared" si="33"/>
        <v>1</v>
      </c>
      <c r="D202" s="133"/>
      <c r="E202" s="123">
        <f t="shared" si="34"/>
        <v>1</v>
      </c>
      <c r="F202" s="133"/>
      <c r="G202" s="123">
        <f t="shared" si="35"/>
        <v>1</v>
      </c>
      <c r="H202" s="133"/>
      <c r="I202" s="123">
        <f t="shared" si="36"/>
        <v>1</v>
      </c>
      <c r="J202" s="133"/>
      <c r="K202" s="123">
        <f t="shared" si="37"/>
        <v>1</v>
      </c>
      <c r="L202" s="133"/>
      <c r="M202" s="123">
        <f t="shared" si="38"/>
        <v>1</v>
      </c>
      <c r="N202" s="133"/>
      <c r="O202" s="123">
        <f t="shared" si="39"/>
        <v>1</v>
      </c>
      <c r="P202" s="133"/>
      <c r="Q202" s="123">
        <f t="shared" si="40"/>
        <v>1</v>
      </c>
      <c r="R202" s="187">
        <f t="shared" si="41"/>
        <v>0</v>
      </c>
      <c r="S202" s="122">
        <f t="shared" si="42"/>
        <v>0</v>
      </c>
    </row>
    <row r="203" spans="1:19">
      <c r="A203" s="131"/>
      <c r="B203" s="132"/>
      <c r="C203" s="123">
        <f t="shared" si="33"/>
        <v>1</v>
      </c>
      <c r="D203" s="133"/>
      <c r="E203" s="123">
        <f t="shared" si="34"/>
        <v>1</v>
      </c>
      <c r="F203" s="133"/>
      <c r="G203" s="123">
        <f t="shared" si="35"/>
        <v>1</v>
      </c>
      <c r="H203" s="133"/>
      <c r="I203" s="123">
        <f t="shared" si="36"/>
        <v>1</v>
      </c>
      <c r="J203" s="133"/>
      <c r="K203" s="123">
        <f t="shared" si="37"/>
        <v>1</v>
      </c>
      <c r="L203" s="133"/>
      <c r="M203" s="123">
        <f t="shared" si="38"/>
        <v>1</v>
      </c>
      <c r="N203" s="133"/>
      <c r="O203" s="123">
        <f t="shared" si="39"/>
        <v>1</v>
      </c>
      <c r="P203" s="133"/>
      <c r="Q203" s="123">
        <f t="shared" si="40"/>
        <v>1</v>
      </c>
      <c r="R203" s="187">
        <f t="shared" si="41"/>
        <v>0</v>
      </c>
      <c r="S203" s="122">
        <f t="shared" si="42"/>
        <v>0</v>
      </c>
    </row>
    <row r="204" spans="1:19">
      <c r="A204" s="131"/>
      <c r="B204" s="132"/>
      <c r="C204" s="123">
        <f t="shared" si="33"/>
        <v>1</v>
      </c>
      <c r="D204" s="133"/>
      <c r="E204" s="123">
        <f t="shared" si="34"/>
        <v>1</v>
      </c>
      <c r="F204" s="133"/>
      <c r="G204" s="123">
        <f t="shared" si="35"/>
        <v>1</v>
      </c>
      <c r="H204" s="133"/>
      <c r="I204" s="123">
        <f t="shared" si="36"/>
        <v>1</v>
      </c>
      <c r="J204" s="133"/>
      <c r="K204" s="123">
        <f t="shared" si="37"/>
        <v>1</v>
      </c>
      <c r="L204" s="133"/>
      <c r="M204" s="123">
        <f t="shared" si="38"/>
        <v>1</v>
      </c>
      <c r="N204" s="133"/>
      <c r="O204" s="123">
        <f t="shared" si="39"/>
        <v>1</v>
      </c>
      <c r="P204" s="133"/>
      <c r="Q204" s="123">
        <f t="shared" si="40"/>
        <v>1</v>
      </c>
      <c r="R204" s="187">
        <f t="shared" si="41"/>
        <v>0</v>
      </c>
      <c r="S204" s="122">
        <f t="shared" si="42"/>
        <v>0</v>
      </c>
    </row>
    <row r="205" spans="1:19">
      <c r="A205" s="131"/>
      <c r="B205" s="132"/>
      <c r="C205" s="123">
        <f t="shared" si="33"/>
        <v>1</v>
      </c>
      <c r="D205" s="133"/>
      <c r="E205" s="123">
        <f t="shared" si="34"/>
        <v>1</v>
      </c>
      <c r="F205" s="133"/>
      <c r="G205" s="123">
        <f t="shared" si="35"/>
        <v>1</v>
      </c>
      <c r="H205" s="133"/>
      <c r="I205" s="123">
        <f t="shared" si="36"/>
        <v>1</v>
      </c>
      <c r="J205" s="133"/>
      <c r="K205" s="123">
        <f t="shared" si="37"/>
        <v>1</v>
      </c>
      <c r="L205" s="133"/>
      <c r="M205" s="123">
        <f t="shared" si="38"/>
        <v>1</v>
      </c>
      <c r="N205" s="133"/>
      <c r="O205" s="123">
        <f t="shared" si="39"/>
        <v>1</v>
      </c>
      <c r="P205" s="133"/>
      <c r="Q205" s="123">
        <f t="shared" si="40"/>
        <v>1</v>
      </c>
      <c r="R205" s="187">
        <f t="shared" si="41"/>
        <v>0</v>
      </c>
      <c r="S205" s="122">
        <f t="shared" si="42"/>
        <v>0</v>
      </c>
    </row>
    <row r="206" spans="1:19">
      <c r="A206" s="131"/>
      <c r="B206" s="132"/>
      <c r="C206" s="123">
        <f t="shared" si="33"/>
        <v>1</v>
      </c>
      <c r="D206" s="133"/>
      <c r="E206" s="123">
        <f t="shared" si="34"/>
        <v>1</v>
      </c>
      <c r="F206" s="133"/>
      <c r="G206" s="123">
        <f t="shared" si="35"/>
        <v>1</v>
      </c>
      <c r="H206" s="133"/>
      <c r="I206" s="123">
        <f t="shared" si="36"/>
        <v>1</v>
      </c>
      <c r="J206" s="133"/>
      <c r="K206" s="123">
        <f t="shared" si="37"/>
        <v>1</v>
      </c>
      <c r="L206" s="133"/>
      <c r="M206" s="123">
        <f t="shared" si="38"/>
        <v>1</v>
      </c>
      <c r="N206" s="133"/>
      <c r="O206" s="123">
        <f t="shared" si="39"/>
        <v>1</v>
      </c>
      <c r="P206" s="133"/>
      <c r="Q206" s="123">
        <f t="shared" si="40"/>
        <v>1</v>
      </c>
      <c r="R206" s="187">
        <f t="shared" si="41"/>
        <v>0</v>
      </c>
      <c r="S206" s="122">
        <f t="shared" si="42"/>
        <v>0</v>
      </c>
    </row>
    <row r="207" spans="1:19">
      <c r="A207" s="131"/>
      <c r="B207" s="132"/>
      <c r="C207" s="123">
        <f t="shared" si="33"/>
        <v>1</v>
      </c>
      <c r="D207" s="133"/>
      <c r="E207" s="123">
        <f t="shared" si="34"/>
        <v>1</v>
      </c>
      <c r="F207" s="133"/>
      <c r="G207" s="123">
        <f t="shared" si="35"/>
        <v>1</v>
      </c>
      <c r="H207" s="133"/>
      <c r="I207" s="123">
        <f t="shared" si="36"/>
        <v>1</v>
      </c>
      <c r="J207" s="133"/>
      <c r="K207" s="123">
        <f t="shared" si="37"/>
        <v>1</v>
      </c>
      <c r="L207" s="133"/>
      <c r="M207" s="123">
        <f t="shared" si="38"/>
        <v>1</v>
      </c>
      <c r="N207" s="133"/>
      <c r="O207" s="123">
        <f t="shared" si="39"/>
        <v>1</v>
      </c>
      <c r="P207" s="133"/>
      <c r="Q207" s="123">
        <f t="shared" si="40"/>
        <v>1</v>
      </c>
      <c r="R207" s="187">
        <f t="shared" si="41"/>
        <v>0</v>
      </c>
      <c r="S207" s="122">
        <f t="shared" si="42"/>
        <v>0</v>
      </c>
    </row>
    <row r="208" spans="1:19">
      <c r="A208" s="131"/>
      <c r="B208" s="132"/>
      <c r="C208" s="123">
        <f t="shared" si="33"/>
        <v>1</v>
      </c>
      <c r="D208" s="133"/>
      <c r="E208" s="123">
        <f t="shared" si="34"/>
        <v>1</v>
      </c>
      <c r="F208" s="133"/>
      <c r="G208" s="123">
        <f t="shared" si="35"/>
        <v>1</v>
      </c>
      <c r="H208" s="133"/>
      <c r="I208" s="123">
        <f t="shared" si="36"/>
        <v>1</v>
      </c>
      <c r="J208" s="133"/>
      <c r="K208" s="123">
        <f t="shared" si="37"/>
        <v>1</v>
      </c>
      <c r="L208" s="133"/>
      <c r="M208" s="123">
        <f t="shared" si="38"/>
        <v>1</v>
      </c>
      <c r="N208" s="133"/>
      <c r="O208" s="123">
        <f t="shared" si="39"/>
        <v>1</v>
      </c>
      <c r="P208" s="133"/>
      <c r="Q208" s="123">
        <f t="shared" si="40"/>
        <v>1</v>
      </c>
      <c r="R208" s="187">
        <f t="shared" si="41"/>
        <v>0</v>
      </c>
      <c r="S208" s="122">
        <f t="shared" si="42"/>
        <v>0</v>
      </c>
    </row>
    <row r="209" spans="1:19">
      <c r="A209" s="131"/>
      <c r="B209" s="132"/>
      <c r="C209" s="123">
        <f t="shared" si="33"/>
        <v>1</v>
      </c>
      <c r="D209" s="133"/>
      <c r="E209" s="123">
        <f t="shared" si="34"/>
        <v>1</v>
      </c>
      <c r="F209" s="133"/>
      <c r="G209" s="123">
        <f t="shared" si="35"/>
        <v>1</v>
      </c>
      <c r="H209" s="133"/>
      <c r="I209" s="123">
        <f t="shared" si="36"/>
        <v>1</v>
      </c>
      <c r="J209" s="133"/>
      <c r="K209" s="123">
        <f t="shared" si="37"/>
        <v>1</v>
      </c>
      <c r="L209" s="133"/>
      <c r="M209" s="123">
        <f t="shared" si="38"/>
        <v>1</v>
      </c>
      <c r="N209" s="133"/>
      <c r="O209" s="123">
        <f t="shared" si="39"/>
        <v>1</v>
      </c>
      <c r="P209" s="133"/>
      <c r="Q209" s="123">
        <f t="shared" si="40"/>
        <v>1</v>
      </c>
      <c r="R209" s="187">
        <f t="shared" si="41"/>
        <v>0</v>
      </c>
      <c r="S209" s="122">
        <f t="shared" si="42"/>
        <v>0</v>
      </c>
    </row>
    <row r="210" spans="1:19">
      <c r="A210" s="131"/>
      <c r="B210" s="132"/>
      <c r="C210" s="123">
        <f t="shared" si="33"/>
        <v>1</v>
      </c>
      <c r="D210" s="133"/>
      <c r="E210" s="123">
        <f t="shared" si="34"/>
        <v>1</v>
      </c>
      <c r="F210" s="133"/>
      <c r="G210" s="123">
        <f t="shared" si="35"/>
        <v>1</v>
      </c>
      <c r="H210" s="133"/>
      <c r="I210" s="123">
        <f t="shared" si="36"/>
        <v>1</v>
      </c>
      <c r="J210" s="133"/>
      <c r="K210" s="123">
        <f t="shared" si="37"/>
        <v>1</v>
      </c>
      <c r="L210" s="133"/>
      <c r="M210" s="123">
        <f t="shared" si="38"/>
        <v>1</v>
      </c>
      <c r="N210" s="133"/>
      <c r="O210" s="123">
        <f t="shared" si="39"/>
        <v>1</v>
      </c>
      <c r="P210" s="133"/>
      <c r="Q210" s="123">
        <f t="shared" si="40"/>
        <v>1</v>
      </c>
      <c r="R210" s="187">
        <f t="shared" si="41"/>
        <v>0</v>
      </c>
      <c r="S210" s="122">
        <f t="shared" si="42"/>
        <v>0</v>
      </c>
    </row>
    <row r="211" spans="1:19">
      <c r="A211" s="131"/>
      <c r="B211" s="132"/>
      <c r="C211" s="123">
        <f t="shared" si="33"/>
        <v>1</v>
      </c>
      <c r="D211" s="133"/>
      <c r="E211" s="123">
        <f t="shared" si="34"/>
        <v>1</v>
      </c>
      <c r="F211" s="133"/>
      <c r="G211" s="123">
        <f t="shared" si="35"/>
        <v>1</v>
      </c>
      <c r="H211" s="133"/>
      <c r="I211" s="123">
        <f t="shared" si="36"/>
        <v>1</v>
      </c>
      <c r="J211" s="133"/>
      <c r="K211" s="123">
        <f t="shared" si="37"/>
        <v>1</v>
      </c>
      <c r="L211" s="133"/>
      <c r="M211" s="123">
        <f t="shared" si="38"/>
        <v>1</v>
      </c>
      <c r="N211" s="133"/>
      <c r="O211" s="123">
        <f t="shared" si="39"/>
        <v>1</v>
      </c>
      <c r="P211" s="133"/>
      <c r="Q211" s="123">
        <f t="shared" si="40"/>
        <v>1</v>
      </c>
      <c r="R211" s="187">
        <f t="shared" si="41"/>
        <v>0</v>
      </c>
      <c r="S211" s="122">
        <f t="shared" si="42"/>
        <v>0</v>
      </c>
    </row>
    <row r="212" spans="1:19">
      <c r="A212" s="131"/>
      <c r="B212" s="132"/>
      <c r="C212" s="123">
        <f t="shared" si="33"/>
        <v>1</v>
      </c>
      <c r="D212" s="133"/>
      <c r="E212" s="123">
        <f t="shared" si="34"/>
        <v>1</v>
      </c>
      <c r="F212" s="133"/>
      <c r="G212" s="123">
        <f t="shared" si="35"/>
        <v>1</v>
      </c>
      <c r="H212" s="133"/>
      <c r="I212" s="123">
        <f t="shared" si="36"/>
        <v>1</v>
      </c>
      <c r="J212" s="133"/>
      <c r="K212" s="123">
        <f t="shared" si="37"/>
        <v>1</v>
      </c>
      <c r="L212" s="133"/>
      <c r="M212" s="123">
        <f t="shared" si="38"/>
        <v>1</v>
      </c>
      <c r="N212" s="133"/>
      <c r="O212" s="123">
        <f t="shared" si="39"/>
        <v>1</v>
      </c>
      <c r="P212" s="133"/>
      <c r="Q212" s="123">
        <f t="shared" si="40"/>
        <v>1</v>
      </c>
      <c r="R212" s="187">
        <f t="shared" si="41"/>
        <v>0</v>
      </c>
      <c r="S212" s="122">
        <f t="shared" si="42"/>
        <v>0</v>
      </c>
    </row>
    <row r="213" spans="1:19">
      <c r="A213" s="131"/>
      <c r="B213" s="132"/>
      <c r="C213" s="123">
        <f t="shared" si="33"/>
        <v>1</v>
      </c>
      <c r="D213" s="133"/>
      <c r="E213" s="123">
        <f t="shared" si="34"/>
        <v>1</v>
      </c>
      <c r="F213" s="133"/>
      <c r="G213" s="123">
        <f t="shared" si="35"/>
        <v>1</v>
      </c>
      <c r="H213" s="133"/>
      <c r="I213" s="123">
        <f t="shared" si="36"/>
        <v>1</v>
      </c>
      <c r="J213" s="133"/>
      <c r="K213" s="123">
        <f t="shared" si="37"/>
        <v>1</v>
      </c>
      <c r="L213" s="133"/>
      <c r="M213" s="123">
        <f t="shared" si="38"/>
        <v>1</v>
      </c>
      <c r="N213" s="133"/>
      <c r="O213" s="123">
        <f t="shared" si="39"/>
        <v>1</v>
      </c>
      <c r="P213" s="133"/>
      <c r="Q213" s="123">
        <f t="shared" si="40"/>
        <v>1</v>
      </c>
      <c r="R213" s="187">
        <f t="shared" si="41"/>
        <v>0</v>
      </c>
      <c r="S213" s="122">
        <f t="shared" si="42"/>
        <v>0</v>
      </c>
    </row>
    <row r="214" spans="1:19">
      <c r="A214" s="131"/>
      <c r="B214" s="132"/>
      <c r="C214" s="123">
        <f t="shared" si="33"/>
        <v>1</v>
      </c>
      <c r="D214" s="133"/>
      <c r="E214" s="123">
        <f t="shared" si="34"/>
        <v>1</v>
      </c>
      <c r="F214" s="133"/>
      <c r="G214" s="123">
        <f t="shared" si="35"/>
        <v>1</v>
      </c>
      <c r="H214" s="133"/>
      <c r="I214" s="123">
        <f t="shared" si="36"/>
        <v>1</v>
      </c>
      <c r="J214" s="133"/>
      <c r="K214" s="123">
        <f t="shared" si="37"/>
        <v>1</v>
      </c>
      <c r="L214" s="133"/>
      <c r="M214" s="123">
        <f t="shared" si="38"/>
        <v>1</v>
      </c>
      <c r="N214" s="133"/>
      <c r="O214" s="123">
        <f t="shared" si="39"/>
        <v>1</v>
      </c>
      <c r="P214" s="133"/>
      <c r="Q214" s="123">
        <f t="shared" si="40"/>
        <v>1</v>
      </c>
      <c r="R214" s="187">
        <f t="shared" si="41"/>
        <v>0</v>
      </c>
      <c r="S214" s="122">
        <f t="shared" si="42"/>
        <v>0</v>
      </c>
    </row>
    <row r="215" spans="1:19">
      <c r="A215" s="131"/>
      <c r="B215" s="132"/>
      <c r="C215" s="123">
        <f t="shared" si="33"/>
        <v>1</v>
      </c>
      <c r="D215" s="133"/>
      <c r="E215" s="123">
        <f t="shared" si="34"/>
        <v>1</v>
      </c>
      <c r="F215" s="133"/>
      <c r="G215" s="123">
        <f t="shared" si="35"/>
        <v>1</v>
      </c>
      <c r="H215" s="133"/>
      <c r="I215" s="123">
        <f t="shared" si="36"/>
        <v>1</v>
      </c>
      <c r="J215" s="133"/>
      <c r="K215" s="123">
        <f t="shared" si="37"/>
        <v>1</v>
      </c>
      <c r="L215" s="133"/>
      <c r="M215" s="123">
        <f t="shared" si="38"/>
        <v>1</v>
      </c>
      <c r="N215" s="133"/>
      <c r="O215" s="123">
        <f t="shared" si="39"/>
        <v>1</v>
      </c>
      <c r="P215" s="133"/>
      <c r="Q215" s="123">
        <f t="shared" si="40"/>
        <v>1</v>
      </c>
      <c r="R215" s="187">
        <f t="shared" si="41"/>
        <v>0</v>
      </c>
      <c r="S215" s="122">
        <f t="shared" si="42"/>
        <v>0</v>
      </c>
    </row>
    <row r="216" spans="1:19">
      <c r="A216" s="131"/>
      <c r="B216" s="132"/>
      <c r="C216" s="123">
        <f t="shared" si="33"/>
        <v>1</v>
      </c>
      <c r="D216" s="133"/>
      <c r="E216" s="123">
        <f t="shared" si="34"/>
        <v>1</v>
      </c>
      <c r="F216" s="133"/>
      <c r="G216" s="123">
        <f t="shared" si="35"/>
        <v>1</v>
      </c>
      <c r="H216" s="133"/>
      <c r="I216" s="123">
        <f t="shared" si="36"/>
        <v>1</v>
      </c>
      <c r="J216" s="133"/>
      <c r="K216" s="123">
        <f t="shared" si="37"/>
        <v>1</v>
      </c>
      <c r="L216" s="133"/>
      <c r="M216" s="123">
        <f t="shared" si="38"/>
        <v>1</v>
      </c>
      <c r="N216" s="133"/>
      <c r="O216" s="123">
        <f t="shared" si="39"/>
        <v>1</v>
      </c>
      <c r="P216" s="133"/>
      <c r="Q216" s="123">
        <f t="shared" si="40"/>
        <v>1</v>
      </c>
      <c r="R216" s="187">
        <f t="shared" si="41"/>
        <v>0</v>
      </c>
      <c r="S216" s="122">
        <f t="shared" si="42"/>
        <v>0</v>
      </c>
    </row>
    <row r="217" spans="1:19">
      <c r="A217" s="131"/>
      <c r="B217" s="132"/>
      <c r="C217" s="123">
        <f t="shared" si="33"/>
        <v>1</v>
      </c>
      <c r="D217" s="133"/>
      <c r="E217" s="123">
        <f t="shared" si="34"/>
        <v>1</v>
      </c>
      <c r="F217" s="133"/>
      <c r="G217" s="123">
        <f t="shared" si="35"/>
        <v>1</v>
      </c>
      <c r="H217" s="133"/>
      <c r="I217" s="123">
        <f t="shared" si="36"/>
        <v>1</v>
      </c>
      <c r="J217" s="133"/>
      <c r="K217" s="123">
        <f t="shared" si="37"/>
        <v>1</v>
      </c>
      <c r="L217" s="133"/>
      <c r="M217" s="123">
        <f t="shared" si="38"/>
        <v>1</v>
      </c>
      <c r="N217" s="133"/>
      <c r="O217" s="123">
        <f t="shared" si="39"/>
        <v>1</v>
      </c>
      <c r="P217" s="133"/>
      <c r="Q217" s="123">
        <f t="shared" si="40"/>
        <v>1</v>
      </c>
      <c r="R217" s="187">
        <f t="shared" si="41"/>
        <v>0</v>
      </c>
      <c r="S217" s="122">
        <f t="shared" si="42"/>
        <v>0</v>
      </c>
    </row>
    <row r="218" spans="1:19">
      <c r="A218" s="131"/>
      <c r="B218" s="132"/>
      <c r="C218" s="123">
        <f t="shared" ref="C218:C281" si="43">IF(B218="",1,(LOOKUP(B218,$3:$3,$4:$4)-LOOKUP($B$24,$3:$3,$4:$4)+100)/100)</f>
        <v>1</v>
      </c>
      <c r="D218" s="133"/>
      <c r="E218" s="123">
        <f t="shared" ref="E218:E281" si="44">(SUMIF($5:$5,D218,$6:$6)-SUMIF($5:$5,$D$24,$6:$6)+100)/100</f>
        <v>1</v>
      </c>
      <c r="F218" s="133"/>
      <c r="G218" s="123">
        <f t="shared" ref="G218:G281" si="45">(SUMIF($7:$7,F218,$8:$8)-SUMIF($7:$7,$F$24,$8:$8)+100)/100</f>
        <v>1</v>
      </c>
      <c r="H218" s="133"/>
      <c r="I218" s="123">
        <f t="shared" ref="I218:I281" si="46">(SUMIF($9:$9,H218,$10:$10)-SUMIF($9:$9,$H$24,$10:$10)+100)/100</f>
        <v>1</v>
      </c>
      <c r="J218" s="133"/>
      <c r="K218" s="123">
        <f t="shared" ref="K218:K281" si="47">(SUMIF($11:$11,J218,$12:$12)-SUMIF($11:$11,$J$24,$12:$12)+100)/100</f>
        <v>1</v>
      </c>
      <c r="L218" s="133"/>
      <c r="M218" s="123">
        <f t="shared" ref="M218:M281" si="48">(SUMIF($13:$13,L218,$14:$14)-SUMIF($13:$13,$L$24,$14:$14)+100)/100</f>
        <v>1</v>
      </c>
      <c r="N218" s="133"/>
      <c r="O218" s="123">
        <f t="shared" ref="O218:O281" si="49">(SUMIF($15:$15,N218,$16:$16)-SUMIF($15:$15,$N$24,$16:$16)+100)/100</f>
        <v>1</v>
      </c>
      <c r="P218" s="133"/>
      <c r="Q218" s="123">
        <f t="shared" ref="Q218:Q281" si="50">(SUMIF($17:$17,P218,$18:$18)-SUMIF($17:$17,$P$24,$18:$18)+100)/100</f>
        <v>1</v>
      </c>
      <c r="R218" s="187">
        <f t="shared" ref="R218:R281" si="51">IF(B218="",0,ROUND($R$24*C218*E218*G218*I218*K218*M218*O218*Q218,0))</f>
        <v>0</v>
      </c>
      <c r="S218" s="122">
        <f t="shared" si="42"/>
        <v>0</v>
      </c>
    </row>
    <row r="219" spans="1:19">
      <c r="A219" s="131"/>
      <c r="B219" s="132"/>
      <c r="C219" s="123">
        <f t="shared" si="43"/>
        <v>1</v>
      </c>
      <c r="D219" s="133"/>
      <c r="E219" s="123">
        <f t="shared" si="44"/>
        <v>1</v>
      </c>
      <c r="F219" s="133"/>
      <c r="G219" s="123">
        <f t="shared" si="45"/>
        <v>1</v>
      </c>
      <c r="H219" s="133"/>
      <c r="I219" s="123">
        <f t="shared" si="46"/>
        <v>1</v>
      </c>
      <c r="J219" s="133"/>
      <c r="K219" s="123">
        <f t="shared" si="47"/>
        <v>1</v>
      </c>
      <c r="L219" s="133"/>
      <c r="M219" s="123">
        <f t="shared" si="48"/>
        <v>1</v>
      </c>
      <c r="N219" s="133"/>
      <c r="O219" s="123">
        <f t="shared" si="49"/>
        <v>1</v>
      </c>
      <c r="P219" s="133"/>
      <c r="Q219" s="123">
        <f t="shared" si="50"/>
        <v>1</v>
      </c>
      <c r="R219" s="187">
        <f t="shared" si="51"/>
        <v>0</v>
      </c>
      <c r="S219" s="122">
        <f t="shared" si="42"/>
        <v>0</v>
      </c>
    </row>
    <row r="220" spans="1:19">
      <c r="A220" s="131"/>
      <c r="B220" s="132"/>
      <c r="C220" s="123">
        <f t="shared" si="43"/>
        <v>1</v>
      </c>
      <c r="D220" s="133"/>
      <c r="E220" s="123">
        <f t="shared" si="44"/>
        <v>1</v>
      </c>
      <c r="F220" s="133"/>
      <c r="G220" s="123">
        <f t="shared" si="45"/>
        <v>1</v>
      </c>
      <c r="H220" s="133"/>
      <c r="I220" s="123">
        <f t="shared" si="46"/>
        <v>1</v>
      </c>
      <c r="J220" s="133"/>
      <c r="K220" s="123">
        <f t="shared" si="47"/>
        <v>1</v>
      </c>
      <c r="L220" s="133"/>
      <c r="M220" s="123">
        <f t="shared" si="48"/>
        <v>1</v>
      </c>
      <c r="N220" s="133"/>
      <c r="O220" s="123">
        <f t="shared" si="49"/>
        <v>1</v>
      </c>
      <c r="P220" s="133"/>
      <c r="Q220" s="123">
        <f t="shared" si="50"/>
        <v>1</v>
      </c>
      <c r="R220" s="187">
        <f t="shared" si="51"/>
        <v>0</v>
      </c>
      <c r="S220" s="122">
        <f t="shared" si="42"/>
        <v>0</v>
      </c>
    </row>
    <row r="221" spans="1:19">
      <c r="A221" s="131"/>
      <c r="B221" s="132"/>
      <c r="C221" s="123">
        <f t="shared" si="43"/>
        <v>1</v>
      </c>
      <c r="D221" s="133"/>
      <c r="E221" s="123">
        <f t="shared" si="44"/>
        <v>1</v>
      </c>
      <c r="F221" s="133"/>
      <c r="G221" s="123">
        <f t="shared" si="45"/>
        <v>1</v>
      </c>
      <c r="H221" s="133"/>
      <c r="I221" s="123">
        <f t="shared" si="46"/>
        <v>1</v>
      </c>
      <c r="J221" s="133"/>
      <c r="K221" s="123">
        <f t="shared" si="47"/>
        <v>1</v>
      </c>
      <c r="L221" s="133"/>
      <c r="M221" s="123">
        <f t="shared" si="48"/>
        <v>1</v>
      </c>
      <c r="N221" s="133"/>
      <c r="O221" s="123">
        <f t="shared" si="49"/>
        <v>1</v>
      </c>
      <c r="P221" s="133"/>
      <c r="Q221" s="123">
        <f t="shared" si="50"/>
        <v>1</v>
      </c>
      <c r="R221" s="187">
        <f t="shared" si="51"/>
        <v>0</v>
      </c>
      <c r="S221" s="122">
        <f t="shared" si="42"/>
        <v>0</v>
      </c>
    </row>
    <row r="222" spans="1:19">
      <c r="A222" s="131"/>
      <c r="B222" s="132"/>
      <c r="C222" s="123">
        <f t="shared" si="43"/>
        <v>1</v>
      </c>
      <c r="D222" s="133"/>
      <c r="E222" s="123">
        <f t="shared" si="44"/>
        <v>1</v>
      </c>
      <c r="F222" s="133"/>
      <c r="G222" s="123">
        <f t="shared" si="45"/>
        <v>1</v>
      </c>
      <c r="H222" s="133"/>
      <c r="I222" s="123">
        <f t="shared" si="46"/>
        <v>1</v>
      </c>
      <c r="J222" s="133"/>
      <c r="K222" s="123">
        <f t="shared" si="47"/>
        <v>1</v>
      </c>
      <c r="L222" s="133"/>
      <c r="M222" s="123">
        <f t="shared" si="48"/>
        <v>1</v>
      </c>
      <c r="N222" s="133"/>
      <c r="O222" s="123">
        <f t="shared" si="49"/>
        <v>1</v>
      </c>
      <c r="P222" s="133"/>
      <c r="Q222" s="123">
        <f t="shared" si="50"/>
        <v>1</v>
      </c>
      <c r="R222" s="187">
        <f t="shared" si="51"/>
        <v>0</v>
      </c>
      <c r="S222" s="122">
        <f t="shared" si="42"/>
        <v>0</v>
      </c>
    </row>
    <row r="223" spans="1:19">
      <c r="A223" s="131"/>
      <c r="B223" s="132"/>
      <c r="C223" s="123">
        <f t="shared" si="43"/>
        <v>1</v>
      </c>
      <c r="D223" s="133"/>
      <c r="E223" s="123">
        <f t="shared" si="44"/>
        <v>1</v>
      </c>
      <c r="F223" s="133"/>
      <c r="G223" s="123">
        <f t="shared" si="45"/>
        <v>1</v>
      </c>
      <c r="H223" s="133"/>
      <c r="I223" s="123">
        <f t="shared" si="46"/>
        <v>1</v>
      </c>
      <c r="J223" s="133"/>
      <c r="K223" s="123">
        <f t="shared" si="47"/>
        <v>1</v>
      </c>
      <c r="L223" s="133"/>
      <c r="M223" s="123">
        <f t="shared" si="48"/>
        <v>1</v>
      </c>
      <c r="N223" s="133"/>
      <c r="O223" s="123">
        <f t="shared" si="49"/>
        <v>1</v>
      </c>
      <c r="P223" s="133"/>
      <c r="Q223" s="123">
        <f t="shared" si="50"/>
        <v>1</v>
      </c>
      <c r="R223" s="187">
        <f t="shared" si="51"/>
        <v>0</v>
      </c>
      <c r="S223" s="122">
        <f t="shared" ref="S223:S286" si="52">ROUND(R223*B223/10000,0)</f>
        <v>0</v>
      </c>
    </row>
    <row r="224" spans="1:19">
      <c r="A224" s="131"/>
      <c r="B224" s="132"/>
      <c r="C224" s="123">
        <f t="shared" si="43"/>
        <v>1</v>
      </c>
      <c r="D224" s="133"/>
      <c r="E224" s="123">
        <f t="shared" si="44"/>
        <v>1</v>
      </c>
      <c r="F224" s="133"/>
      <c r="G224" s="123">
        <f t="shared" si="45"/>
        <v>1</v>
      </c>
      <c r="H224" s="133"/>
      <c r="I224" s="123">
        <f t="shared" si="46"/>
        <v>1</v>
      </c>
      <c r="J224" s="133"/>
      <c r="K224" s="123">
        <f t="shared" si="47"/>
        <v>1</v>
      </c>
      <c r="L224" s="133"/>
      <c r="M224" s="123">
        <f t="shared" si="48"/>
        <v>1</v>
      </c>
      <c r="N224" s="133"/>
      <c r="O224" s="123">
        <f t="shared" si="49"/>
        <v>1</v>
      </c>
      <c r="P224" s="133"/>
      <c r="Q224" s="123">
        <f t="shared" si="50"/>
        <v>1</v>
      </c>
      <c r="R224" s="187">
        <f t="shared" si="51"/>
        <v>0</v>
      </c>
      <c r="S224" s="122">
        <f t="shared" si="52"/>
        <v>0</v>
      </c>
    </row>
    <row r="225" spans="1:19">
      <c r="A225" s="131"/>
      <c r="B225" s="132"/>
      <c r="C225" s="123">
        <f t="shared" si="43"/>
        <v>1</v>
      </c>
      <c r="D225" s="133"/>
      <c r="E225" s="123">
        <f t="shared" si="44"/>
        <v>1</v>
      </c>
      <c r="F225" s="133"/>
      <c r="G225" s="123">
        <f t="shared" si="45"/>
        <v>1</v>
      </c>
      <c r="H225" s="133"/>
      <c r="I225" s="123">
        <f t="shared" si="46"/>
        <v>1</v>
      </c>
      <c r="J225" s="133"/>
      <c r="K225" s="123">
        <f t="shared" si="47"/>
        <v>1</v>
      </c>
      <c r="L225" s="133"/>
      <c r="M225" s="123">
        <f t="shared" si="48"/>
        <v>1</v>
      </c>
      <c r="N225" s="133"/>
      <c r="O225" s="123">
        <f t="shared" si="49"/>
        <v>1</v>
      </c>
      <c r="P225" s="133"/>
      <c r="Q225" s="123">
        <f t="shared" si="50"/>
        <v>1</v>
      </c>
      <c r="R225" s="187">
        <f t="shared" si="51"/>
        <v>0</v>
      </c>
      <c r="S225" s="122">
        <f t="shared" si="52"/>
        <v>0</v>
      </c>
    </row>
    <row r="226" spans="1:19">
      <c r="A226" s="131"/>
      <c r="B226" s="132"/>
      <c r="C226" s="123">
        <f t="shared" si="43"/>
        <v>1</v>
      </c>
      <c r="D226" s="133"/>
      <c r="E226" s="123">
        <f t="shared" si="44"/>
        <v>1</v>
      </c>
      <c r="F226" s="133"/>
      <c r="G226" s="123">
        <f t="shared" si="45"/>
        <v>1</v>
      </c>
      <c r="H226" s="133"/>
      <c r="I226" s="123">
        <f t="shared" si="46"/>
        <v>1</v>
      </c>
      <c r="J226" s="133"/>
      <c r="K226" s="123">
        <f t="shared" si="47"/>
        <v>1</v>
      </c>
      <c r="L226" s="133"/>
      <c r="M226" s="123">
        <f t="shared" si="48"/>
        <v>1</v>
      </c>
      <c r="N226" s="133"/>
      <c r="O226" s="123">
        <f t="shared" si="49"/>
        <v>1</v>
      </c>
      <c r="P226" s="133"/>
      <c r="Q226" s="123">
        <f t="shared" si="50"/>
        <v>1</v>
      </c>
      <c r="R226" s="187">
        <f t="shared" si="51"/>
        <v>0</v>
      </c>
      <c r="S226" s="122">
        <f t="shared" si="52"/>
        <v>0</v>
      </c>
    </row>
    <row r="227" spans="1:19">
      <c r="A227" s="131"/>
      <c r="B227" s="132"/>
      <c r="C227" s="123">
        <f t="shared" si="43"/>
        <v>1</v>
      </c>
      <c r="D227" s="133"/>
      <c r="E227" s="123">
        <f t="shared" si="44"/>
        <v>1</v>
      </c>
      <c r="F227" s="133"/>
      <c r="G227" s="123">
        <f t="shared" si="45"/>
        <v>1</v>
      </c>
      <c r="H227" s="133"/>
      <c r="I227" s="123">
        <f t="shared" si="46"/>
        <v>1</v>
      </c>
      <c r="J227" s="133"/>
      <c r="K227" s="123">
        <f t="shared" si="47"/>
        <v>1</v>
      </c>
      <c r="L227" s="133"/>
      <c r="M227" s="123">
        <f t="shared" si="48"/>
        <v>1</v>
      </c>
      <c r="N227" s="133"/>
      <c r="O227" s="123">
        <f t="shared" si="49"/>
        <v>1</v>
      </c>
      <c r="P227" s="133"/>
      <c r="Q227" s="123">
        <f t="shared" si="50"/>
        <v>1</v>
      </c>
      <c r="R227" s="187">
        <f t="shared" si="51"/>
        <v>0</v>
      </c>
      <c r="S227" s="122">
        <f t="shared" si="52"/>
        <v>0</v>
      </c>
    </row>
    <row r="228" spans="1:19">
      <c r="A228" s="131"/>
      <c r="B228" s="132"/>
      <c r="C228" s="123">
        <f t="shared" si="43"/>
        <v>1</v>
      </c>
      <c r="D228" s="133"/>
      <c r="E228" s="123">
        <f t="shared" si="44"/>
        <v>1</v>
      </c>
      <c r="F228" s="133"/>
      <c r="G228" s="123">
        <f t="shared" si="45"/>
        <v>1</v>
      </c>
      <c r="H228" s="133"/>
      <c r="I228" s="123">
        <f t="shared" si="46"/>
        <v>1</v>
      </c>
      <c r="J228" s="133"/>
      <c r="K228" s="123">
        <f t="shared" si="47"/>
        <v>1</v>
      </c>
      <c r="L228" s="133"/>
      <c r="M228" s="123">
        <f t="shared" si="48"/>
        <v>1</v>
      </c>
      <c r="N228" s="133"/>
      <c r="O228" s="123">
        <f t="shared" si="49"/>
        <v>1</v>
      </c>
      <c r="P228" s="133"/>
      <c r="Q228" s="123">
        <f t="shared" si="50"/>
        <v>1</v>
      </c>
      <c r="R228" s="187">
        <f t="shared" si="51"/>
        <v>0</v>
      </c>
      <c r="S228" s="122">
        <f t="shared" si="52"/>
        <v>0</v>
      </c>
    </row>
    <row r="229" spans="1:19">
      <c r="A229" s="131"/>
      <c r="B229" s="132"/>
      <c r="C229" s="123">
        <f t="shared" si="43"/>
        <v>1</v>
      </c>
      <c r="D229" s="133"/>
      <c r="E229" s="123">
        <f t="shared" si="44"/>
        <v>1</v>
      </c>
      <c r="F229" s="133"/>
      <c r="G229" s="123">
        <f t="shared" si="45"/>
        <v>1</v>
      </c>
      <c r="H229" s="133"/>
      <c r="I229" s="123">
        <f t="shared" si="46"/>
        <v>1</v>
      </c>
      <c r="J229" s="133"/>
      <c r="K229" s="123">
        <f t="shared" si="47"/>
        <v>1</v>
      </c>
      <c r="L229" s="133"/>
      <c r="M229" s="123">
        <f t="shared" si="48"/>
        <v>1</v>
      </c>
      <c r="N229" s="133"/>
      <c r="O229" s="123">
        <f t="shared" si="49"/>
        <v>1</v>
      </c>
      <c r="P229" s="133"/>
      <c r="Q229" s="123">
        <f t="shared" si="50"/>
        <v>1</v>
      </c>
      <c r="R229" s="187">
        <f t="shared" si="51"/>
        <v>0</v>
      </c>
      <c r="S229" s="122">
        <f t="shared" si="52"/>
        <v>0</v>
      </c>
    </row>
    <row r="230" spans="1:19">
      <c r="A230" s="131"/>
      <c r="B230" s="132"/>
      <c r="C230" s="123">
        <f t="shared" si="43"/>
        <v>1</v>
      </c>
      <c r="D230" s="133"/>
      <c r="E230" s="123">
        <f t="shared" si="44"/>
        <v>1</v>
      </c>
      <c r="F230" s="133"/>
      <c r="G230" s="123">
        <f t="shared" si="45"/>
        <v>1</v>
      </c>
      <c r="H230" s="133"/>
      <c r="I230" s="123">
        <f t="shared" si="46"/>
        <v>1</v>
      </c>
      <c r="J230" s="133"/>
      <c r="K230" s="123">
        <f t="shared" si="47"/>
        <v>1</v>
      </c>
      <c r="L230" s="133"/>
      <c r="M230" s="123">
        <f t="shared" si="48"/>
        <v>1</v>
      </c>
      <c r="N230" s="133"/>
      <c r="O230" s="123">
        <f t="shared" si="49"/>
        <v>1</v>
      </c>
      <c r="P230" s="133"/>
      <c r="Q230" s="123">
        <f t="shared" si="50"/>
        <v>1</v>
      </c>
      <c r="R230" s="187">
        <f t="shared" si="51"/>
        <v>0</v>
      </c>
      <c r="S230" s="122">
        <f t="shared" si="52"/>
        <v>0</v>
      </c>
    </row>
    <row r="231" spans="1:19">
      <c r="A231" s="131"/>
      <c r="B231" s="132"/>
      <c r="C231" s="123">
        <f t="shared" si="43"/>
        <v>1</v>
      </c>
      <c r="D231" s="133"/>
      <c r="E231" s="123">
        <f t="shared" si="44"/>
        <v>1</v>
      </c>
      <c r="F231" s="133"/>
      <c r="G231" s="123">
        <f t="shared" si="45"/>
        <v>1</v>
      </c>
      <c r="H231" s="133"/>
      <c r="I231" s="123">
        <f t="shared" si="46"/>
        <v>1</v>
      </c>
      <c r="J231" s="133"/>
      <c r="K231" s="123">
        <f t="shared" si="47"/>
        <v>1</v>
      </c>
      <c r="L231" s="133"/>
      <c r="M231" s="123">
        <f t="shared" si="48"/>
        <v>1</v>
      </c>
      <c r="N231" s="133"/>
      <c r="O231" s="123">
        <f t="shared" si="49"/>
        <v>1</v>
      </c>
      <c r="P231" s="133"/>
      <c r="Q231" s="123">
        <f t="shared" si="50"/>
        <v>1</v>
      </c>
      <c r="R231" s="187">
        <f t="shared" si="51"/>
        <v>0</v>
      </c>
      <c r="S231" s="122">
        <f t="shared" si="52"/>
        <v>0</v>
      </c>
    </row>
    <row r="232" spans="1:19">
      <c r="A232" s="131"/>
      <c r="B232" s="132"/>
      <c r="C232" s="123">
        <f t="shared" si="43"/>
        <v>1</v>
      </c>
      <c r="D232" s="133"/>
      <c r="E232" s="123">
        <f t="shared" si="44"/>
        <v>1</v>
      </c>
      <c r="F232" s="133"/>
      <c r="G232" s="123">
        <f t="shared" si="45"/>
        <v>1</v>
      </c>
      <c r="H232" s="133"/>
      <c r="I232" s="123">
        <f t="shared" si="46"/>
        <v>1</v>
      </c>
      <c r="J232" s="133"/>
      <c r="K232" s="123">
        <f t="shared" si="47"/>
        <v>1</v>
      </c>
      <c r="L232" s="133"/>
      <c r="M232" s="123">
        <f t="shared" si="48"/>
        <v>1</v>
      </c>
      <c r="N232" s="133"/>
      <c r="O232" s="123">
        <f t="shared" si="49"/>
        <v>1</v>
      </c>
      <c r="P232" s="133"/>
      <c r="Q232" s="123">
        <f t="shared" si="50"/>
        <v>1</v>
      </c>
      <c r="R232" s="187">
        <f t="shared" si="51"/>
        <v>0</v>
      </c>
      <c r="S232" s="122">
        <f t="shared" si="52"/>
        <v>0</v>
      </c>
    </row>
    <row r="233" spans="1:19">
      <c r="A233" s="131"/>
      <c r="B233" s="132"/>
      <c r="C233" s="123">
        <f t="shared" si="43"/>
        <v>1</v>
      </c>
      <c r="D233" s="133"/>
      <c r="E233" s="123">
        <f t="shared" si="44"/>
        <v>1</v>
      </c>
      <c r="F233" s="133"/>
      <c r="G233" s="123">
        <f t="shared" si="45"/>
        <v>1</v>
      </c>
      <c r="H233" s="133"/>
      <c r="I233" s="123">
        <f t="shared" si="46"/>
        <v>1</v>
      </c>
      <c r="J233" s="133"/>
      <c r="K233" s="123">
        <f t="shared" si="47"/>
        <v>1</v>
      </c>
      <c r="L233" s="133"/>
      <c r="M233" s="123">
        <f t="shared" si="48"/>
        <v>1</v>
      </c>
      <c r="N233" s="133"/>
      <c r="O233" s="123">
        <f t="shared" si="49"/>
        <v>1</v>
      </c>
      <c r="P233" s="133"/>
      <c r="Q233" s="123">
        <f t="shared" si="50"/>
        <v>1</v>
      </c>
      <c r="R233" s="187">
        <f t="shared" si="51"/>
        <v>0</v>
      </c>
      <c r="S233" s="122">
        <f t="shared" si="52"/>
        <v>0</v>
      </c>
    </row>
    <row r="234" spans="1:19">
      <c r="A234" s="131"/>
      <c r="B234" s="132"/>
      <c r="C234" s="123">
        <f t="shared" si="43"/>
        <v>1</v>
      </c>
      <c r="D234" s="133"/>
      <c r="E234" s="123">
        <f t="shared" si="44"/>
        <v>1</v>
      </c>
      <c r="F234" s="133"/>
      <c r="G234" s="123">
        <f t="shared" si="45"/>
        <v>1</v>
      </c>
      <c r="H234" s="133"/>
      <c r="I234" s="123">
        <f t="shared" si="46"/>
        <v>1</v>
      </c>
      <c r="J234" s="133"/>
      <c r="K234" s="123">
        <f t="shared" si="47"/>
        <v>1</v>
      </c>
      <c r="L234" s="133"/>
      <c r="M234" s="123">
        <f t="shared" si="48"/>
        <v>1</v>
      </c>
      <c r="N234" s="133"/>
      <c r="O234" s="123">
        <f t="shared" si="49"/>
        <v>1</v>
      </c>
      <c r="P234" s="133"/>
      <c r="Q234" s="123">
        <f t="shared" si="50"/>
        <v>1</v>
      </c>
      <c r="R234" s="187">
        <f t="shared" si="51"/>
        <v>0</v>
      </c>
      <c r="S234" s="122">
        <f t="shared" si="52"/>
        <v>0</v>
      </c>
    </row>
    <row r="235" spans="1:19">
      <c r="A235" s="131"/>
      <c r="B235" s="132"/>
      <c r="C235" s="123">
        <f t="shared" si="43"/>
        <v>1</v>
      </c>
      <c r="D235" s="133"/>
      <c r="E235" s="123">
        <f t="shared" si="44"/>
        <v>1</v>
      </c>
      <c r="F235" s="133"/>
      <c r="G235" s="123">
        <f t="shared" si="45"/>
        <v>1</v>
      </c>
      <c r="H235" s="133"/>
      <c r="I235" s="123">
        <f t="shared" si="46"/>
        <v>1</v>
      </c>
      <c r="J235" s="133"/>
      <c r="K235" s="123">
        <f t="shared" si="47"/>
        <v>1</v>
      </c>
      <c r="L235" s="133"/>
      <c r="M235" s="123">
        <f t="shared" si="48"/>
        <v>1</v>
      </c>
      <c r="N235" s="133"/>
      <c r="O235" s="123">
        <f t="shared" si="49"/>
        <v>1</v>
      </c>
      <c r="P235" s="133"/>
      <c r="Q235" s="123">
        <f t="shared" si="50"/>
        <v>1</v>
      </c>
      <c r="R235" s="187">
        <f t="shared" si="51"/>
        <v>0</v>
      </c>
      <c r="S235" s="122">
        <f t="shared" si="52"/>
        <v>0</v>
      </c>
    </row>
    <row r="236" spans="1:19">
      <c r="A236" s="131"/>
      <c r="B236" s="132"/>
      <c r="C236" s="123">
        <f t="shared" si="43"/>
        <v>1</v>
      </c>
      <c r="D236" s="133"/>
      <c r="E236" s="123">
        <f t="shared" si="44"/>
        <v>1</v>
      </c>
      <c r="F236" s="133"/>
      <c r="G236" s="123">
        <f t="shared" si="45"/>
        <v>1</v>
      </c>
      <c r="H236" s="133"/>
      <c r="I236" s="123">
        <f t="shared" si="46"/>
        <v>1</v>
      </c>
      <c r="J236" s="133"/>
      <c r="K236" s="123">
        <f t="shared" si="47"/>
        <v>1</v>
      </c>
      <c r="L236" s="133"/>
      <c r="M236" s="123">
        <f t="shared" si="48"/>
        <v>1</v>
      </c>
      <c r="N236" s="133"/>
      <c r="O236" s="123">
        <f t="shared" si="49"/>
        <v>1</v>
      </c>
      <c r="P236" s="133"/>
      <c r="Q236" s="123">
        <f t="shared" si="50"/>
        <v>1</v>
      </c>
      <c r="R236" s="187">
        <f t="shared" si="51"/>
        <v>0</v>
      </c>
      <c r="S236" s="122">
        <f t="shared" si="52"/>
        <v>0</v>
      </c>
    </row>
    <row r="237" spans="1:19">
      <c r="A237" s="131"/>
      <c r="B237" s="132"/>
      <c r="C237" s="123">
        <f t="shared" si="43"/>
        <v>1</v>
      </c>
      <c r="D237" s="133"/>
      <c r="E237" s="123">
        <f t="shared" si="44"/>
        <v>1</v>
      </c>
      <c r="F237" s="133"/>
      <c r="G237" s="123">
        <f t="shared" si="45"/>
        <v>1</v>
      </c>
      <c r="H237" s="133"/>
      <c r="I237" s="123">
        <f t="shared" si="46"/>
        <v>1</v>
      </c>
      <c r="J237" s="133"/>
      <c r="K237" s="123">
        <f t="shared" si="47"/>
        <v>1</v>
      </c>
      <c r="L237" s="133"/>
      <c r="M237" s="123">
        <f t="shared" si="48"/>
        <v>1</v>
      </c>
      <c r="N237" s="133"/>
      <c r="O237" s="123">
        <f t="shared" si="49"/>
        <v>1</v>
      </c>
      <c r="P237" s="133"/>
      <c r="Q237" s="123">
        <f t="shared" si="50"/>
        <v>1</v>
      </c>
      <c r="R237" s="187">
        <f t="shared" si="51"/>
        <v>0</v>
      </c>
      <c r="S237" s="122">
        <f t="shared" si="52"/>
        <v>0</v>
      </c>
    </row>
    <row r="238" spans="1:19">
      <c r="A238" s="131"/>
      <c r="B238" s="132"/>
      <c r="C238" s="123">
        <f t="shared" si="43"/>
        <v>1</v>
      </c>
      <c r="D238" s="133"/>
      <c r="E238" s="123">
        <f t="shared" si="44"/>
        <v>1</v>
      </c>
      <c r="F238" s="133"/>
      <c r="G238" s="123">
        <f t="shared" si="45"/>
        <v>1</v>
      </c>
      <c r="H238" s="133"/>
      <c r="I238" s="123">
        <f t="shared" si="46"/>
        <v>1</v>
      </c>
      <c r="J238" s="133"/>
      <c r="K238" s="123">
        <f t="shared" si="47"/>
        <v>1</v>
      </c>
      <c r="L238" s="133"/>
      <c r="M238" s="123">
        <f t="shared" si="48"/>
        <v>1</v>
      </c>
      <c r="N238" s="133"/>
      <c r="O238" s="123">
        <f t="shared" si="49"/>
        <v>1</v>
      </c>
      <c r="P238" s="133"/>
      <c r="Q238" s="123">
        <f t="shared" si="50"/>
        <v>1</v>
      </c>
      <c r="R238" s="187">
        <f t="shared" si="51"/>
        <v>0</v>
      </c>
      <c r="S238" s="122">
        <f t="shared" si="52"/>
        <v>0</v>
      </c>
    </row>
    <row r="239" spans="1:19">
      <c r="A239" s="131"/>
      <c r="B239" s="132"/>
      <c r="C239" s="123">
        <f t="shared" si="43"/>
        <v>1</v>
      </c>
      <c r="D239" s="133"/>
      <c r="E239" s="123">
        <f t="shared" si="44"/>
        <v>1</v>
      </c>
      <c r="F239" s="133"/>
      <c r="G239" s="123">
        <f t="shared" si="45"/>
        <v>1</v>
      </c>
      <c r="H239" s="133"/>
      <c r="I239" s="123">
        <f t="shared" si="46"/>
        <v>1</v>
      </c>
      <c r="J239" s="133"/>
      <c r="K239" s="123">
        <f t="shared" si="47"/>
        <v>1</v>
      </c>
      <c r="L239" s="133"/>
      <c r="M239" s="123">
        <f t="shared" si="48"/>
        <v>1</v>
      </c>
      <c r="N239" s="133"/>
      <c r="O239" s="123">
        <f t="shared" si="49"/>
        <v>1</v>
      </c>
      <c r="P239" s="133"/>
      <c r="Q239" s="123">
        <f t="shared" si="50"/>
        <v>1</v>
      </c>
      <c r="R239" s="187">
        <f t="shared" si="51"/>
        <v>0</v>
      </c>
      <c r="S239" s="122">
        <f t="shared" si="52"/>
        <v>0</v>
      </c>
    </row>
    <row r="240" spans="1:19">
      <c r="A240" s="131"/>
      <c r="B240" s="132"/>
      <c r="C240" s="123">
        <f t="shared" si="43"/>
        <v>1</v>
      </c>
      <c r="D240" s="133"/>
      <c r="E240" s="123">
        <f t="shared" si="44"/>
        <v>1</v>
      </c>
      <c r="F240" s="133"/>
      <c r="G240" s="123">
        <f t="shared" si="45"/>
        <v>1</v>
      </c>
      <c r="H240" s="133"/>
      <c r="I240" s="123">
        <f t="shared" si="46"/>
        <v>1</v>
      </c>
      <c r="J240" s="133"/>
      <c r="K240" s="123">
        <f t="shared" si="47"/>
        <v>1</v>
      </c>
      <c r="L240" s="133"/>
      <c r="M240" s="123">
        <f t="shared" si="48"/>
        <v>1</v>
      </c>
      <c r="N240" s="133"/>
      <c r="O240" s="123">
        <f t="shared" si="49"/>
        <v>1</v>
      </c>
      <c r="P240" s="133"/>
      <c r="Q240" s="123">
        <f t="shared" si="50"/>
        <v>1</v>
      </c>
      <c r="R240" s="187">
        <f t="shared" si="51"/>
        <v>0</v>
      </c>
      <c r="S240" s="122">
        <f t="shared" si="52"/>
        <v>0</v>
      </c>
    </row>
    <row r="241" spans="1:19">
      <c r="A241" s="131"/>
      <c r="B241" s="132"/>
      <c r="C241" s="123">
        <f t="shared" si="43"/>
        <v>1</v>
      </c>
      <c r="D241" s="133"/>
      <c r="E241" s="123">
        <f t="shared" si="44"/>
        <v>1</v>
      </c>
      <c r="F241" s="133"/>
      <c r="G241" s="123">
        <f t="shared" si="45"/>
        <v>1</v>
      </c>
      <c r="H241" s="133"/>
      <c r="I241" s="123">
        <f t="shared" si="46"/>
        <v>1</v>
      </c>
      <c r="J241" s="133"/>
      <c r="K241" s="123">
        <f t="shared" si="47"/>
        <v>1</v>
      </c>
      <c r="L241" s="133"/>
      <c r="M241" s="123">
        <f t="shared" si="48"/>
        <v>1</v>
      </c>
      <c r="N241" s="133"/>
      <c r="O241" s="123">
        <f t="shared" si="49"/>
        <v>1</v>
      </c>
      <c r="P241" s="133"/>
      <c r="Q241" s="123">
        <f t="shared" si="50"/>
        <v>1</v>
      </c>
      <c r="R241" s="187">
        <f t="shared" si="51"/>
        <v>0</v>
      </c>
      <c r="S241" s="122">
        <f t="shared" si="52"/>
        <v>0</v>
      </c>
    </row>
    <row r="242" spans="1:19">
      <c r="A242" s="131"/>
      <c r="B242" s="132"/>
      <c r="C242" s="123">
        <f t="shared" si="43"/>
        <v>1</v>
      </c>
      <c r="D242" s="133"/>
      <c r="E242" s="123">
        <f t="shared" si="44"/>
        <v>1</v>
      </c>
      <c r="F242" s="133"/>
      <c r="G242" s="123">
        <f t="shared" si="45"/>
        <v>1</v>
      </c>
      <c r="H242" s="133"/>
      <c r="I242" s="123">
        <f t="shared" si="46"/>
        <v>1</v>
      </c>
      <c r="J242" s="133"/>
      <c r="K242" s="123">
        <f t="shared" si="47"/>
        <v>1</v>
      </c>
      <c r="L242" s="133"/>
      <c r="M242" s="123">
        <f t="shared" si="48"/>
        <v>1</v>
      </c>
      <c r="N242" s="133"/>
      <c r="O242" s="123">
        <f t="shared" si="49"/>
        <v>1</v>
      </c>
      <c r="P242" s="133"/>
      <c r="Q242" s="123">
        <f t="shared" si="50"/>
        <v>1</v>
      </c>
      <c r="R242" s="187">
        <f t="shared" si="51"/>
        <v>0</v>
      </c>
      <c r="S242" s="122">
        <f t="shared" si="52"/>
        <v>0</v>
      </c>
    </row>
    <row r="243" spans="1:19">
      <c r="A243" s="131"/>
      <c r="B243" s="132"/>
      <c r="C243" s="123">
        <f t="shared" si="43"/>
        <v>1</v>
      </c>
      <c r="D243" s="133"/>
      <c r="E243" s="123">
        <f t="shared" si="44"/>
        <v>1</v>
      </c>
      <c r="F243" s="133"/>
      <c r="G243" s="123">
        <f t="shared" si="45"/>
        <v>1</v>
      </c>
      <c r="H243" s="133"/>
      <c r="I243" s="123">
        <f t="shared" si="46"/>
        <v>1</v>
      </c>
      <c r="J243" s="133"/>
      <c r="K243" s="123">
        <f t="shared" si="47"/>
        <v>1</v>
      </c>
      <c r="L243" s="133"/>
      <c r="M243" s="123">
        <f t="shared" si="48"/>
        <v>1</v>
      </c>
      <c r="N243" s="133"/>
      <c r="O243" s="123">
        <f t="shared" si="49"/>
        <v>1</v>
      </c>
      <c r="P243" s="133"/>
      <c r="Q243" s="123">
        <f t="shared" si="50"/>
        <v>1</v>
      </c>
      <c r="R243" s="187">
        <f t="shared" si="51"/>
        <v>0</v>
      </c>
      <c r="S243" s="122">
        <f t="shared" si="52"/>
        <v>0</v>
      </c>
    </row>
    <row r="244" spans="1:19">
      <c r="A244" s="131"/>
      <c r="B244" s="132"/>
      <c r="C244" s="123">
        <f t="shared" si="43"/>
        <v>1</v>
      </c>
      <c r="D244" s="133"/>
      <c r="E244" s="123">
        <f t="shared" si="44"/>
        <v>1</v>
      </c>
      <c r="F244" s="133"/>
      <c r="G244" s="123">
        <f t="shared" si="45"/>
        <v>1</v>
      </c>
      <c r="H244" s="133"/>
      <c r="I244" s="123">
        <f t="shared" si="46"/>
        <v>1</v>
      </c>
      <c r="J244" s="133"/>
      <c r="K244" s="123">
        <f t="shared" si="47"/>
        <v>1</v>
      </c>
      <c r="L244" s="133"/>
      <c r="M244" s="123">
        <f t="shared" si="48"/>
        <v>1</v>
      </c>
      <c r="N244" s="133"/>
      <c r="O244" s="123">
        <f t="shared" si="49"/>
        <v>1</v>
      </c>
      <c r="P244" s="133"/>
      <c r="Q244" s="123">
        <f t="shared" si="50"/>
        <v>1</v>
      </c>
      <c r="R244" s="187">
        <f t="shared" si="51"/>
        <v>0</v>
      </c>
      <c r="S244" s="122">
        <f t="shared" si="52"/>
        <v>0</v>
      </c>
    </row>
    <row r="245" spans="1:19">
      <c r="A245" s="131"/>
      <c r="B245" s="132"/>
      <c r="C245" s="123">
        <f t="shared" si="43"/>
        <v>1</v>
      </c>
      <c r="D245" s="133"/>
      <c r="E245" s="123">
        <f t="shared" si="44"/>
        <v>1</v>
      </c>
      <c r="F245" s="133"/>
      <c r="G245" s="123">
        <f t="shared" si="45"/>
        <v>1</v>
      </c>
      <c r="H245" s="133"/>
      <c r="I245" s="123">
        <f t="shared" si="46"/>
        <v>1</v>
      </c>
      <c r="J245" s="133"/>
      <c r="K245" s="123">
        <f t="shared" si="47"/>
        <v>1</v>
      </c>
      <c r="L245" s="133"/>
      <c r="M245" s="123">
        <f t="shared" si="48"/>
        <v>1</v>
      </c>
      <c r="N245" s="133"/>
      <c r="O245" s="123">
        <f t="shared" si="49"/>
        <v>1</v>
      </c>
      <c r="P245" s="133"/>
      <c r="Q245" s="123">
        <f t="shared" si="50"/>
        <v>1</v>
      </c>
      <c r="R245" s="187">
        <f t="shared" si="51"/>
        <v>0</v>
      </c>
      <c r="S245" s="122">
        <f t="shared" si="52"/>
        <v>0</v>
      </c>
    </row>
    <row r="246" spans="1:19">
      <c r="A246" s="131"/>
      <c r="B246" s="132"/>
      <c r="C246" s="123">
        <f t="shared" si="43"/>
        <v>1</v>
      </c>
      <c r="D246" s="133"/>
      <c r="E246" s="123">
        <f t="shared" si="44"/>
        <v>1</v>
      </c>
      <c r="F246" s="133"/>
      <c r="G246" s="123">
        <f t="shared" si="45"/>
        <v>1</v>
      </c>
      <c r="H246" s="133"/>
      <c r="I246" s="123">
        <f t="shared" si="46"/>
        <v>1</v>
      </c>
      <c r="J246" s="133"/>
      <c r="K246" s="123">
        <f t="shared" si="47"/>
        <v>1</v>
      </c>
      <c r="L246" s="133"/>
      <c r="M246" s="123">
        <f t="shared" si="48"/>
        <v>1</v>
      </c>
      <c r="N246" s="133"/>
      <c r="O246" s="123">
        <f t="shared" si="49"/>
        <v>1</v>
      </c>
      <c r="P246" s="133"/>
      <c r="Q246" s="123">
        <f t="shared" si="50"/>
        <v>1</v>
      </c>
      <c r="R246" s="187">
        <f t="shared" si="51"/>
        <v>0</v>
      </c>
      <c r="S246" s="122">
        <f t="shared" si="52"/>
        <v>0</v>
      </c>
    </row>
    <row r="247" spans="1:19">
      <c r="A247" s="131"/>
      <c r="B247" s="132"/>
      <c r="C247" s="123">
        <f t="shared" si="43"/>
        <v>1</v>
      </c>
      <c r="D247" s="133"/>
      <c r="E247" s="123">
        <f t="shared" si="44"/>
        <v>1</v>
      </c>
      <c r="F247" s="133"/>
      <c r="G247" s="123">
        <f t="shared" si="45"/>
        <v>1</v>
      </c>
      <c r="H247" s="133"/>
      <c r="I247" s="123">
        <f t="shared" si="46"/>
        <v>1</v>
      </c>
      <c r="J247" s="133"/>
      <c r="K247" s="123">
        <f t="shared" si="47"/>
        <v>1</v>
      </c>
      <c r="L247" s="133"/>
      <c r="M247" s="123">
        <f t="shared" si="48"/>
        <v>1</v>
      </c>
      <c r="N247" s="133"/>
      <c r="O247" s="123">
        <f t="shared" si="49"/>
        <v>1</v>
      </c>
      <c r="P247" s="133"/>
      <c r="Q247" s="123">
        <f t="shared" si="50"/>
        <v>1</v>
      </c>
      <c r="R247" s="187">
        <f t="shared" si="51"/>
        <v>0</v>
      </c>
      <c r="S247" s="122">
        <f t="shared" si="52"/>
        <v>0</v>
      </c>
    </row>
    <row r="248" spans="1:19">
      <c r="A248" s="131"/>
      <c r="B248" s="132"/>
      <c r="C248" s="123">
        <f t="shared" si="43"/>
        <v>1</v>
      </c>
      <c r="D248" s="133"/>
      <c r="E248" s="123">
        <f t="shared" si="44"/>
        <v>1</v>
      </c>
      <c r="F248" s="133"/>
      <c r="G248" s="123">
        <f t="shared" si="45"/>
        <v>1</v>
      </c>
      <c r="H248" s="133"/>
      <c r="I248" s="123">
        <f t="shared" si="46"/>
        <v>1</v>
      </c>
      <c r="J248" s="133"/>
      <c r="K248" s="123">
        <f t="shared" si="47"/>
        <v>1</v>
      </c>
      <c r="L248" s="133"/>
      <c r="M248" s="123">
        <f t="shared" si="48"/>
        <v>1</v>
      </c>
      <c r="N248" s="133"/>
      <c r="O248" s="123">
        <f t="shared" si="49"/>
        <v>1</v>
      </c>
      <c r="P248" s="133"/>
      <c r="Q248" s="123">
        <f t="shared" si="50"/>
        <v>1</v>
      </c>
      <c r="R248" s="187">
        <f t="shared" si="51"/>
        <v>0</v>
      </c>
      <c r="S248" s="122">
        <f t="shared" si="52"/>
        <v>0</v>
      </c>
    </row>
    <row r="249" spans="1:19">
      <c r="A249" s="131"/>
      <c r="B249" s="132"/>
      <c r="C249" s="123">
        <f t="shared" si="43"/>
        <v>1</v>
      </c>
      <c r="D249" s="133"/>
      <c r="E249" s="123">
        <f t="shared" si="44"/>
        <v>1</v>
      </c>
      <c r="F249" s="133"/>
      <c r="G249" s="123">
        <f t="shared" si="45"/>
        <v>1</v>
      </c>
      <c r="H249" s="133"/>
      <c r="I249" s="123">
        <f t="shared" si="46"/>
        <v>1</v>
      </c>
      <c r="J249" s="133"/>
      <c r="K249" s="123">
        <f t="shared" si="47"/>
        <v>1</v>
      </c>
      <c r="L249" s="133"/>
      <c r="M249" s="123">
        <f t="shared" si="48"/>
        <v>1</v>
      </c>
      <c r="N249" s="133"/>
      <c r="O249" s="123">
        <f t="shared" si="49"/>
        <v>1</v>
      </c>
      <c r="P249" s="133"/>
      <c r="Q249" s="123">
        <f t="shared" si="50"/>
        <v>1</v>
      </c>
      <c r="R249" s="187">
        <f t="shared" si="51"/>
        <v>0</v>
      </c>
      <c r="S249" s="122">
        <f t="shared" si="52"/>
        <v>0</v>
      </c>
    </row>
    <row r="250" spans="1:19">
      <c r="A250" s="131"/>
      <c r="B250" s="132"/>
      <c r="C250" s="123">
        <f t="shared" si="43"/>
        <v>1</v>
      </c>
      <c r="D250" s="133"/>
      <c r="E250" s="123">
        <f t="shared" si="44"/>
        <v>1</v>
      </c>
      <c r="F250" s="133"/>
      <c r="G250" s="123">
        <f t="shared" si="45"/>
        <v>1</v>
      </c>
      <c r="H250" s="133"/>
      <c r="I250" s="123">
        <f t="shared" si="46"/>
        <v>1</v>
      </c>
      <c r="J250" s="133"/>
      <c r="K250" s="123">
        <f t="shared" si="47"/>
        <v>1</v>
      </c>
      <c r="L250" s="133"/>
      <c r="M250" s="123">
        <f t="shared" si="48"/>
        <v>1</v>
      </c>
      <c r="N250" s="133"/>
      <c r="O250" s="123">
        <f t="shared" si="49"/>
        <v>1</v>
      </c>
      <c r="P250" s="133"/>
      <c r="Q250" s="123">
        <f t="shared" si="50"/>
        <v>1</v>
      </c>
      <c r="R250" s="187">
        <f t="shared" si="51"/>
        <v>0</v>
      </c>
      <c r="S250" s="122">
        <f t="shared" si="52"/>
        <v>0</v>
      </c>
    </row>
    <row r="251" spans="1:19">
      <c r="A251" s="131"/>
      <c r="B251" s="132"/>
      <c r="C251" s="123">
        <f t="shared" si="43"/>
        <v>1</v>
      </c>
      <c r="D251" s="133"/>
      <c r="E251" s="123">
        <f t="shared" si="44"/>
        <v>1</v>
      </c>
      <c r="F251" s="133"/>
      <c r="G251" s="123">
        <f t="shared" si="45"/>
        <v>1</v>
      </c>
      <c r="H251" s="133"/>
      <c r="I251" s="123">
        <f t="shared" si="46"/>
        <v>1</v>
      </c>
      <c r="J251" s="133"/>
      <c r="K251" s="123">
        <f t="shared" si="47"/>
        <v>1</v>
      </c>
      <c r="L251" s="133"/>
      <c r="M251" s="123">
        <f t="shared" si="48"/>
        <v>1</v>
      </c>
      <c r="N251" s="133"/>
      <c r="O251" s="123">
        <f t="shared" si="49"/>
        <v>1</v>
      </c>
      <c r="P251" s="133"/>
      <c r="Q251" s="123">
        <f t="shared" si="50"/>
        <v>1</v>
      </c>
      <c r="R251" s="187">
        <f t="shared" si="51"/>
        <v>0</v>
      </c>
      <c r="S251" s="122">
        <f t="shared" si="52"/>
        <v>0</v>
      </c>
    </row>
    <row r="252" spans="1:19">
      <c r="A252" s="131"/>
      <c r="B252" s="132"/>
      <c r="C252" s="123">
        <f t="shared" si="43"/>
        <v>1</v>
      </c>
      <c r="D252" s="133"/>
      <c r="E252" s="123">
        <f t="shared" si="44"/>
        <v>1</v>
      </c>
      <c r="F252" s="133"/>
      <c r="G252" s="123">
        <f t="shared" si="45"/>
        <v>1</v>
      </c>
      <c r="H252" s="133"/>
      <c r="I252" s="123">
        <f t="shared" si="46"/>
        <v>1</v>
      </c>
      <c r="J252" s="133"/>
      <c r="K252" s="123">
        <f t="shared" si="47"/>
        <v>1</v>
      </c>
      <c r="L252" s="133"/>
      <c r="M252" s="123">
        <f t="shared" si="48"/>
        <v>1</v>
      </c>
      <c r="N252" s="133"/>
      <c r="O252" s="123">
        <f t="shared" si="49"/>
        <v>1</v>
      </c>
      <c r="P252" s="133"/>
      <c r="Q252" s="123">
        <f t="shared" si="50"/>
        <v>1</v>
      </c>
      <c r="R252" s="187">
        <f t="shared" si="51"/>
        <v>0</v>
      </c>
      <c r="S252" s="122">
        <f t="shared" si="52"/>
        <v>0</v>
      </c>
    </row>
    <row r="253" spans="1:19">
      <c r="A253" s="131"/>
      <c r="B253" s="132"/>
      <c r="C253" s="123">
        <f t="shared" si="43"/>
        <v>1</v>
      </c>
      <c r="D253" s="133"/>
      <c r="E253" s="123">
        <f t="shared" si="44"/>
        <v>1</v>
      </c>
      <c r="F253" s="133"/>
      <c r="G253" s="123">
        <f t="shared" si="45"/>
        <v>1</v>
      </c>
      <c r="H253" s="133"/>
      <c r="I253" s="123">
        <f t="shared" si="46"/>
        <v>1</v>
      </c>
      <c r="J253" s="133"/>
      <c r="K253" s="123">
        <f t="shared" si="47"/>
        <v>1</v>
      </c>
      <c r="L253" s="133"/>
      <c r="M253" s="123">
        <f t="shared" si="48"/>
        <v>1</v>
      </c>
      <c r="N253" s="133"/>
      <c r="O253" s="123">
        <f t="shared" si="49"/>
        <v>1</v>
      </c>
      <c r="P253" s="133"/>
      <c r="Q253" s="123">
        <f t="shared" si="50"/>
        <v>1</v>
      </c>
      <c r="R253" s="187">
        <f t="shared" si="51"/>
        <v>0</v>
      </c>
      <c r="S253" s="122">
        <f t="shared" si="52"/>
        <v>0</v>
      </c>
    </row>
    <row r="254" spans="1:19">
      <c r="A254" s="131"/>
      <c r="B254" s="132"/>
      <c r="C254" s="123">
        <f t="shared" si="43"/>
        <v>1</v>
      </c>
      <c r="D254" s="133"/>
      <c r="E254" s="123">
        <f t="shared" si="44"/>
        <v>1</v>
      </c>
      <c r="F254" s="133"/>
      <c r="G254" s="123">
        <f t="shared" si="45"/>
        <v>1</v>
      </c>
      <c r="H254" s="133"/>
      <c r="I254" s="123">
        <f t="shared" si="46"/>
        <v>1</v>
      </c>
      <c r="J254" s="133"/>
      <c r="K254" s="123">
        <f t="shared" si="47"/>
        <v>1</v>
      </c>
      <c r="L254" s="133"/>
      <c r="M254" s="123">
        <f t="shared" si="48"/>
        <v>1</v>
      </c>
      <c r="N254" s="133"/>
      <c r="O254" s="123">
        <f t="shared" si="49"/>
        <v>1</v>
      </c>
      <c r="P254" s="133"/>
      <c r="Q254" s="123">
        <f t="shared" si="50"/>
        <v>1</v>
      </c>
      <c r="R254" s="187">
        <f t="shared" si="51"/>
        <v>0</v>
      </c>
      <c r="S254" s="122">
        <f t="shared" si="52"/>
        <v>0</v>
      </c>
    </row>
    <row r="255" spans="1:19">
      <c r="A255" s="131"/>
      <c r="B255" s="132"/>
      <c r="C255" s="123">
        <f t="shared" si="43"/>
        <v>1</v>
      </c>
      <c r="D255" s="133"/>
      <c r="E255" s="123">
        <f t="shared" si="44"/>
        <v>1</v>
      </c>
      <c r="F255" s="133"/>
      <c r="G255" s="123">
        <f t="shared" si="45"/>
        <v>1</v>
      </c>
      <c r="H255" s="133"/>
      <c r="I255" s="123">
        <f t="shared" si="46"/>
        <v>1</v>
      </c>
      <c r="J255" s="133"/>
      <c r="K255" s="123">
        <f t="shared" si="47"/>
        <v>1</v>
      </c>
      <c r="L255" s="133"/>
      <c r="M255" s="123">
        <f t="shared" si="48"/>
        <v>1</v>
      </c>
      <c r="N255" s="133"/>
      <c r="O255" s="123">
        <f t="shared" si="49"/>
        <v>1</v>
      </c>
      <c r="P255" s="133"/>
      <c r="Q255" s="123">
        <f t="shared" si="50"/>
        <v>1</v>
      </c>
      <c r="R255" s="187">
        <f t="shared" si="51"/>
        <v>0</v>
      </c>
      <c r="S255" s="122">
        <f t="shared" si="52"/>
        <v>0</v>
      </c>
    </row>
    <row r="256" spans="1:19">
      <c r="A256" s="131"/>
      <c r="B256" s="132"/>
      <c r="C256" s="123">
        <f t="shared" si="43"/>
        <v>1</v>
      </c>
      <c r="D256" s="133"/>
      <c r="E256" s="123">
        <f t="shared" si="44"/>
        <v>1</v>
      </c>
      <c r="F256" s="133"/>
      <c r="G256" s="123">
        <f t="shared" si="45"/>
        <v>1</v>
      </c>
      <c r="H256" s="133"/>
      <c r="I256" s="123">
        <f t="shared" si="46"/>
        <v>1</v>
      </c>
      <c r="J256" s="133"/>
      <c r="K256" s="123">
        <f t="shared" si="47"/>
        <v>1</v>
      </c>
      <c r="L256" s="133"/>
      <c r="M256" s="123">
        <f t="shared" si="48"/>
        <v>1</v>
      </c>
      <c r="N256" s="133"/>
      <c r="O256" s="123">
        <f t="shared" si="49"/>
        <v>1</v>
      </c>
      <c r="P256" s="133"/>
      <c r="Q256" s="123">
        <f t="shared" si="50"/>
        <v>1</v>
      </c>
      <c r="R256" s="187">
        <f t="shared" si="51"/>
        <v>0</v>
      </c>
      <c r="S256" s="122">
        <f t="shared" si="52"/>
        <v>0</v>
      </c>
    </row>
    <row r="257" spans="1:19">
      <c r="A257" s="131"/>
      <c r="B257" s="132"/>
      <c r="C257" s="123">
        <f t="shared" si="43"/>
        <v>1</v>
      </c>
      <c r="D257" s="133"/>
      <c r="E257" s="123">
        <f t="shared" si="44"/>
        <v>1</v>
      </c>
      <c r="F257" s="133"/>
      <c r="G257" s="123">
        <f t="shared" si="45"/>
        <v>1</v>
      </c>
      <c r="H257" s="133"/>
      <c r="I257" s="123">
        <f t="shared" si="46"/>
        <v>1</v>
      </c>
      <c r="J257" s="133"/>
      <c r="K257" s="123">
        <f t="shared" si="47"/>
        <v>1</v>
      </c>
      <c r="L257" s="133"/>
      <c r="M257" s="123">
        <f t="shared" si="48"/>
        <v>1</v>
      </c>
      <c r="N257" s="133"/>
      <c r="O257" s="123">
        <f t="shared" si="49"/>
        <v>1</v>
      </c>
      <c r="P257" s="133"/>
      <c r="Q257" s="123">
        <f t="shared" si="50"/>
        <v>1</v>
      </c>
      <c r="R257" s="187">
        <f t="shared" si="51"/>
        <v>0</v>
      </c>
      <c r="S257" s="122">
        <f t="shared" si="52"/>
        <v>0</v>
      </c>
    </row>
    <row r="258" spans="1:19">
      <c r="A258" s="131"/>
      <c r="B258" s="132"/>
      <c r="C258" s="123">
        <f t="shared" si="43"/>
        <v>1</v>
      </c>
      <c r="D258" s="133"/>
      <c r="E258" s="123">
        <f t="shared" si="44"/>
        <v>1</v>
      </c>
      <c r="F258" s="133"/>
      <c r="G258" s="123">
        <f t="shared" si="45"/>
        <v>1</v>
      </c>
      <c r="H258" s="133"/>
      <c r="I258" s="123">
        <f t="shared" si="46"/>
        <v>1</v>
      </c>
      <c r="J258" s="133"/>
      <c r="K258" s="123">
        <f t="shared" si="47"/>
        <v>1</v>
      </c>
      <c r="L258" s="133"/>
      <c r="M258" s="123">
        <f t="shared" si="48"/>
        <v>1</v>
      </c>
      <c r="N258" s="133"/>
      <c r="O258" s="123">
        <f t="shared" si="49"/>
        <v>1</v>
      </c>
      <c r="P258" s="133"/>
      <c r="Q258" s="123">
        <f t="shared" si="50"/>
        <v>1</v>
      </c>
      <c r="R258" s="187">
        <f t="shared" si="51"/>
        <v>0</v>
      </c>
      <c r="S258" s="122">
        <f t="shared" si="52"/>
        <v>0</v>
      </c>
    </row>
    <row r="259" spans="1:19">
      <c r="A259" s="131"/>
      <c r="B259" s="132"/>
      <c r="C259" s="123">
        <f t="shared" si="43"/>
        <v>1</v>
      </c>
      <c r="D259" s="133"/>
      <c r="E259" s="123">
        <f t="shared" si="44"/>
        <v>1</v>
      </c>
      <c r="F259" s="133"/>
      <c r="G259" s="123">
        <f t="shared" si="45"/>
        <v>1</v>
      </c>
      <c r="H259" s="133"/>
      <c r="I259" s="123">
        <f t="shared" si="46"/>
        <v>1</v>
      </c>
      <c r="J259" s="133"/>
      <c r="K259" s="123">
        <f t="shared" si="47"/>
        <v>1</v>
      </c>
      <c r="L259" s="133"/>
      <c r="M259" s="123">
        <f t="shared" si="48"/>
        <v>1</v>
      </c>
      <c r="N259" s="133"/>
      <c r="O259" s="123">
        <f t="shared" si="49"/>
        <v>1</v>
      </c>
      <c r="P259" s="133"/>
      <c r="Q259" s="123">
        <f t="shared" si="50"/>
        <v>1</v>
      </c>
      <c r="R259" s="187">
        <f t="shared" si="51"/>
        <v>0</v>
      </c>
      <c r="S259" s="122">
        <f t="shared" si="52"/>
        <v>0</v>
      </c>
    </row>
    <row r="260" spans="1:19">
      <c r="A260" s="131"/>
      <c r="B260" s="132"/>
      <c r="C260" s="123">
        <f t="shared" si="43"/>
        <v>1</v>
      </c>
      <c r="D260" s="133"/>
      <c r="E260" s="123">
        <f t="shared" si="44"/>
        <v>1</v>
      </c>
      <c r="F260" s="133"/>
      <c r="G260" s="123">
        <f t="shared" si="45"/>
        <v>1</v>
      </c>
      <c r="H260" s="133"/>
      <c r="I260" s="123">
        <f t="shared" si="46"/>
        <v>1</v>
      </c>
      <c r="J260" s="133"/>
      <c r="K260" s="123">
        <f t="shared" si="47"/>
        <v>1</v>
      </c>
      <c r="L260" s="133"/>
      <c r="M260" s="123">
        <f t="shared" si="48"/>
        <v>1</v>
      </c>
      <c r="N260" s="133"/>
      <c r="O260" s="123">
        <f t="shared" si="49"/>
        <v>1</v>
      </c>
      <c r="P260" s="133"/>
      <c r="Q260" s="123">
        <f t="shared" si="50"/>
        <v>1</v>
      </c>
      <c r="R260" s="187">
        <f t="shared" si="51"/>
        <v>0</v>
      </c>
      <c r="S260" s="122">
        <f t="shared" si="52"/>
        <v>0</v>
      </c>
    </row>
    <row r="261" spans="1:19">
      <c r="A261" s="131"/>
      <c r="B261" s="132"/>
      <c r="C261" s="123">
        <f t="shared" si="43"/>
        <v>1</v>
      </c>
      <c r="D261" s="133"/>
      <c r="E261" s="123">
        <f t="shared" si="44"/>
        <v>1</v>
      </c>
      <c r="F261" s="133"/>
      <c r="G261" s="123">
        <f t="shared" si="45"/>
        <v>1</v>
      </c>
      <c r="H261" s="133"/>
      <c r="I261" s="123">
        <f t="shared" si="46"/>
        <v>1</v>
      </c>
      <c r="J261" s="133"/>
      <c r="K261" s="123">
        <f t="shared" si="47"/>
        <v>1</v>
      </c>
      <c r="L261" s="133"/>
      <c r="M261" s="123">
        <f t="shared" si="48"/>
        <v>1</v>
      </c>
      <c r="N261" s="133"/>
      <c r="O261" s="123">
        <f t="shared" si="49"/>
        <v>1</v>
      </c>
      <c r="P261" s="133"/>
      <c r="Q261" s="123">
        <f t="shared" si="50"/>
        <v>1</v>
      </c>
      <c r="R261" s="187">
        <f t="shared" si="51"/>
        <v>0</v>
      </c>
      <c r="S261" s="122">
        <f t="shared" si="52"/>
        <v>0</v>
      </c>
    </row>
    <row r="262" spans="1:19">
      <c r="A262" s="131"/>
      <c r="B262" s="132"/>
      <c r="C262" s="123">
        <f t="shared" si="43"/>
        <v>1</v>
      </c>
      <c r="D262" s="133"/>
      <c r="E262" s="123">
        <f t="shared" si="44"/>
        <v>1</v>
      </c>
      <c r="F262" s="133"/>
      <c r="G262" s="123">
        <f t="shared" si="45"/>
        <v>1</v>
      </c>
      <c r="H262" s="133"/>
      <c r="I262" s="123">
        <f t="shared" si="46"/>
        <v>1</v>
      </c>
      <c r="J262" s="133"/>
      <c r="K262" s="123">
        <f t="shared" si="47"/>
        <v>1</v>
      </c>
      <c r="L262" s="133"/>
      <c r="M262" s="123">
        <f t="shared" si="48"/>
        <v>1</v>
      </c>
      <c r="N262" s="133"/>
      <c r="O262" s="123">
        <f t="shared" si="49"/>
        <v>1</v>
      </c>
      <c r="P262" s="133"/>
      <c r="Q262" s="123">
        <f t="shared" si="50"/>
        <v>1</v>
      </c>
      <c r="R262" s="187">
        <f t="shared" si="51"/>
        <v>0</v>
      </c>
      <c r="S262" s="122">
        <f t="shared" si="52"/>
        <v>0</v>
      </c>
    </row>
    <row r="263" spans="1:19">
      <c r="A263" s="131"/>
      <c r="B263" s="132"/>
      <c r="C263" s="123">
        <f t="shared" si="43"/>
        <v>1</v>
      </c>
      <c r="D263" s="133"/>
      <c r="E263" s="123">
        <f t="shared" si="44"/>
        <v>1</v>
      </c>
      <c r="F263" s="133"/>
      <c r="G263" s="123">
        <f t="shared" si="45"/>
        <v>1</v>
      </c>
      <c r="H263" s="133"/>
      <c r="I263" s="123">
        <f t="shared" si="46"/>
        <v>1</v>
      </c>
      <c r="J263" s="133"/>
      <c r="K263" s="123">
        <f t="shared" si="47"/>
        <v>1</v>
      </c>
      <c r="L263" s="133"/>
      <c r="M263" s="123">
        <f t="shared" si="48"/>
        <v>1</v>
      </c>
      <c r="N263" s="133"/>
      <c r="O263" s="123">
        <f t="shared" si="49"/>
        <v>1</v>
      </c>
      <c r="P263" s="133"/>
      <c r="Q263" s="123">
        <f t="shared" si="50"/>
        <v>1</v>
      </c>
      <c r="R263" s="187">
        <f t="shared" si="51"/>
        <v>0</v>
      </c>
      <c r="S263" s="122">
        <f t="shared" si="52"/>
        <v>0</v>
      </c>
    </row>
    <row r="264" spans="1:19">
      <c r="A264" s="131"/>
      <c r="B264" s="132"/>
      <c r="C264" s="123">
        <f t="shared" si="43"/>
        <v>1</v>
      </c>
      <c r="D264" s="133"/>
      <c r="E264" s="123">
        <f t="shared" si="44"/>
        <v>1</v>
      </c>
      <c r="F264" s="133"/>
      <c r="G264" s="123">
        <f t="shared" si="45"/>
        <v>1</v>
      </c>
      <c r="H264" s="133"/>
      <c r="I264" s="123">
        <f t="shared" si="46"/>
        <v>1</v>
      </c>
      <c r="J264" s="133"/>
      <c r="K264" s="123">
        <f t="shared" si="47"/>
        <v>1</v>
      </c>
      <c r="L264" s="133"/>
      <c r="M264" s="123">
        <f t="shared" si="48"/>
        <v>1</v>
      </c>
      <c r="N264" s="133"/>
      <c r="O264" s="123">
        <f t="shared" si="49"/>
        <v>1</v>
      </c>
      <c r="P264" s="133"/>
      <c r="Q264" s="123">
        <f t="shared" si="50"/>
        <v>1</v>
      </c>
      <c r="R264" s="187">
        <f t="shared" si="51"/>
        <v>0</v>
      </c>
      <c r="S264" s="122">
        <f t="shared" si="52"/>
        <v>0</v>
      </c>
    </row>
    <row r="265" spans="1:19">
      <c r="A265" s="131"/>
      <c r="B265" s="132"/>
      <c r="C265" s="123">
        <f t="shared" si="43"/>
        <v>1</v>
      </c>
      <c r="D265" s="133"/>
      <c r="E265" s="123">
        <f t="shared" si="44"/>
        <v>1</v>
      </c>
      <c r="F265" s="133"/>
      <c r="G265" s="123">
        <f t="shared" si="45"/>
        <v>1</v>
      </c>
      <c r="H265" s="133"/>
      <c r="I265" s="123">
        <f t="shared" si="46"/>
        <v>1</v>
      </c>
      <c r="J265" s="133"/>
      <c r="K265" s="123">
        <f t="shared" si="47"/>
        <v>1</v>
      </c>
      <c r="L265" s="133"/>
      <c r="M265" s="123">
        <f t="shared" si="48"/>
        <v>1</v>
      </c>
      <c r="N265" s="133"/>
      <c r="O265" s="123">
        <f t="shared" si="49"/>
        <v>1</v>
      </c>
      <c r="P265" s="133"/>
      <c r="Q265" s="123">
        <f t="shared" si="50"/>
        <v>1</v>
      </c>
      <c r="R265" s="187">
        <f t="shared" si="51"/>
        <v>0</v>
      </c>
      <c r="S265" s="122">
        <f t="shared" si="52"/>
        <v>0</v>
      </c>
    </row>
    <row r="266" spans="1:19">
      <c r="A266" s="131"/>
      <c r="B266" s="132"/>
      <c r="C266" s="123">
        <f t="shared" si="43"/>
        <v>1</v>
      </c>
      <c r="D266" s="133"/>
      <c r="E266" s="123">
        <f t="shared" si="44"/>
        <v>1</v>
      </c>
      <c r="F266" s="133"/>
      <c r="G266" s="123">
        <f t="shared" si="45"/>
        <v>1</v>
      </c>
      <c r="H266" s="133"/>
      <c r="I266" s="123">
        <f t="shared" si="46"/>
        <v>1</v>
      </c>
      <c r="J266" s="133"/>
      <c r="K266" s="123">
        <f t="shared" si="47"/>
        <v>1</v>
      </c>
      <c r="L266" s="133"/>
      <c r="M266" s="123">
        <f t="shared" si="48"/>
        <v>1</v>
      </c>
      <c r="N266" s="133"/>
      <c r="O266" s="123">
        <f t="shared" si="49"/>
        <v>1</v>
      </c>
      <c r="P266" s="133"/>
      <c r="Q266" s="123">
        <f t="shared" si="50"/>
        <v>1</v>
      </c>
      <c r="R266" s="187">
        <f t="shared" si="51"/>
        <v>0</v>
      </c>
      <c r="S266" s="122">
        <f t="shared" si="52"/>
        <v>0</v>
      </c>
    </row>
    <row r="267" spans="1:19">
      <c r="A267" s="131"/>
      <c r="B267" s="132"/>
      <c r="C267" s="123">
        <f t="shared" si="43"/>
        <v>1</v>
      </c>
      <c r="D267" s="133"/>
      <c r="E267" s="123">
        <f t="shared" si="44"/>
        <v>1</v>
      </c>
      <c r="F267" s="133"/>
      <c r="G267" s="123">
        <f t="shared" si="45"/>
        <v>1</v>
      </c>
      <c r="H267" s="133"/>
      <c r="I267" s="123">
        <f t="shared" si="46"/>
        <v>1</v>
      </c>
      <c r="J267" s="133"/>
      <c r="K267" s="123">
        <f t="shared" si="47"/>
        <v>1</v>
      </c>
      <c r="L267" s="133"/>
      <c r="M267" s="123">
        <f t="shared" si="48"/>
        <v>1</v>
      </c>
      <c r="N267" s="133"/>
      <c r="O267" s="123">
        <f t="shared" si="49"/>
        <v>1</v>
      </c>
      <c r="P267" s="133"/>
      <c r="Q267" s="123">
        <f t="shared" si="50"/>
        <v>1</v>
      </c>
      <c r="R267" s="187">
        <f t="shared" si="51"/>
        <v>0</v>
      </c>
      <c r="S267" s="122">
        <f t="shared" si="52"/>
        <v>0</v>
      </c>
    </row>
    <row r="268" spans="1:19">
      <c r="A268" s="131"/>
      <c r="B268" s="132"/>
      <c r="C268" s="123">
        <f t="shared" si="43"/>
        <v>1</v>
      </c>
      <c r="D268" s="133"/>
      <c r="E268" s="123">
        <f t="shared" si="44"/>
        <v>1</v>
      </c>
      <c r="F268" s="133"/>
      <c r="G268" s="123">
        <f t="shared" si="45"/>
        <v>1</v>
      </c>
      <c r="H268" s="133"/>
      <c r="I268" s="123">
        <f t="shared" si="46"/>
        <v>1</v>
      </c>
      <c r="J268" s="133"/>
      <c r="K268" s="123">
        <f t="shared" si="47"/>
        <v>1</v>
      </c>
      <c r="L268" s="133"/>
      <c r="M268" s="123">
        <f t="shared" si="48"/>
        <v>1</v>
      </c>
      <c r="N268" s="133"/>
      <c r="O268" s="123">
        <f t="shared" si="49"/>
        <v>1</v>
      </c>
      <c r="P268" s="133"/>
      <c r="Q268" s="123">
        <f t="shared" si="50"/>
        <v>1</v>
      </c>
      <c r="R268" s="187">
        <f t="shared" si="51"/>
        <v>0</v>
      </c>
      <c r="S268" s="122">
        <f t="shared" si="52"/>
        <v>0</v>
      </c>
    </row>
    <row r="269" spans="1:19">
      <c r="A269" s="131"/>
      <c r="B269" s="132"/>
      <c r="C269" s="123">
        <f t="shared" si="43"/>
        <v>1</v>
      </c>
      <c r="D269" s="133"/>
      <c r="E269" s="123">
        <f t="shared" si="44"/>
        <v>1</v>
      </c>
      <c r="F269" s="133"/>
      <c r="G269" s="123">
        <f t="shared" si="45"/>
        <v>1</v>
      </c>
      <c r="H269" s="133"/>
      <c r="I269" s="123">
        <f t="shared" si="46"/>
        <v>1</v>
      </c>
      <c r="J269" s="133"/>
      <c r="K269" s="123">
        <f t="shared" si="47"/>
        <v>1</v>
      </c>
      <c r="L269" s="133"/>
      <c r="M269" s="123">
        <f t="shared" si="48"/>
        <v>1</v>
      </c>
      <c r="N269" s="133"/>
      <c r="O269" s="123">
        <f t="shared" si="49"/>
        <v>1</v>
      </c>
      <c r="P269" s="133"/>
      <c r="Q269" s="123">
        <f t="shared" si="50"/>
        <v>1</v>
      </c>
      <c r="R269" s="187">
        <f t="shared" si="51"/>
        <v>0</v>
      </c>
      <c r="S269" s="122">
        <f t="shared" si="52"/>
        <v>0</v>
      </c>
    </row>
    <row r="270" spans="1:19">
      <c r="A270" s="131"/>
      <c r="B270" s="132"/>
      <c r="C270" s="123">
        <f t="shared" si="43"/>
        <v>1</v>
      </c>
      <c r="D270" s="133"/>
      <c r="E270" s="123">
        <f t="shared" si="44"/>
        <v>1</v>
      </c>
      <c r="F270" s="133"/>
      <c r="G270" s="123">
        <f t="shared" si="45"/>
        <v>1</v>
      </c>
      <c r="H270" s="133"/>
      <c r="I270" s="123">
        <f t="shared" si="46"/>
        <v>1</v>
      </c>
      <c r="J270" s="133"/>
      <c r="K270" s="123">
        <f t="shared" si="47"/>
        <v>1</v>
      </c>
      <c r="L270" s="133"/>
      <c r="M270" s="123">
        <f t="shared" si="48"/>
        <v>1</v>
      </c>
      <c r="N270" s="133"/>
      <c r="O270" s="123">
        <f t="shared" si="49"/>
        <v>1</v>
      </c>
      <c r="P270" s="133"/>
      <c r="Q270" s="123">
        <f t="shared" si="50"/>
        <v>1</v>
      </c>
      <c r="R270" s="187">
        <f t="shared" si="51"/>
        <v>0</v>
      </c>
      <c r="S270" s="122">
        <f t="shared" si="52"/>
        <v>0</v>
      </c>
    </row>
    <row r="271" spans="1:19">
      <c r="A271" s="131"/>
      <c r="B271" s="132"/>
      <c r="C271" s="123">
        <f t="shared" si="43"/>
        <v>1</v>
      </c>
      <c r="D271" s="133"/>
      <c r="E271" s="123">
        <f t="shared" si="44"/>
        <v>1</v>
      </c>
      <c r="F271" s="133"/>
      <c r="G271" s="123">
        <f t="shared" si="45"/>
        <v>1</v>
      </c>
      <c r="H271" s="133"/>
      <c r="I271" s="123">
        <f t="shared" si="46"/>
        <v>1</v>
      </c>
      <c r="J271" s="133"/>
      <c r="K271" s="123">
        <f t="shared" si="47"/>
        <v>1</v>
      </c>
      <c r="L271" s="133"/>
      <c r="M271" s="123">
        <f t="shared" si="48"/>
        <v>1</v>
      </c>
      <c r="N271" s="133"/>
      <c r="O271" s="123">
        <f t="shared" si="49"/>
        <v>1</v>
      </c>
      <c r="P271" s="133"/>
      <c r="Q271" s="123">
        <f t="shared" si="50"/>
        <v>1</v>
      </c>
      <c r="R271" s="187">
        <f t="shared" si="51"/>
        <v>0</v>
      </c>
      <c r="S271" s="122">
        <f t="shared" si="52"/>
        <v>0</v>
      </c>
    </row>
    <row r="272" spans="1:19">
      <c r="A272" s="131"/>
      <c r="B272" s="132"/>
      <c r="C272" s="123">
        <f t="shared" si="43"/>
        <v>1</v>
      </c>
      <c r="D272" s="133"/>
      <c r="E272" s="123">
        <f t="shared" si="44"/>
        <v>1</v>
      </c>
      <c r="F272" s="133"/>
      <c r="G272" s="123">
        <f t="shared" si="45"/>
        <v>1</v>
      </c>
      <c r="H272" s="133"/>
      <c r="I272" s="123">
        <f t="shared" si="46"/>
        <v>1</v>
      </c>
      <c r="J272" s="133"/>
      <c r="K272" s="123">
        <f t="shared" si="47"/>
        <v>1</v>
      </c>
      <c r="L272" s="133"/>
      <c r="M272" s="123">
        <f t="shared" si="48"/>
        <v>1</v>
      </c>
      <c r="N272" s="133"/>
      <c r="O272" s="123">
        <f t="shared" si="49"/>
        <v>1</v>
      </c>
      <c r="P272" s="133"/>
      <c r="Q272" s="123">
        <f t="shared" si="50"/>
        <v>1</v>
      </c>
      <c r="R272" s="187">
        <f t="shared" si="51"/>
        <v>0</v>
      </c>
      <c r="S272" s="122">
        <f t="shared" si="52"/>
        <v>0</v>
      </c>
    </row>
    <row r="273" spans="1:19">
      <c r="A273" s="131"/>
      <c r="B273" s="132"/>
      <c r="C273" s="123">
        <f t="shared" si="43"/>
        <v>1</v>
      </c>
      <c r="D273" s="133"/>
      <c r="E273" s="123">
        <f t="shared" si="44"/>
        <v>1</v>
      </c>
      <c r="F273" s="133"/>
      <c r="G273" s="123">
        <f t="shared" si="45"/>
        <v>1</v>
      </c>
      <c r="H273" s="133"/>
      <c r="I273" s="123">
        <f t="shared" si="46"/>
        <v>1</v>
      </c>
      <c r="J273" s="133"/>
      <c r="K273" s="123">
        <f t="shared" si="47"/>
        <v>1</v>
      </c>
      <c r="L273" s="133"/>
      <c r="M273" s="123">
        <f t="shared" si="48"/>
        <v>1</v>
      </c>
      <c r="N273" s="133"/>
      <c r="O273" s="123">
        <f t="shared" si="49"/>
        <v>1</v>
      </c>
      <c r="P273" s="133"/>
      <c r="Q273" s="123">
        <f t="shared" si="50"/>
        <v>1</v>
      </c>
      <c r="R273" s="187">
        <f t="shared" si="51"/>
        <v>0</v>
      </c>
      <c r="S273" s="122">
        <f t="shared" si="52"/>
        <v>0</v>
      </c>
    </row>
    <row r="274" spans="1:19">
      <c r="A274" s="131"/>
      <c r="B274" s="132"/>
      <c r="C274" s="123">
        <f t="shared" si="43"/>
        <v>1</v>
      </c>
      <c r="D274" s="133"/>
      <c r="E274" s="123">
        <f t="shared" si="44"/>
        <v>1</v>
      </c>
      <c r="F274" s="133"/>
      <c r="G274" s="123">
        <f t="shared" si="45"/>
        <v>1</v>
      </c>
      <c r="H274" s="133"/>
      <c r="I274" s="123">
        <f t="shared" si="46"/>
        <v>1</v>
      </c>
      <c r="J274" s="133"/>
      <c r="K274" s="123">
        <f t="shared" si="47"/>
        <v>1</v>
      </c>
      <c r="L274" s="133"/>
      <c r="M274" s="123">
        <f t="shared" si="48"/>
        <v>1</v>
      </c>
      <c r="N274" s="133"/>
      <c r="O274" s="123">
        <f t="shared" si="49"/>
        <v>1</v>
      </c>
      <c r="P274" s="133"/>
      <c r="Q274" s="123">
        <f t="shared" si="50"/>
        <v>1</v>
      </c>
      <c r="R274" s="187">
        <f t="shared" si="51"/>
        <v>0</v>
      </c>
      <c r="S274" s="122">
        <f t="shared" si="52"/>
        <v>0</v>
      </c>
    </row>
    <row r="275" spans="1:19">
      <c r="A275" s="131"/>
      <c r="B275" s="132"/>
      <c r="C275" s="123">
        <f t="shared" si="43"/>
        <v>1</v>
      </c>
      <c r="D275" s="133"/>
      <c r="E275" s="123">
        <f t="shared" si="44"/>
        <v>1</v>
      </c>
      <c r="F275" s="133"/>
      <c r="G275" s="123">
        <f t="shared" si="45"/>
        <v>1</v>
      </c>
      <c r="H275" s="133"/>
      <c r="I275" s="123">
        <f t="shared" si="46"/>
        <v>1</v>
      </c>
      <c r="J275" s="133"/>
      <c r="K275" s="123">
        <f t="shared" si="47"/>
        <v>1</v>
      </c>
      <c r="L275" s="133"/>
      <c r="M275" s="123">
        <f t="shared" si="48"/>
        <v>1</v>
      </c>
      <c r="N275" s="133"/>
      <c r="O275" s="123">
        <f t="shared" si="49"/>
        <v>1</v>
      </c>
      <c r="P275" s="133"/>
      <c r="Q275" s="123">
        <f t="shared" si="50"/>
        <v>1</v>
      </c>
      <c r="R275" s="187">
        <f t="shared" si="51"/>
        <v>0</v>
      </c>
      <c r="S275" s="122">
        <f t="shared" si="52"/>
        <v>0</v>
      </c>
    </row>
    <row r="276" spans="1:19">
      <c r="A276" s="131"/>
      <c r="B276" s="132"/>
      <c r="C276" s="123">
        <f t="shared" si="43"/>
        <v>1</v>
      </c>
      <c r="D276" s="133"/>
      <c r="E276" s="123">
        <f t="shared" si="44"/>
        <v>1</v>
      </c>
      <c r="F276" s="133"/>
      <c r="G276" s="123">
        <f t="shared" si="45"/>
        <v>1</v>
      </c>
      <c r="H276" s="133"/>
      <c r="I276" s="123">
        <f t="shared" si="46"/>
        <v>1</v>
      </c>
      <c r="J276" s="133"/>
      <c r="K276" s="123">
        <f t="shared" si="47"/>
        <v>1</v>
      </c>
      <c r="L276" s="133"/>
      <c r="M276" s="123">
        <f t="shared" si="48"/>
        <v>1</v>
      </c>
      <c r="N276" s="133"/>
      <c r="O276" s="123">
        <f t="shared" si="49"/>
        <v>1</v>
      </c>
      <c r="P276" s="133"/>
      <c r="Q276" s="123">
        <f t="shared" si="50"/>
        <v>1</v>
      </c>
      <c r="R276" s="187">
        <f t="shared" si="51"/>
        <v>0</v>
      </c>
      <c r="S276" s="122">
        <f t="shared" si="52"/>
        <v>0</v>
      </c>
    </row>
    <row r="277" spans="1:19">
      <c r="A277" s="131"/>
      <c r="B277" s="132"/>
      <c r="C277" s="123">
        <f t="shared" si="43"/>
        <v>1</v>
      </c>
      <c r="D277" s="133"/>
      <c r="E277" s="123">
        <f t="shared" si="44"/>
        <v>1</v>
      </c>
      <c r="F277" s="133"/>
      <c r="G277" s="123">
        <f t="shared" si="45"/>
        <v>1</v>
      </c>
      <c r="H277" s="133"/>
      <c r="I277" s="123">
        <f t="shared" si="46"/>
        <v>1</v>
      </c>
      <c r="J277" s="133"/>
      <c r="K277" s="123">
        <f t="shared" si="47"/>
        <v>1</v>
      </c>
      <c r="L277" s="133"/>
      <c r="M277" s="123">
        <f t="shared" si="48"/>
        <v>1</v>
      </c>
      <c r="N277" s="133"/>
      <c r="O277" s="123">
        <f t="shared" si="49"/>
        <v>1</v>
      </c>
      <c r="P277" s="133"/>
      <c r="Q277" s="123">
        <f t="shared" si="50"/>
        <v>1</v>
      </c>
      <c r="R277" s="187">
        <f t="shared" si="51"/>
        <v>0</v>
      </c>
      <c r="S277" s="122">
        <f t="shared" si="52"/>
        <v>0</v>
      </c>
    </row>
    <row r="278" spans="1:19">
      <c r="A278" s="131"/>
      <c r="B278" s="132"/>
      <c r="C278" s="123">
        <f t="shared" si="43"/>
        <v>1</v>
      </c>
      <c r="D278" s="133"/>
      <c r="E278" s="123">
        <f t="shared" si="44"/>
        <v>1</v>
      </c>
      <c r="F278" s="133"/>
      <c r="G278" s="123">
        <f t="shared" si="45"/>
        <v>1</v>
      </c>
      <c r="H278" s="133"/>
      <c r="I278" s="123">
        <f t="shared" si="46"/>
        <v>1</v>
      </c>
      <c r="J278" s="133"/>
      <c r="K278" s="123">
        <f t="shared" si="47"/>
        <v>1</v>
      </c>
      <c r="L278" s="133"/>
      <c r="M278" s="123">
        <f t="shared" si="48"/>
        <v>1</v>
      </c>
      <c r="N278" s="133"/>
      <c r="O278" s="123">
        <f t="shared" si="49"/>
        <v>1</v>
      </c>
      <c r="P278" s="133"/>
      <c r="Q278" s="123">
        <f t="shared" si="50"/>
        <v>1</v>
      </c>
      <c r="R278" s="187">
        <f t="shared" si="51"/>
        <v>0</v>
      </c>
      <c r="S278" s="122">
        <f t="shared" si="52"/>
        <v>0</v>
      </c>
    </row>
    <row r="279" spans="1:19">
      <c r="A279" s="131"/>
      <c r="B279" s="132"/>
      <c r="C279" s="123">
        <f t="shared" si="43"/>
        <v>1</v>
      </c>
      <c r="D279" s="133"/>
      <c r="E279" s="123">
        <f t="shared" si="44"/>
        <v>1</v>
      </c>
      <c r="F279" s="133"/>
      <c r="G279" s="123">
        <f t="shared" si="45"/>
        <v>1</v>
      </c>
      <c r="H279" s="133"/>
      <c r="I279" s="123">
        <f t="shared" si="46"/>
        <v>1</v>
      </c>
      <c r="J279" s="133"/>
      <c r="K279" s="123">
        <f t="shared" si="47"/>
        <v>1</v>
      </c>
      <c r="L279" s="133"/>
      <c r="M279" s="123">
        <f t="shared" si="48"/>
        <v>1</v>
      </c>
      <c r="N279" s="133"/>
      <c r="O279" s="123">
        <f t="shared" si="49"/>
        <v>1</v>
      </c>
      <c r="P279" s="133"/>
      <c r="Q279" s="123">
        <f t="shared" si="50"/>
        <v>1</v>
      </c>
      <c r="R279" s="187">
        <f t="shared" si="51"/>
        <v>0</v>
      </c>
      <c r="S279" s="122">
        <f t="shared" si="52"/>
        <v>0</v>
      </c>
    </row>
    <row r="280" spans="1:19">
      <c r="A280" s="131"/>
      <c r="B280" s="132"/>
      <c r="C280" s="123">
        <f t="shared" si="43"/>
        <v>1</v>
      </c>
      <c r="D280" s="133"/>
      <c r="E280" s="123">
        <f t="shared" si="44"/>
        <v>1</v>
      </c>
      <c r="F280" s="133"/>
      <c r="G280" s="123">
        <f t="shared" si="45"/>
        <v>1</v>
      </c>
      <c r="H280" s="133"/>
      <c r="I280" s="123">
        <f t="shared" si="46"/>
        <v>1</v>
      </c>
      <c r="J280" s="133"/>
      <c r="K280" s="123">
        <f t="shared" si="47"/>
        <v>1</v>
      </c>
      <c r="L280" s="133"/>
      <c r="M280" s="123">
        <f t="shared" si="48"/>
        <v>1</v>
      </c>
      <c r="N280" s="133"/>
      <c r="O280" s="123">
        <f t="shared" si="49"/>
        <v>1</v>
      </c>
      <c r="P280" s="133"/>
      <c r="Q280" s="123">
        <f t="shared" si="50"/>
        <v>1</v>
      </c>
      <c r="R280" s="187">
        <f t="shared" si="51"/>
        <v>0</v>
      </c>
      <c r="S280" s="122">
        <f t="shared" si="52"/>
        <v>0</v>
      </c>
    </row>
    <row r="281" spans="1:19">
      <c r="A281" s="131"/>
      <c r="B281" s="132"/>
      <c r="C281" s="123">
        <f t="shared" si="43"/>
        <v>1</v>
      </c>
      <c r="D281" s="133"/>
      <c r="E281" s="123">
        <f t="shared" si="44"/>
        <v>1</v>
      </c>
      <c r="F281" s="133"/>
      <c r="G281" s="123">
        <f t="shared" si="45"/>
        <v>1</v>
      </c>
      <c r="H281" s="133"/>
      <c r="I281" s="123">
        <f t="shared" si="46"/>
        <v>1</v>
      </c>
      <c r="J281" s="133"/>
      <c r="K281" s="123">
        <f t="shared" si="47"/>
        <v>1</v>
      </c>
      <c r="L281" s="133"/>
      <c r="M281" s="123">
        <f t="shared" si="48"/>
        <v>1</v>
      </c>
      <c r="N281" s="133"/>
      <c r="O281" s="123">
        <f t="shared" si="49"/>
        <v>1</v>
      </c>
      <c r="P281" s="133"/>
      <c r="Q281" s="123">
        <f t="shared" si="50"/>
        <v>1</v>
      </c>
      <c r="R281" s="187">
        <f t="shared" si="51"/>
        <v>0</v>
      </c>
      <c r="S281" s="122">
        <f t="shared" si="52"/>
        <v>0</v>
      </c>
    </row>
    <row r="282" spans="1:19">
      <c r="A282" s="131"/>
      <c r="B282" s="132"/>
      <c r="C282" s="123">
        <f t="shared" ref="C282:C345" si="53">IF(B282="",1,(LOOKUP(B282,$3:$3,$4:$4)-LOOKUP($B$24,$3:$3,$4:$4)+100)/100)</f>
        <v>1</v>
      </c>
      <c r="D282" s="133"/>
      <c r="E282" s="123">
        <f t="shared" ref="E282:E345" si="54">(SUMIF($5:$5,D282,$6:$6)-SUMIF($5:$5,$D$24,$6:$6)+100)/100</f>
        <v>1</v>
      </c>
      <c r="F282" s="133"/>
      <c r="G282" s="123">
        <f t="shared" ref="G282:G345" si="55">(SUMIF($7:$7,F282,$8:$8)-SUMIF($7:$7,$F$24,$8:$8)+100)/100</f>
        <v>1</v>
      </c>
      <c r="H282" s="133"/>
      <c r="I282" s="123">
        <f t="shared" ref="I282:I345" si="56">(SUMIF($9:$9,H282,$10:$10)-SUMIF($9:$9,$H$24,$10:$10)+100)/100</f>
        <v>1</v>
      </c>
      <c r="J282" s="133"/>
      <c r="K282" s="123">
        <f t="shared" ref="K282:K345" si="57">(SUMIF($11:$11,J282,$12:$12)-SUMIF($11:$11,$J$24,$12:$12)+100)/100</f>
        <v>1</v>
      </c>
      <c r="L282" s="133"/>
      <c r="M282" s="123">
        <f t="shared" ref="M282:M345" si="58">(SUMIF($13:$13,L282,$14:$14)-SUMIF($13:$13,$L$24,$14:$14)+100)/100</f>
        <v>1</v>
      </c>
      <c r="N282" s="133"/>
      <c r="O282" s="123">
        <f t="shared" ref="O282:O345" si="59">(SUMIF($15:$15,N282,$16:$16)-SUMIF($15:$15,$N$24,$16:$16)+100)/100</f>
        <v>1</v>
      </c>
      <c r="P282" s="133"/>
      <c r="Q282" s="123">
        <f t="shared" ref="Q282:Q345" si="60">(SUMIF($17:$17,P282,$18:$18)-SUMIF($17:$17,$P$24,$18:$18)+100)/100</f>
        <v>1</v>
      </c>
      <c r="R282" s="187">
        <f t="shared" ref="R282:R345" si="61">IF(B282="",0,ROUND($R$24*C282*E282*G282*I282*K282*M282*O282*Q282,0))</f>
        <v>0</v>
      </c>
      <c r="S282" s="122">
        <f t="shared" si="52"/>
        <v>0</v>
      </c>
    </row>
    <row r="283" spans="1:19">
      <c r="A283" s="131"/>
      <c r="B283" s="132"/>
      <c r="C283" s="123">
        <f t="shared" si="53"/>
        <v>1</v>
      </c>
      <c r="D283" s="133"/>
      <c r="E283" s="123">
        <f t="shared" si="54"/>
        <v>1</v>
      </c>
      <c r="F283" s="133"/>
      <c r="G283" s="123">
        <f t="shared" si="55"/>
        <v>1</v>
      </c>
      <c r="H283" s="133"/>
      <c r="I283" s="123">
        <f t="shared" si="56"/>
        <v>1</v>
      </c>
      <c r="J283" s="133"/>
      <c r="K283" s="123">
        <f t="shared" si="57"/>
        <v>1</v>
      </c>
      <c r="L283" s="133"/>
      <c r="M283" s="123">
        <f t="shared" si="58"/>
        <v>1</v>
      </c>
      <c r="N283" s="133"/>
      <c r="O283" s="123">
        <f t="shared" si="59"/>
        <v>1</v>
      </c>
      <c r="P283" s="133"/>
      <c r="Q283" s="123">
        <f t="shared" si="60"/>
        <v>1</v>
      </c>
      <c r="R283" s="187">
        <f t="shared" si="61"/>
        <v>0</v>
      </c>
      <c r="S283" s="122">
        <f t="shared" si="52"/>
        <v>0</v>
      </c>
    </row>
    <row r="284" spans="1:19">
      <c r="A284" s="131"/>
      <c r="B284" s="132"/>
      <c r="C284" s="123">
        <f t="shared" si="53"/>
        <v>1</v>
      </c>
      <c r="D284" s="133"/>
      <c r="E284" s="123">
        <f t="shared" si="54"/>
        <v>1</v>
      </c>
      <c r="F284" s="133"/>
      <c r="G284" s="123">
        <f t="shared" si="55"/>
        <v>1</v>
      </c>
      <c r="H284" s="133"/>
      <c r="I284" s="123">
        <f t="shared" si="56"/>
        <v>1</v>
      </c>
      <c r="J284" s="133"/>
      <c r="K284" s="123">
        <f t="shared" si="57"/>
        <v>1</v>
      </c>
      <c r="L284" s="133"/>
      <c r="M284" s="123">
        <f t="shared" si="58"/>
        <v>1</v>
      </c>
      <c r="N284" s="133"/>
      <c r="O284" s="123">
        <f t="shared" si="59"/>
        <v>1</v>
      </c>
      <c r="P284" s="133"/>
      <c r="Q284" s="123">
        <f t="shared" si="60"/>
        <v>1</v>
      </c>
      <c r="R284" s="187">
        <f t="shared" si="61"/>
        <v>0</v>
      </c>
      <c r="S284" s="122">
        <f t="shared" si="52"/>
        <v>0</v>
      </c>
    </row>
    <row r="285" spans="1:19">
      <c r="A285" s="131"/>
      <c r="B285" s="132"/>
      <c r="C285" s="123">
        <f t="shared" si="53"/>
        <v>1</v>
      </c>
      <c r="D285" s="133"/>
      <c r="E285" s="123">
        <f t="shared" si="54"/>
        <v>1</v>
      </c>
      <c r="F285" s="133"/>
      <c r="G285" s="123">
        <f t="shared" si="55"/>
        <v>1</v>
      </c>
      <c r="H285" s="133"/>
      <c r="I285" s="123">
        <f t="shared" si="56"/>
        <v>1</v>
      </c>
      <c r="J285" s="133"/>
      <c r="K285" s="123">
        <f t="shared" si="57"/>
        <v>1</v>
      </c>
      <c r="L285" s="133"/>
      <c r="M285" s="123">
        <f t="shared" si="58"/>
        <v>1</v>
      </c>
      <c r="N285" s="133"/>
      <c r="O285" s="123">
        <f t="shared" si="59"/>
        <v>1</v>
      </c>
      <c r="P285" s="133"/>
      <c r="Q285" s="123">
        <f t="shared" si="60"/>
        <v>1</v>
      </c>
      <c r="R285" s="187">
        <f t="shared" si="61"/>
        <v>0</v>
      </c>
      <c r="S285" s="122">
        <f t="shared" si="52"/>
        <v>0</v>
      </c>
    </row>
    <row r="286" spans="1:19">
      <c r="A286" s="131"/>
      <c r="B286" s="132"/>
      <c r="C286" s="123">
        <f t="shared" si="53"/>
        <v>1</v>
      </c>
      <c r="D286" s="133"/>
      <c r="E286" s="123">
        <f t="shared" si="54"/>
        <v>1</v>
      </c>
      <c r="F286" s="133"/>
      <c r="G286" s="123">
        <f t="shared" si="55"/>
        <v>1</v>
      </c>
      <c r="H286" s="133"/>
      <c r="I286" s="123">
        <f t="shared" si="56"/>
        <v>1</v>
      </c>
      <c r="J286" s="133"/>
      <c r="K286" s="123">
        <f t="shared" si="57"/>
        <v>1</v>
      </c>
      <c r="L286" s="133"/>
      <c r="M286" s="123">
        <f t="shared" si="58"/>
        <v>1</v>
      </c>
      <c r="N286" s="133"/>
      <c r="O286" s="123">
        <f t="shared" si="59"/>
        <v>1</v>
      </c>
      <c r="P286" s="133"/>
      <c r="Q286" s="123">
        <f t="shared" si="60"/>
        <v>1</v>
      </c>
      <c r="R286" s="187">
        <f t="shared" si="61"/>
        <v>0</v>
      </c>
      <c r="S286" s="122">
        <f t="shared" si="52"/>
        <v>0</v>
      </c>
    </row>
    <row r="287" spans="1:19">
      <c r="A287" s="131"/>
      <c r="B287" s="132"/>
      <c r="C287" s="123">
        <f t="shared" si="53"/>
        <v>1</v>
      </c>
      <c r="D287" s="133"/>
      <c r="E287" s="123">
        <f t="shared" si="54"/>
        <v>1</v>
      </c>
      <c r="F287" s="133"/>
      <c r="G287" s="123">
        <f t="shared" si="55"/>
        <v>1</v>
      </c>
      <c r="H287" s="133"/>
      <c r="I287" s="123">
        <f t="shared" si="56"/>
        <v>1</v>
      </c>
      <c r="J287" s="133"/>
      <c r="K287" s="123">
        <f t="shared" si="57"/>
        <v>1</v>
      </c>
      <c r="L287" s="133"/>
      <c r="M287" s="123">
        <f t="shared" si="58"/>
        <v>1</v>
      </c>
      <c r="N287" s="133"/>
      <c r="O287" s="123">
        <f t="shared" si="59"/>
        <v>1</v>
      </c>
      <c r="P287" s="133"/>
      <c r="Q287" s="123">
        <f t="shared" si="60"/>
        <v>1</v>
      </c>
      <c r="R287" s="187">
        <f t="shared" si="61"/>
        <v>0</v>
      </c>
      <c r="S287" s="122">
        <f t="shared" ref="S287:S320" si="62">ROUND(R287*B287/10000,0)</f>
        <v>0</v>
      </c>
    </row>
    <row r="288" spans="1:19">
      <c r="A288" s="131"/>
      <c r="B288" s="132"/>
      <c r="C288" s="123">
        <f t="shared" si="53"/>
        <v>1</v>
      </c>
      <c r="D288" s="133"/>
      <c r="E288" s="123">
        <f t="shared" si="54"/>
        <v>1</v>
      </c>
      <c r="F288" s="133"/>
      <c r="G288" s="123">
        <f t="shared" si="55"/>
        <v>1</v>
      </c>
      <c r="H288" s="133"/>
      <c r="I288" s="123">
        <f t="shared" si="56"/>
        <v>1</v>
      </c>
      <c r="J288" s="133"/>
      <c r="K288" s="123">
        <f t="shared" si="57"/>
        <v>1</v>
      </c>
      <c r="L288" s="133"/>
      <c r="M288" s="123">
        <f t="shared" si="58"/>
        <v>1</v>
      </c>
      <c r="N288" s="133"/>
      <c r="O288" s="123">
        <f t="shared" si="59"/>
        <v>1</v>
      </c>
      <c r="P288" s="133"/>
      <c r="Q288" s="123">
        <f t="shared" si="60"/>
        <v>1</v>
      </c>
      <c r="R288" s="187">
        <f t="shared" si="61"/>
        <v>0</v>
      </c>
      <c r="S288" s="122">
        <f t="shared" si="62"/>
        <v>0</v>
      </c>
    </row>
    <row r="289" spans="1:19">
      <c r="A289" s="131"/>
      <c r="B289" s="132"/>
      <c r="C289" s="123">
        <f t="shared" si="53"/>
        <v>1</v>
      </c>
      <c r="D289" s="133"/>
      <c r="E289" s="123">
        <f t="shared" si="54"/>
        <v>1</v>
      </c>
      <c r="F289" s="133"/>
      <c r="G289" s="123">
        <f t="shared" si="55"/>
        <v>1</v>
      </c>
      <c r="H289" s="133"/>
      <c r="I289" s="123">
        <f t="shared" si="56"/>
        <v>1</v>
      </c>
      <c r="J289" s="133"/>
      <c r="K289" s="123">
        <f t="shared" si="57"/>
        <v>1</v>
      </c>
      <c r="L289" s="133"/>
      <c r="M289" s="123">
        <f t="shared" si="58"/>
        <v>1</v>
      </c>
      <c r="N289" s="133"/>
      <c r="O289" s="123">
        <f t="shared" si="59"/>
        <v>1</v>
      </c>
      <c r="P289" s="133"/>
      <c r="Q289" s="123">
        <f t="shared" si="60"/>
        <v>1</v>
      </c>
      <c r="R289" s="187">
        <f t="shared" si="61"/>
        <v>0</v>
      </c>
      <c r="S289" s="122">
        <f t="shared" si="62"/>
        <v>0</v>
      </c>
    </row>
    <row r="290" spans="1:19">
      <c r="A290" s="131"/>
      <c r="B290" s="132"/>
      <c r="C290" s="123">
        <f t="shared" si="53"/>
        <v>1</v>
      </c>
      <c r="D290" s="133"/>
      <c r="E290" s="123">
        <f t="shared" si="54"/>
        <v>1</v>
      </c>
      <c r="F290" s="133"/>
      <c r="G290" s="123">
        <f t="shared" si="55"/>
        <v>1</v>
      </c>
      <c r="H290" s="133"/>
      <c r="I290" s="123">
        <f t="shared" si="56"/>
        <v>1</v>
      </c>
      <c r="J290" s="133"/>
      <c r="K290" s="123">
        <f t="shared" si="57"/>
        <v>1</v>
      </c>
      <c r="L290" s="133"/>
      <c r="M290" s="123">
        <f t="shared" si="58"/>
        <v>1</v>
      </c>
      <c r="N290" s="133"/>
      <c r="O290" s="123">
        <f t="shared" si="59"/>
        <v>1</v>
      </c>
      <c r="P290" s="133"/>
      <c r="Q290" s="123">
        <f t="shared" si="60"/>
        <v>1</v>
      </c>
      <c r="R290" s="187">
        <f t="shared" si="61"/>
        <v>0</v>
      </c>
      <c r="S290" s="122">
        <f t="shared" si="62"/>
        <v>0</v>
      </c>
    </row>
    <row r="291" spans="1:19">
      <c r="A291" s="131"/>
      <c r="B291" s="132"/>
      <c r="C291" s="123">
        <f t="shared" si="53"/>
        <v>1</v>
      </c>
      <c r="D291" s="133"/>
      <c r="E291" s="123">
        <f t="shared" si="54"/>
        <v>1</v>
      </c>
      <c r="F291" s="133"/>
      <c r="G291" s="123">
        <f t="shared" si="55"/>
        <v>1</v>
      </c>
      <c r="H291" s="133"/>
      <c r="I291" s="123">
        <f t="shared" si="56"/>
        <v>1</v>
      </c>
      <c r="J291" s="133"/>
      <c r="K291" s="123">
        <f t="shared" si="57"/>
        <v>1</v>
      </c>
      <c r="L291" s="133"/>
      <c r="M291" s="123">
        <f t="shared" si="58"/>
        <v>1</v>
      </c>
      <c r="N291" s="133"/>
      <c r="O291" s="123">
        <f t="shared" si="59"/>
        <v>1</v>
      </c>
      <c r="P291" s="133"/>
      <c r="Q291" s="123">
        <f t="shared" si="60"/>
        <v>1</v>
      </c>
      <c r="R291" s="187">
        <f t="shared" si="61"/>
        <v>0</v>
      </c>
      <c r="S291" s="122">
        <f t="shared" si="62"/>
        <v>0</v>
      </c>
    </row>
    <row r="292" spans="1:19">
      <c r="A292" s="131"/>
      <c r="B292" s="132"/>
      <c r="C292" s="123">
        <f t="shared" si="53"/>
        <v>1</v>
      </c>
      <c r="D292" s="133"/>
      <c r="E292" s="123">
        <f t="shared" si="54"/>
        <v>1</v>
      </c>
      <c r="F292" s="133"/>
      <c r="G292" s="123">
        <f t="shared" si="55"/>
        <v>1</v>
      </c>
      <c r="H292" s="133"/>
      <c r="I292" s="123">
        <f t="shared" si="56"/>
        <v>1</v>
      </c>
      <c r="J292" s="133"/>
      <c r="K292" s="123">
        <f t="shared" si="57"/>
        <v>1</v>
      </c>
      <c r="L292" s="133"/>
      <c r="M292" s="123">
        <f t="shared" si="58"/>
        <v>1</v>
      </c>
      <c r="N292" s="133"/>
      <c r="O292" s="123">
        <f t="shared" si="59"/>
        <v>1</v>
      </c>
      <c r="P292" s="133"/>
      <c r="Q292" s="123">
        <f t="shared" si="60"/>
        <v>1</v>
      </c>
      <c r="R292" s="187">
        <f t="shared" si="61"/>
        <v>0</v>
      </c>
      <c r="S292" s="122">
        <f t="shared" si="62"/>
        <v>0</v>
      </c>
    </row>
    <row r="293" spans="1:19">
      <c r="A293" s="131"/>
      <c r="B293" s="132"/>
      <c r="C293" s="123">
        <f t="shared" si="53"/>
        <v>1</v>
      </c>
      <c r="D293" s="133"/>
      <c r="E293" s="123">
        <f t="shared" si="54"/>
        <v>1</v>
      </c>
      <c r="F293" s="133"/>
      <c r="G293" s="123">
        <f t="shared" si="55"/>
        <v>1</v>
      </c>
      <c r="H293" s="133"/>
      <c r="I293" s="123">
        <f t="shared" si="56"/>
        <v>1</v>
      </c>
      <c r="J293" s="133"/>
      <c r="K293" s="123">
        <f t="shared" si="57"/>
        <v>1</v>
      </c>
      <c r="L293" s="133"/>
      <c r="M293" s="123">
        <f t="shared" si="58"/>
        <v>1</v>
      </c>
      <c r="N293" s="133"/>
      <c r="O293" s="123">
        <f t="shared" si="59"/>
        <v>1</v>
      </c>
      <c r="P293" s="133"/>
      <c r="Q293" s="123">
        <f t="shared" si="60"/>
        <v>1</v>
      </c>
      <c r="R293" s="187">
        <f t="shared" si="61"/>
        <v>0</v>
      </c>
      <c r="S293" s="122">
        <f t="shared" si="62"/>
        <v>0</v>
      </c>
    </row>
    <row r="294" spans="1:19">
      <c r="A294" s="131"/>
      <c r="B294" s="132"/>
      <c r="C294" s="123">
        <f t="shared" si="53"/>
        <v>1</v>
      </c>
      <c r="D294" s="133"/>
      <c r="E294" s="123">
        <f t="shared" si="54"/>
        <v>1</v>
      </c>
      <c r="F294" s="133"/>
      <c r="G294" s="123">
        <f t="shared" si="55"/>
        <v>1</v>
      </c>
      <c r="H294" s="133"/>
      <c r="I294" s="123">
        <f t="shared" si="56"/>
        <v>1</v>
      </c>
      <c r="J294" s="133"/>
      <c r="K294" s="123">
        <f t="shared" si="57"/>
        <v>1</v>
      </c>
      <c r="L294" s="133"/>
      <c r="M294" s="123">
        <f t="shared" si="58"/>
        <v>1</v>
      </c>
      <c r="N294" s="133"/>
      <c r="O294" s="123">
        <f t="shared" si="59"/>
        <v>1</v>
      </c>
      <c r="P294" s="133"/>
      <c r="Q294" s="123">
        <f t="shared" si="60"/>
        <v>1</v>
      </c>
      <c r="R294" s="187">
        <f t="shared" si="61"/>
        <v>0</v>
      </c>
      <c r="S294" s="122">
        <f t="shared" si="62"/>
        <v>0</v>
      </c>
    </row>
    <row r="295" spans="1:19">
      <c r="A295" s="131"/>
      <c r="B295" s="132"/>
      <c r="C295" s="123">
        <f t="shared" si="53"/>
        <v>1</v>
      </c>
      <c r="D295" s="133"/>
      <c r="E295" s="123">
        <f t="shared" si="54"/>
        <v>1</v>
      </c>
      <c r="F295" s="133"/>
      <c r="G295" s="123">
        <f t="shared" si="55"/>
        <v>1</v>
      </c>
      <c r="H295" s="133"/>
      <c r="I295" s="123">
        <f t="shared" si="56"/>
        <v>1</v>
      </c>
      <c r="J295" s="133"/>
      <c r="K295" s="123">
        <f t="shared" si="57"/>
        <v>1</v>
      </c>
      <c r="L295" s="133"/>
      <c r="M295" s="123">
        <f t="shared" si="58"/>
        <v>1</v>
      </c>
      <c r="N295" s="133"/>
      <c r="O295" s="123">
        <f t="shared" si="59"/>
        <v>1</v>
      </c>
      <c r="P295" s="133"/>
      <c r="Q295" s="123">
        <f t="shared" si="60"/>
        <v>1</v>
      </c>
      <c r="R295" s="187">
        <f t="shared" si="61"/>
        <v>0</v>
      </c>
      <c r="S295" s="122">
        <f t="shared" si="62"/>
        <v>0</v>
      </c>
    </row>
    <row r="296" spans="1:19">
      <c r="A296" s="131"/>
      <c r="B296" s="132"/>
      <c r="C296" s="123">
        <f t="shared" si="53"/>
        <v>1</v>
      </c>
      <c r="D296" s="133"/>
      <c r="E296" s="123">
        <f t="shared" si="54"/>
        <v>1</v>
      </c>
      <c r="F296" s="133"/>
      <c r="G296" s="123">
        <f t="shared" si="55"/>
        <v>1</v>
      </c>
      <c r="H296" s="133"/>
      <c r="I296" s="123">
        <f t="shared" si="56"/>
        <v>1</v>
      </c>
      <c r="J296" s="133"/>
      <c r="K296" s="123">
        <f t="shared" si="57"/>
        <v>1</v>
      </c>
      <c r="L296" s="133"/>
      <c r="M296" s="123">
        <f t="shared" si="58"/>
        <v>1</v>
      </c>
      <c r="N296" s="133"/>
      <c r="O296" s="123">
        <f t="shared" si="59"/>
        <v>1</v>
      </c>
      <c r="P296" s="133"/>
      <c r="Q296" s="123">
        <f t="shared" si="60"/>
        <v>1</v>
      </c>
      <c r="R296" s="187">
        <f t="shared" si="61"/>
        <v>0</v>
      </c>
      <c r="S296" s="122">
        <f t="shared" si="62"/>
        <v>0</v>
      </c>
    </row>
    <row r="297" spans="1:19">
      <c r="A297" s="131"/>
      <c r="B297" s="132"/>
      <c r="C297" s="123">
        <f t="shared" si="53"/>
        <v>1</v>
      </c>
      <c r="D297" s="133"/>
      <c r="E297" s="123">
        <f t="shared" si="54"/>
        <v>1</v>
      </c>
      <c r="F297" s="133"/>
      <c r="G297" s="123">
        <f t="shared" si="55"/>
        <v>1</v>
      </c>
      <c r="H297" s="133"/>
      <c r="I297" s="123">
        <f t="shared" si="56"/>
        <v>1</v>
      </c>
      <c r="J297" s="133"/>
      <c r="K297" s="123">
        <f t="shared" si="57"/>
        <v>1</v>
      </c>
      <c r="L297" s="133"/>
      <c r="M297" s="123">
        <f t="shared" si="58"/>
        <v>1</v>
      </c>
      <c r="N297" s="133"/>
      <c r="O297" s="123">
        <f t="shared" si="59"/>
        <v>1</v>
      </c>
      <c r="P297" s="133"/>
      <c r="Q297" s="123">
        <f t="shared" si="60"/>
        <v>1</v>
      </c>
      <c r="R297" s="187">
        <f t="shared" si="61"/>
        <v>0</v>
      </c>
      <c r="S297" s="122">
        <f t="shared" si="62"/>
        <v>0</v>
      </c>
    </row>
    <row r="298" spans="1:19">
      <c r="A298" s="131"/>
      <c r="B298" s="132"/>
      <c r="C298" s="123">
        <f t="shared" si="53"/>
        <v>1</v>
      </c>
      <c r="D298" s="133"/>
      <c r="E298" s="123">
        <f t="shared" si="54"/>
        <v>1</v>
      </c>
      <c r="F298" s="133"/>
      <c r="G298" s="123">
        <f t="shared" si="55"/>
        <v>1</v>
      </c>
      <c r="H298" s="133"/>
      <c r="I298" s="123">
        <f t="shared" si="56"/>
        <v>1</v>
      </c>
      <c r="J298" s="133"/>
      <c r="K298" s="123">
        <f t="shared" si="57"/>
        <v>1</v>
      </c>
      <c r="L298" s="133"/>
      <c r="M298" s="123">
        <f t="shared" si="58"/>
        <v>1</v>
      </c>
      <c r="N298" s="133"/>
      <c r="O298" s="123">
        <f t="shared" si="59"/>
        <v>1</v>
      </c>
      <c r="P298" s="133"/>
      <c r="Q298" s="123">
        <f t="shared" si="60"/>
        <v>1</v>
      </c>
      <c r="R298" s="187">
        <f t="shared" si="61"/>
        <v>0</v>
      </c>
      <c r="S298" s="122">
        <f t="shared" si="62"/>
        <v>0</v>
      </c>
    </row>
    <row r="299" spans="1:19">
      <c r="A299" s="131"/>
      <c r="B299" s="132"/>
      <c r="C299" s="123">
        <f t="shared" si="53"/>
        <v>1</v>
      </c>
      <c r="D299" s="133"/>
      <c r="E299" s="123">
        <f t="shared" si="54"/>
        <v>1</v>
      </c>
      <c r="F299" s="133"/>
      <c r="G299" s="123">
        <f t="shared" si="55"/>
        <v>1</v>
      </c>
      <c r="H299" s="133"/>
      <c r="I299" s="123">
        <f t="shared" si="56"/>
        <v>1</v>
      </c>
      <c r="J299" s="133"/>
      <c r="K299" s="123">
        <f t="shared" si="57"/>
        <v>1</v>
      </c>
      <c r="L299" s="133"/>
      <c r="M299" s="123">
        <f t="shared" si="58"/>
        <v>1</v>
      </c>
      <c r="N299" s="133"/>
      <c r="O299" s="123">
        <f t="shared" si="59"/>
        <v>1</v>
      </c>
      <c r="P299" s="133"/>
      <c r="Q299" s="123">
        <f t="shared" si="60"/>
        <v>1</v>
      </c>
      <c r="R299" s="187">
        <f t="shared" si="61"/>
        <v>0</v>
      </c>
      <c r="S299" s="122">
        <f t="shared" si="62"/>
        <v>0</v>
      </c>
    </row>
    <row r="300" spans="1:19">
      <c r="A300" s="131"/>
      <c r="B300" s="132"/>
      <c r="C300" s="123">
        <f t="shared" si="53"/>
        <v>1</v>
      </c>
      <c r="D300" s="133"/>
      <c r="E300" s="123">
        <f t="shared" si="54"/>
        <v>1</v>
      </c>
      <c r="F300" s="133"/>
      <c r="G300" s="123">
        <f t="shared" si="55"/>
        <v>1</v>
      </c>
      <c r="H300" s="133"/>
      <c r="I300" s="123">
        <f t="shared" si="56"/>
        <v>1</v>
      </c>
      <c r="J300" s="133"/>
      <c r="K300" s="123">
        <f t="shared" si="57"/>
        <v>1</v>
      </c>
      <c r="L300" s="133"/>
      <c r="M300" s="123">
        <f t="shared" si="58"/>
        <v>1</v>
      </c>
      <c r="N300" s="133"/>
      <c r="O300" s="123">
        <f t="shared" si="59"/>
        <v>1</v>
      </c>
      <c r="P300" s="133"/>
      <c r="Q300" s="123">
        <f t="shared" si="60"/>
        <v>1</v>
      </c>
      <c r="R300" s="187">
        <f t="shared" si="61"/>
        <v>0</v>
      </c>
      <c r="S300" s="122">
        <f t="shared" si="62"/>
        <v>0</v>
      </c>
    </row>
    <row r="301" spans="1:19">
      <c r="A301" s="131"/>
      <c r="B301" s="132"/>
      <c r="C301" s="123">
        <f t="shared" si="53"/>
        <v>1</v>
      </c>
      <c r="D301" s="133"/>
      <c r="E301" s="123">
        <f t="shared" si="54"/>
        <v>1</v>
      </c>
      <c r="F301" s="133"/>
      <c r="G301" s="123">
        <f t="shared" si="55"/>
        <v>1</v>
      </c>
      <c r="H301" s="133"/>
      <c r="I301" s="123">
        <f t="shared" si="56"/>
        <v>1</v>
      </c>
      <c r="J301" s="133"/>
      <c r="K301" s="123">
        <f t="shared" si="57"/>
        <v>1</v>
      </c>
      <c r="L301" s="133"/>
      <c r="M301" s="123">
        <f t="shared" si="58"/>
        <v>1</v>
      </c>
      <c r="N301" s="133"/>
      <c r="O301" s="123">
        <f t="shared" si="59"/>
        <v>1</v>
      </c>
      <c r="P301" s="133"/>
      <c r="Q301" s="123">
        <f t="shared" si="60"/>
        <v>1</v>
      </c>
      <c r="R301" s="187">
        <f t="shared" si="61"/>
        <v>0</v>
      </c>
      <c r="S301" s="122">
        <f t="shared" si="62"/>
        <v>0</v>
      </c>
    </row>
    <row r="302" spans="1:19">
      <c r="A302" s="131"/>
      <c r="B302" s="132"/>
      <c r="C302" s="123">
        <f t="shared" si="53"/>
        <v>1</v>
      </c>
      <c r="D302" s="133"/>
      <c r="E302" s="123">
        <f t="shared" si="54"/>
        <v>1</v>
      </c>
      <c r="F302" s="133"/>
      <c r="G302" s="123">
        <f t="shared" si="55"/>
        <v>1</v>
      </c>
      <c r="H302" s="133"/>
      <c r="I302" s="123">
        <f t="shared" si="56"/>
        <v>1</v>
      </c>
      <c r="J302" s="133"/>
      <c r="K302" s="123">
        <f t="shared" si="57"/>
        <v>1</v>
      </c>
      <c r="L302" s="133"/>
      <c r="M302" s="123">
        <f t="shared" si="58"/>
        <v>1</v>
      </c>
      <c r="N302" s="133"/>
      <c r="O302" s="123">
        <f t="shared" si="59"/>
        <v>1</v>
      </c>
      <c r="P302" s="133"/>
      <c r="Q302" s="123">
        <f t="shared" si="60"/>
        <v>1</v>
      </c>
      <c r="R302" s="187">
        <f t="shared" si="61"/>
        <v>0</v>
      </c>
      <c r="S302" s="122">
        <f t="shared" si="62"/>
        <v>0</v>
      </c>
    </row>
    <row r="303" spans="1:19">
      <c r="A303" s="131"/>
      <c r="B303" s="132"/>
      <c r="C303" s="123">
        <f t="shared" si="53"/>
        <v>1</v>
      </c>
      <c r="D303" s="133"/>
      <c r="E303" s="123">
        <f t="shared" si="54"/>
        <v>1</v>
      </c>
      <c r="F303" s="133"/>
      <c r="G303" s="123">
        <f t="shared" si="55"/>
        <v>1</v>
      </c>
      <c r="H303" s="133"/>
      <c r="I303" s="123">
        <f t="shared" si="56"/>
        <v>1</v>
      </c>
      <c r="J303" s="133"/>
      <c r="K303" s="123">
        <f t="shared" si="57"/>
        <v>1</v>
      </c>
      <c r="L303" s="133"/>
      <c r="M303" s="123">
        <f t="shared" si="58"/>
        <v>1</v>
      </c>
      <c r="N303" s="133"/>
      <c r="O303" s="123">
        <f t="shared" si="59"/>
        <v>1</v>
      </c>
      <c r="P303" s="133"/>
      <c r="Q303" s="123">
        <f t="shared" si="60"/>
        <v>1</v>
      </c>
      <c r="R303" s="187">
        <f t="shared" si="61"/>
        <v>0</v>
      </c>
      <c r="S303" s="122">
        <f t="shared" si="62"/>
        <v>0</v>
      </c>
    </row>
    <row r="304" spans="1:19">
      <c r="A304" s="131"/>
      <c r="B304" s="132"/>
      <c r="C304" s="123">
        <f t="shared" si="53"/>
        <v>1</v>
      </c>
      <c r="D304" s="133"/>
      <c r="E304" s="123">
        <f t="shared" si="54"/>
        <v>1</v>
      </c>
      <c r="F304" s="133"/>
      <c r="G304" s="123">
        <f t="shared" si="55"/>
        <v>1</v>
      </c>
      <c r="H304" s="133"/>
      <c r="I304" s="123">
        <f t="shared" si="56"/>
        <v>1</v>
      </c>
      <c r="J304" s="133"/>
      <c r="K304" s="123">
        <f t="shared" si="57"/>
        <v>1</v>
      </c>
      <c r="L304" s="133"/>
      <c r="M304" s="123">
        <f t="shared" si="58"/>
        <v>1</v>
      </c>
      <c r="N304" s="133"/>
      <c r="O304" s="123">
        <f t="shared" si="59"/>
        <v>1</v>
      </c>
      <c r="P304" s="133"/>
      <c r="Q304" s="123">
        <f t="shared" si="60"/>
        <v>1</v>
      </c>
      <c r="R304" s="187">
        <f t="shared" si="61"/>
        <v>0</v>
      </c>
      <c r="S304" s="122">
        <f t="shared" si="62"/>
        <v>0</v>
      </c>
    </row>
    <row r="305" spans="1:19">
      <c r="A305" s="131"/>
      <c r="B305" s="132"/>
      <c r="C305" s="123">
        <f t="shared" si="53"/>
        <v>1</v>
      </c>
      <c r="D305" s="133"/>
      <c r="E305" s="123">
        <f t="shared" si="54"/>
        <v>1</v>
      </c>
      <c r="F305" s="133"/>
      <c r="G305" s="123">
        <f t="shared" si="55"/>
        <v>1</v>
      </c>
      <c r="H305" s="133"/>
      <c r="I305" s="123">
        <f t="shared" si="56"/>
        <v>1</v>
      </c>
      <c r="J305" s="133"/>
      <c r="K305" s="123">
        <f t="shared" si="57"/>
        <v>1</v>
      </c>
      <c r="L305" s="133"/>
      <c r="M305" s="123">
        <f t="shared" si="58"/>
        <v>1</v>
      </c>
      <c r="N305" s="133"/>
      <c r="O305" s="123">
        <f t="shared" si="59"/>
        <v>1</v>
      </c>
      <c r="P305" s="133"/>
      <c r="Q305" s="123">
        <f t="shared" si="60"/>
        <v>1</v>
      </c>
      <c r="R305" s="187">
        <f t="shared" si="61"/>
        <v>0</v>
      </c>
      <c r="S305" s="122">
        <f t="shared" si="62"/>
        <v>0</v>
      </c>
    </row>
    <row r="306" spans="1:19">
      <c r="A306" s="131"/>
      <c r="B306" s="132"/>
      <c r="C306" s="123">
        <f t="shared" si="53"/>
        <v>1</v>
      </c>
      <c r="D306" s="133"/>
      <c r="E306" s="123">
        <f t="shared" si="54"/>
        <v>1</v>
      </c>
      <c r="F306" s="133"/>
      <c r="G306" s="123">
        <f t="shared" si="55"/>
        <v>1</v>
      </c>
      <c r="H306" s="133"/>
      <c r="I306" s="123">
        <f t="shared" si="56"/>
        <v>1</v>
      </c>
      <c r="J306" s="133"/>
      <c r="K306" s="123">
        <f t="shared" si="57"/>
        <v>1</v>
      </c>
      <c r="L306" s="133"/>
      <c r="M306" s="123">
        <f t="shared" si="58"/>
        <v>1</v>
      </c>
      <c r="N306" s="133"/>
      <c r="O306" s="123">
        <f t="shared" si="59"/>
        <v>1</v>
      </c>
      <c r="P306" s="133"/>
      <c r="Q306" s="123">
        <f t="shared" si="60"/>
        <v>1</v>
      </c>
      <c r="R306" s="187">
        <f t="shared" si="61"/>
        <v>0</v>
      </c>
      <c r="S306" s="122">
        <f t="shared" si="62"/>
        <v>0</v>
      </c>
    </row>
    <row r="307" spans="1:19">
      <c r="A307" s="131"/>
      <c r="B307" s="132"/>
      <c r="C307" s="123">
        <f t="shared" si="53"/>
        <v>1</v>
      </c>
      <c r="D307" s="133"/>
      <c r="E307" s="123">
        <f t="shared" si="54"/>
        <v>1</v>
      </c>
      <c r="F307" s="133"/>
      <c r="G307" s="123">
        <f t="shared" si="55"/>
        <v>1</v>
      </c>
      <c r="H307" s="133"/>
      <c r="I307" s="123">
        <f t="shared" si="56"/>
        <v>1</v>
      </c>
      <c r="J307" s="133"/>
      <c r="K307" s="123">
        <f t="shared" si="57"/>
        <v>1</v>
      </c>
      <c r="L307" s="133"/>
      <c r="M307" s="123">
        <f t="shared" si="58"/>
        <v>1</v>
      </c>
      <c r="N307" s="133"/>
      <c r="O307" s="123">
        <f t="shared" si="59"/>
        <v>1</v>
      </c>
      <c r="P307" s="133"/>
      <c r="Q307" s="123">
        <f t="shared" si="60"/>
        <v>1</v>
      </c>
      <c r="R307" s="187">
        <f t="shared" si="61"/>
        <v>0</v>
      </c>
      <c r="S307" s="122">
        <f t="shared" si="62"/>
        <v>0</v>
      </c>
    </row>
    <row r="308" spans="1:19">
      <c r="A308" s="131"/>
      <c r="B308" s="132"/>
      <c r="C308" s="123">
        <f t="shared" si="53"/>
        <v>1</v>
      </c>
      <c r="D308" s="133"/>
      <c r="E308" s="123">
        <f t="shared" si="54"/>
        <v>1</v>
      </c>
      <c r="F308" s="133"/>
      <c r="G308" s="123">
        <f t="shared" si="55"/>
        <v>1</v>
      </c>
      <c r="H308" s="133"/>
      <c r="I308" s="123">
        <f t="shared" si="56"/>
        <v>1</v>
      </c>
      <c r="J308" s="133"/>
      <c r="K308" s="123">
        <f t="shared" si="57"/>
        <v>1</v>
      </c>
      <c r="L308" s="133"/>
      <c r="M308" s="123">
        <f t="shared" si="58"/>
        <v>1</v>
      </c>
      <c r="N308" s="133"/>
      <c r="O308" s="123">
        <f t="shared" si="59"/>
        <v>1</v>
      </c>
      <c r="P308" s="133"/>
      <c r="Q308" s="123">
        <f t="shared" si="60"/>
        <v>1</v>
      </c>
      <c r="R308" s="187">
        <f t="shared" si="61"/>
        <v>0</v>
      </c>
      <c r="S308" s="122">
        <f t="shared" si="62"/>
        <v>0</v>
      </c>
    </row>
    <row r="309" spans="1:19">
      <c r="A309" s="131"/>
      <c r="B309" s="132"/>
      <c r="C309" s="123">
        <f t="shared" si="53"/>
        <v>1</v>
      </c>
      <c r="D309" s="133"/>
      <c r="E309" s="123">
        <f t="shared" si="54"/>
        <v>1</v>
      </c>
      <c r="F309" s="133"/>
      <c r="G309" s="123">
        <f t="shared" si="55"/>
        <v>1</v>
      </c>
      <c r="H309" s="133"/>
      <c r="I309" s="123">
        <f t="shared" si="56"/>
        <v>1</v>
      </c>
      <c r="J309" s="133"/>
      <c r="K309" s="123">
        <f t="shared" si="57"/>
        <v>1</v>
      </c>
      <c r="L309" s="133"/>
      <c r="M309" s="123">
        <f t="shared" si="58"/>
        <v>1</v>
      </c>
      <c r="N309" s="133"/>
      <c r="O309" s="123">
        <f t="shared" si="59"/>
        <v>1</v>
      </c>
      <c r="P309" s="133"/>
      <c r="Q309" s="123">
        <f t="shared" si="60"/>
        <v>1</v>
      </c>
      <c r="R309" s="187">
        <f t="shared" si="61"/>
        <v>0</v>
      </c>
      <c r="S309" s="122">
        <f t="shared" si="62"/>
        <v>0</v>
      </c>
    </row>
    <row r="310" spans="1:19">
      <c r="A310" s="131"/>
      <c r="B310" s="132"/>
      <c r="C310" s="123">
        <f t="shared" si="53"/>
        <v>1</v>
      </c>
      <c r="D310" s="133"/>
      <c r="E310" s="123">
        <f t="shared" si="54"/>
        <v>1</v>
      </c>
      <c r="F310" s="133"/>
      <c r="G310" s="123">
        <f t="shared" si="55"/>
        <v>1</v>
      </c>
      <c r="H310" s="133"/>
      <c r="I310" s="123">
        <f t="shared" si="56"/>
        <v>1</v>
      </c>
      <c r="J310" s="133"/>
      <c r="K310" s="123">
        <f t="shared" si="57"/>
        <v>1</v>
      </c>
      <c r="L310" s="133"/>
      <c r="M310" s="123">
        <f t="shared" si="58"/>
        <v>1</v>
      </c>
      <c r="N310" s="133"/>
      <c r="O310" s="123">
        <f t="shared" si="59"/>
        <v>1</v>
      </c>
      <c r="P310" s="133"/>
      <c r="Q310" s="123">
        <f t="shared" si="60"/>
        <v>1</v>
      </c>
      <c r="R310" s="187">
        <f t="shared" si="61"/>
        <v>0</v>
      </c>
      <c r="S310" s="122">
        <f t="shared" si="62"/>
        <v>0</v>
      </c>
    </row>
    <row r="311" spans="1:19">
      <c r="A311" s="131"/>
      <c r="B311" s="132"/>
      <c r="C311" s="123">
        <f t="shared" si="53"/>
        <v>1</v>
      </c>
      <c r="D311" s="133"/>
      <c r="E311" s="123">
        <f t="shared" si="54"/>
        <v>1</v>
      </c>
      <c r="F311" s="133"/>
      <c r="G311" s="123">
        <f t="shared" si="55"/>
        <v>1</v>
      </c>
      <c r="H311" s="133"/>
      <c r="I311" s="123">
        <f t="shared" si="56"/>
        <v>1</v>
      </c>
      <c r="J311" s="133"/>
      <c r="K311" s="123">
        <f t="shared" si="57"/>
        <v>1</v>
      </c>
      <c r="L311" s="133"/>
      <c r="M311" s="123">
        <f t="shared" si="58"/>
        <v>1</v>
      </c>
      <c r="N311" s="133"/>
      <c r="O311" s="123">
        <f t="shared" si="59"/>
        <v>1</v>
      </c>
      <c r="P311" s="133"/>
      <c r="Q311" s="123">
        <f t="shared" si="60"/>
        <v>1</v>
      </c>
      <c r="R311" s="187">
        <f t="shared" si="61"/>
        <v>0</v>
      </c>
      <c r="S311" s="122">
        <f t="shared" si="62"/>
        <v>0</v>
      </c>
    </row>
    <row r="312" spans="1:19">
      <c r="A312" s="131"/>
      <c r="B312" s="132"/>
      <c r="C312" s="123">
        <f t="shared" si="53"/>
        <v>1</v>
      </c>
      <c r="D312" s="133"/>
      <c r="E312" s="123">
        <f t="shared" si="54"/>
        <v>1</v>
      </c>
      <c r="F312" s="133"/>
      <c r="G312" s="123">
        <f t="shared" si="55"/>
        <v>1</v>
      </c>
      <c r="H312" s="133"/>
      <c r="I312" s="123">
        <f t="shared" si="56"/>
        <v>1</v>
      </c>
      <c r="J312" s="133"/>
      <c r="K312" s="123">
        <f t="shared" si="57"/>
        <v>1</v>
      </c>
      <c r="L312" s="133"/>
      <c r="M312" s="123">
        <f t="shared" si="58"/>
        <v>1</v>
      </c>
      <c r="N312" s="133"/>
      <c r="O312" s="123">
        <f t="shared" si="59"/>
        <v>1</v>
      </c>
      <c r="P312" s="133"/>
      <c r="Q312" s="123">
        <f t="shared" si="60"/>
        <v>1</v>
      </c>
      <c r="R312" s="187">
        <f t="shared" si="61"/>
        <v>0</v>
      </c>
      <c r="S312" s="122">
        <f t="shared" si="62"/>
        <v>0</v>
      </c>
    </row>
    <row r="313" spans="1:19">
      <c r="A313" s="131"/>
      <c r="B313" s="132"/>
      <c r="C313" s="123">
        <f t="shared" si="53"/>
        <v>1</v>
      </c>
      <c r="D313" s="133"/>
      <c r="E313" s="123">
        <f t="shared" si="54"/>
        <v>1</v>
      </c>
      <c r="F313" s="133"/>
      <c r="G313" s="123">
        <f t="shared" si="55"/>
        <v>1</v>
      </c>
      <c r="H313" s="133"/>
      <c r="I313" s="123">
        <f t="shared" si="56"/>
        <v>1</v>
      </c>
      <c r="J313" s="133"/>
      <c r="K313" s="123">
        <f t="shared" si="57"/>
        <v>1</v>
      </c>
      <c r="L313" s="133"/>
      <c r="M313" s="123">
        <f t="shared" si="58"/>
        <v>1</v>
      </c>
      <c r="N313" s="133"/>
      <c r="O313" s="123">
        <f t="shared" si="59"/>
        <v>1</v>
      </c>
      <c r="P313" s="133"/>
      <c r="Q313" s="123">
        <f t="shared" si="60"/>
        <v>1</v>
      </c>
      <c r="R313" s="187">
        <f t="shared" si="61"/>
        <v>0</v>
      </c>
      <c r="S313" s="122">
        <f t="shared" si="62"/>
        <v>0</v>
      </c>
    </row>
    <row r="314" spans="1:19">
      <c r="A314" s="131"/>
      <c r="B314" s="132"/>
      <c r="C314" s="123">
        <f t="shared" si="53"/>
        <v>1</v>
      </c>
      <c r="D314" s="133"/>
      <c r="E314" s="123">
        <f t="shared" si="54"/>
        <v>1</v>
      </c>
      <c r="F314" s="133"/>
      <c r="G314" s="123">
        <f t="shared" si="55"/>
        <v>1</v>
      </c>
      <c r="H314" s="133"/>
      <c r="I314" s="123">
        <f t="shared" si="56"/>
        <v>1</v>
      </c>
      <c r="J314" s="133"/>
      <c r="K314" s="123">
        <f t="shared" si="57"/>
        <v>1</v>
      </c>
      <c r="L314" s="133"/>
      <c r="M314" s="123">
        <f t="shared" si="58"/>
        <v>1</v>
      </c>
      <c r="N314" s="133"/>
      <c r="O314" s="123">
        <f t="shared" si="59"/>
        <v>1</v>
      </c>
      <c r="P314" s="133"/>
      <c r="Q314" s="123">
        <f t="shared" si="60"/>
        <v>1</v>
      </c>
      <c r="R314" s="187">
        <f t="shared" si="61"/>
        <v>0</v>
      </c>
      <c r="S314" s="122">
        <f t="shared" si="62"/>
        <v>0</v>
      </c>
    </row>
    <row r="315" spans="1:19">
      <c r="A315" s="131"/>
      <c r="B315" s="132"/>
      <c r="C315" s="123">
        <f t="shared" si="53"/>
        <v>1</v>
      </c>
      <c r="D315" s="133"/>
      <c r="E315" s="123">
        <f t="shared" si="54"/>
        <v>1</v>
      </c>
      <c r="F315" s="133"/>
      <c r="G315" s="123">
        <f t="shared" si="55"/>
        <v>1</v>
      </c>
      <c r="H315" s="133"/>
      <c r="I315" s="123">
        <f t="shared" si="56"/>
        <v>1</v>
      </c>
      <c r="J315" s="133"/>
      <c r="K315" s="123">
        <f t="shared" si="57"/>
        <v>1</v>
      </c>
      <c r="L315" s="133"/>
      <c r="M315" s="123">
        <f t="shared" si="58"/>
        <v>1</v>
      </c>
      <c r="N315" s="133"/>
      <c r="O315" s="123">
        <f t="shared" si="59"/>
        <v>1</v>
      </c>
      <c r="P315" s="133"/>
      <c r="Q315" s="123">
        <f t="shared" si="60"/>
        <v>1</v>
      </c>
      <c r="R315" s="187">
        <f t="shared" si="61"/>
        <v>0</v>
      </c>
      <c r="S315" s="122">
        <f t="shared" si="62"/>
        <v>0</v>
      </c>
    </row>
    <row r="316" spans="1:19">
      <c r="A316" s="131"/>
      <c r="B316" s="132"/>
      <c r="C316" s="123">
        <f t="shared" si="53"/>
        <v>1</v>
      </c>
      <c r="D316" s="133"/>
      <c r="E316" s="123">
        <f t="shared" si="54"/>
        <v>1</v>
      </c>
      <c r="F316" s="133"/>
      <c r="G316" s="123">
        <f t="shared" si="55"/>
        <v>1</v>
      </c>
      <c r="H316" s="133"/>
      <c r="I316" s="123">
        <f t="shared" si="56"/>
        <v>1</v>
      </c>
      <c r="J316" s="133"/>
      <c r="K316" s="123">
        <f t="shared" si="57"/>
        <v>1</v>
      </c>
      <c r="L316" s="133"/>
      <c r="M316" s="123">
        <f t="shared" si="58"/>
        <v>1</v>
      </c>
      <c r="N316" s="133"/>
      <c r="O316" s="123">
        <f t="shared" si="59"/>
        <v>1</v>
      </c>
      <c r="P316" s="133"/>
      <c r="Q316" s="123">
        <f t="shared" si="60"/>
        <v>1</v>
      </c>
      <c r="R316" s="187">
        <f t="shared" si="61"/>
        <v>0</v>
      </c>
      <c r="S316" s="122">
        <f t="shared" si="62"/>
        <v>0</v>
      </c>
    </row>
    <row r="317" spans="1:19">
      <c r="A317" s="131"/>
      <c r="B317" s="132"/>
      <c r="C317" s="123">
        <f t="shared" si="53"/>
        <v>1</v>
      </c>
      <c r="D317" s="133"/>
      <c r="E317" s="123">
        <f t="shared" si="54"/>
        <v>1</v>
      </c>
      <c r="F317" s="133"/>
      <c r="G317" s="123">
        <f t="shared" si="55"/>
        <v>1</v>
      </c>
      <c r="H317" s="133"/>
      <c r="I317" s="123">
        <f t="shared" si="56"/>
        <v>1</v>
      </c>
      <c r="J317" s="133"/>
      <c r="K317" s="123">
        <f t="shared" si="57"/>
        <v>1</v>
      </c>
      <c r="L317" s="133"/>
      <c r="M317" s="123">
        <f t="shared" si="58"/>
        <v>1</v>
      </c>
      <c r="N317" s="133"/>
      <c r="O317" s="123">
        <f t="shared" si="59"/>
        <v>1</v>
      </c>
      <c r="P317" s="133"/>
      <c r="Q317" s="123">
        <f t="shared" si="60"/>
        <v>1</v>
      </c>
      <c r="R317" s="187">
        <f t="shared" si="61"/>
        <v>0</v>
      </c>
      <c r="S317" s="122">
        <f t="shared" si="62"/>
        <v>0</v>
      </c>
    </row>
    <row r="318" spans="1:19">
      <c r="A318" s="131"/>
      <c r="B318" s="132"/>
      <c r="C318" s="123">
        <f t="shared" si="53"/>
        <v>1</v>
      </c>
      <c r="D318" s="133"/>
      <c r="E318" s="123">
        <f t="shared" si="54"/>
        <v>1</v>
      </c>
      <c r="F318" s="133"/>
      <c r="G318" s="123">
        <f t="shared" si="55"/>
        <v>1</v>
      </c>
      <c r="H318" s="133"/>
      <c r="I318" s="123">
        <f t="shared" si="56"/>
        <v>1</v>
      </c>
      <c r="J318" s="133"/>
      <c r="K318" s="123">
        <f t="shared" si="57"/>
        <v>1</v>
      </c>
      <c r="L318" s="133"/>
      <c r="M318" s="123">
        <f t="shared" si="58"/>
        <v>1</v>
      </c>
      <c r="N318" s="133"/>
      <c r="O318" s="123">
        <f t="shared" si="59"/>
        <v>1</v>
      </c>
      <c r="P318" s="133"/>
      <c r="Q318" s="123">
        <f t="shared" si="60"/>
        <v>1</v>
      </c>
      <c r="R318" s="187">
        <f t="shared" si="61"/>
        <v>0</v>
      </c>
      <c r="S318" s="122">
        <f t="shared" si="62"/>
        <v>0</v>
      </c>
    </row>
    <row r="319" spans="1:19">
      <c r="A319" s="131"/>
      <c r="B319" s="132"/>
      <c r="C319" s="123">
        <f t="shared" si="53"/>
        <v>1</v>
      </c>
      <c r="D319" s="133"/>
      <c r="E319" s="123">
        <f t="shared" si="54"/>
        <v>1</v>
      </c>
      <c r="F319" s="133"/>
      <c r="G319" s="123">
        <f t="shared" si="55"/>
        <v>1</v>
      </c>
      <c r="H319" s="133"/>
      <c r="I319" s="123">
        <f t="shared" si="56"/>
        <v>1</v>
      </c>
      <c r="J319" s="133"/>
      <c r="K319" s="123">
        <f t="shared" si="57"/>
        <v>1</v>
      </c>
      <c r="L319" s="133"/>
      <c r="M319" s="123">
        <f t="shared" si="58"/>
        <v>1</v>
      </c>
      <c r="N319" s="133"/>
      <c r="O319" s="123">
        <f t="shared" si="59"/>
        <v>1</v>
      </c>
      <c r="P319" s="133"/>
      <c r="Q319" s="123">
        <f t="shared" si="60"/>
        <v>1</v>
      </c>
      <c r="R319" s="187">
        <f t="shared" si="61"/>
        <v>0</v>
      </c>
      <c r="S319" s="122">
        <f t="shared" si="62"/>
        <v>0</v>
      </c>
    </row>
    <row r="320" spans="1:19">
      <c r="A320" s="131"/>
      <c r="B320" s="132"/>
      <c r="C320" s="123">
        <f t="shared" si="53"/>
        <v>1</v>
      </c>
      <c r="D320" s="133"/>
      <c r="E320" s="123">
        <f t="shared" si="54"/>
        <v>1</v>
      </c>
      <c r="F320" s="133"/>
      <c r="G320" s="123">
        <f t="shared" si="55"/>
        <v>1</v>
      </c>
      <c r="H320" s="133"/>
      <c r="I320" s="123">
        <f t="shared" si="56"/>
        <v>1</v>
      </c>
      <c r="J320" s="133"/>
      <c r="K320" s="123">
        <f t="shared" si="57"/>
        <v>1</v>
      </c>
      <c r="L320" s="133"/>
      <c r="M320" s="123">
        <f t="shared" si="58"/>
        <v>1</v>
      </c>
      <c r="N320" s="133"/>
      <c r="O320" s="123">
        <f t="shared" si="59"/>
        <v>1</v>
      </c>
      <c r="P320" s="133"/>
      <c r="Q320" s="123">
        <f t="shared" si="60"/>
        <v>1</v>
      </c>
      <c r="R320" s="187">
        <f t="shared" si="61"/>
        <v>0</v>
      </c>
      <c r="S320" s="122">
        <f t="shared" si="62"/>
        <v>0</v>
      </c>
    </row>
    <row r="321" spans="1:19">
      <c r="A321" s="131"/>
      <c r="B321" s="132"/>
      <c r="C321" s="123">
        <f t="shared" si="53"/>
        <v>1</v>
      </c>
      <c r="D321" s="133"/>
      <c r="E321" s="123">
        <f t="shared" si="54"/>
        <v>1</v>
      </c>
      <c r="F321" s="133"/>
      <c r="G321" s="123">
        <f t="shared" si="55"/>
        <v>1</v>
      </c>
      <c r="H321" s="133"/>
      <c r="I321" s="123">
        <f t="shared" si="56"/>
        <v>1</v>
      </c>
      <c r="J321" s="133"/>
      <c r="K321" s="123">
        <f t="shared" si="57"/>
        <v>1</v>
      </c>
      <c r="L321" s="133"/>
      <c r="M321" s="123">
        <f t="shared" si="58"/>
        <v>1</v>
      </c>
      <c r="N321" s="133"/>
      <c r="O321" s="123">
        <f t="shared" si="59"/>
        <v>1</v>
      </c>
      <c r="P321" s="133"/>
      <c r="Q321" s="123">
        <f t="shared" si="60"/>
        <v>1</v>
      </c>
      <c r="R321" s="187">
        <f t="shared" si="61"/>
        <v>0</v>
      </c>
      <c r="S321" s="122">
        <f t="shared" ref="S321:S384" si="63">ROUND(R321*B321/10000,0)</f>
        <v>0</v>
      </c>
    </row>
    <row r="322" spans="1:19">
      <c r="A322" s="131"/>
      <c r="B322" s="132"/>
      <c r="C322" s="123">
        <f t="shared" si="53"/>
        <v>1</v>
      </c>
      <c r="D322" s="133"/>
      <c r="E322" s="123">
        <f t="shared" si="54"/>
        <v>1</v>
      </c>
      <c r="F322" s="133"/>
      <c r="G322" s="123">
        <f t="shared" si="55"/>
        <v>1</v>
      </c>
      <c r="H322" s="133"/>
      <c r="I322" s="123">
        <f t="shared" si="56"/>
        <v>1</v>
      </c>
      <c r="J322" s="133"/>
      <c r="K322" s="123">
        <f t="shared" si="57"/>
        <v>1</v>
      </c>
      <c r="L322" s="133"/>
      <c r="M322" s="123">
        <f t="shared" si="58"/>
        <v>1</v>
      </c>
      <c r="N322" s="133"/>
      <c r="O322" s="123">
        <f t="shared" si="59"/>
        <v>1</v>
      </c>
      <c r="P322" s="133"/>
      <c r="Q322" s="123">
        <f t="shared" si="60"/>
        <v>1</v>
      </c>
      <c r="R322" s="187">
        <f t="shared" si="61"/>
        <v>0</v>
      </c>
      <c r="S322" s="122">
        <f t="shared" si="63"/>
        <v>0</v>
      </c>
    </row>
    <row r="323" spans="1:19">
      <c r="A323" s="131"/>
      <c r="B323" s="132"/>
      <c r="C323" s="123">
        <f t="shared" si="53"/>
        <v>1</v>
      </c>
      <c r="D323" s="133"/>
      <c r="E323" s="123">
        <f t="shared" si="54"/>
        <v>1</v>
      </c>
      <c r="F323" s="133"/>
      <c r="G323" s="123">
        <f t="shared" si="55"/>
        <v>1</v>
      </c>
      <c r="H323" s="133"/>
      <c r="I323" s="123">
        <f t="shared" si="56"/>
        <v>1</v>
      </c>
      <c r="J323" s="133"/>
      <c r="K323" s="123">
        <f t="shared" si="57"/>
        <v>1</v>
      </c>
      <c r="L323" s="133"/>
      <c r="M323" s="123">
        <f t="shared" si="58"/>
        <v>1</v>
      </c>
      <c r="N323" s="133"/>
      <c r="O323" s="123">
        <f t="shared" si="59"/>
        <v>1</v>
      </c>
      <c r="P323" s="133"/>
      <c r="Q323" s="123">
        <f t="shared" si="60"/>
        <v>1</v>
      </c>
      <c r="R323" s="187">
        <f t="shared" si="61"/>
        <v>0</v>
      </c>
      <c r="S323" s="122">
        <f t="shared" si="63"/>
        <v>0</v>
      </c>
    </row>
    <row r="324" spans="1:19">
      <c r="A324" s="131"/>
      <c r="B324" s="132"/>
      <c r="C324" s="123">
        <f t="shared" si="53"/>
        <v>1</v>
      </c>
      <c r="D324" s="133"/>
      <c r="E324" s="123">
        <f t="shared" si="54"/>
        <v>1</v>
      </c>
      <c r="F324" s="133"/>
      <c r="G324" s="123">
        <f t="shared" si="55"/>
        <v>1</v>
      </c>
      <c r="H324" s="133"/>
      <c r="I324" s="123">
        <f t="shared" si="56"/>
        <v>1</v>
      </c>
      <c r="J324" s="133"/>
      <c r="K324" s="123">
        <f t="shared" si="57"/>
        <v>1</v>
      </c>
      <c r="L324" s="133"/>
      <c r="M324" s="123">
        <f t="shared" si="58"/>
        <v>1</v>
      </c>
      <c r="N324" s="133"/>
      <c r="O324" s="123">
        <f t="shared" si="59"/>
        <v>1</v>
      </c>
      <c r="P324" s="133"/>
      <c r="Q324" s="123">
        <f t="shared" si="60"/>
        <v>1</v>
      </c>
      <c r="R324" s="187">
        <f t="shared" si="61"/>
        <v>0</v>
      </c>
      <c r="S324" s="122">
        <f t="shared" si="63"/>
        <v>0</v>
      </c>
    </row>
    <row r="325" spans="1:19">
      <c r="A325" s="131"/>
      <c r="B325" s="132"/>
      <c r="C325" s="123">
        <f t="shared" si="53"/>
        <v>1</v>
      </c>
      <c r="D325" s="133"/>
      <c r="E325" s="123">
        <f t="shared" si="54"/>
        <v>1</v>
      </c>
      <c r="F325" s="133"/>
      <c r="G325" s="123">
        <f t="shared" si="55"/>
        <v>1</v>
      </c>
      <c r="H325" s="133"/>
      <c r="I325" s="123">
        <f t="shared" si="56"/>
        <v>1</v>
      </c>
      <c r="J325" s="133"/>
      <c r="K325" s="123">
        <f t="shared" si="57"/>
        <v>1</v>
      </c>
      <c r="L325" s="133"/>
      <c r="M325" s="123">
        <f t="shared" si="58"/>
        <v>1</v>
      </c>
      <c r="N325" s="133"/>
      <c r="O325" s="123">
        <f t="shared" si="59"/>
        <v>1</v>
      </c>
      <c r="P325" s="133"/>
      <c r="Q325" s="123">
        <f t="shared" si="60"/>
        <v>1</v>
      </c>
      <c r="R325" s="187">
        <f t="shared" si="61"/>
        <v>0</v>
      </c>
      <c r="S325" s="122">
        <f t="shared" si="63"/>
        <v>0</v>
      </c>
    </row>
    <row r="326" spans="1:19">
      <c r="A326" s="131"/>
      <c r="B326" s="132"/>
      <c r="C326" s="123">
        <f t="shared" si="53"/>
        <v>1</v>
      </c>
      <c r="D326" s="133"/>
      <c r="E326" s="123">
        <f t="shared" si="54"/>
        <v>1</v>
      </c>
      <c r="F326" s="133"/>
      <c r="G326" s="123">
        <f t="shared" si="55"/>
        <v>1</v>
      </c>
      <c r="H326" s="133"/>
      <c r="I326" s="123">
        <f t="shared" si="56"/>
        <v>1</v>
      </c>
      <c r="J326" s="133"/>
      <c r="K326" s="123">
        <f t="shared" si="57"/>
        <v>1</v>
      </c>
      <c r="L326" s="133"/>
      <c r="M326" s="123">
        <f t="shared" si="58"/>
        <v>1</v>
      </c>
      <c r="N326" s="133"/>
      <c r="O326" s="123">
        <f t="shared" si="59"/>
        <v>1</v>
      </c>
      <c r="P326" s="133"/>
      <c r="Q326" s="123">
        <f t="shared" si="60"/>
        <v>1</v>
      </c>
      <c r="R326" s="187">
        <f t="shared" si="61"/>
        <v>0</v>
      </c>
      <c r="S326" s="122">
        <f t="shared" si="63"/>
        <v>0</v>
      </c>
    </row>
    <row r="327" spans="1:19">
      <c r="A327" s="131"/>
      <c r="B327" s="132"/>
      <c r="C327" s="123">
        <f t="shared" si="53"/>
        <v>1</v>
      </c>
      <c r="D327" s="133"/>
      <c r="E327" s="123">
        <f t="shared" si="54"/>
        <v>1</v>
      </c>
      <c r="F327" s="133"/>
      <c r="G327" s="123">
        <f t="shared" si="55"/>
        <v>1</v>
      </c>
      <c r="H327" s="133"/>
      <c r="I327" s="123">
        <f t="shared" si="56"/>
        <v>1</v>
      </c>
      <c r="J327" s="133"/>
      <c r="K327" s="123">
        <f t="shared" si="57"/>
        <v>1</v>
      </c>
      <c r="L327" s="133"/>
      <c r="M327" s="123">
        <f t="shared" si="58"/>
        <v>1</v>
      </c>
      <c r="N327" s="133"/>
      <c r="O327" s="123">
        <f t="shared" si="59"/>
        <v>1</v>
      </c>
      <c r="P327" s="133"/>
      <c r="Q327" s="123">
        <f t="shared" si="60"/>
        <v>1</v>
      </c>
      <c r="R327" s="187">
        <f t="shared" si="61"/>
        <v>0</v>
      </c>
      <c r="S327" s="122">
        <f t="shared" si="63"/>
        <v>0</v>
      </c>
    </row>
    <row r="328" spans="1:19">
      <c r="A328" s="131"/>
      <c r="B328" s="132"/>
      <c r="C328" s="123">
        <f t="shared" si="53"/>
        <v>1</v>
      </c>
      <c r="D328" s="133"/>
      <c r="E328" s="123">
        <f t="shared" si="54"/>
        <v>1</v>
      </c>
      <c r="F328" s="133"/>
      <c r="G328" s="123">
        <f t="shared" si="55"/>
        <v>1</v>
      </c>
      <c r="H328" s="133"/>
      <c r="I328" s="123">
        <f t="shared" si="56"/>
        <v>1</v>
      </c>
      <c r="J328" s="133"/>
      <c r="K328" s="123">
        <f t="shared" si="57"/>
        <v>1</v>
      </c>
      <c r="L328" s="133"/>
      <c r="M328" s="123">
        <f t="shared" si="58"/>
        <v>1</v>
      </c>
      <c r="N328" s="133"/>
      <c r="O328" s="123">
        <f t="shared" si="59"/>
        <v>1</v>
      </c>
      <c r="P328" s="133"/>
      <c r="Q328" s="123">
        <f t="shared" si="60"/>
        <v>1</v>
      </c>
      <c r="R328" s="187">
        <f t="shared" si="61"/>
        <v>0</v>
      </c>
      <c r="S328" s="122">
        <f t="shared" si="63"/>
        <v>0</v>
      </c>
    </row>
    <row r="329" spans="1:19">
      <c r="A329" s="131"/>
      <c r="B329" s="132"/>
      <c r="C329" s="123">
        <f t="shared" si="53"/>
        <v>1</v>
      </c>
      <c r="D329" s="133"/>
      <c r="E329" s="123">
        <f t="shared" si="54"/>
        <v>1</v>
      </c>
      <c r="F329" s="133"/>
      <c r="G329" s="123">
        <f t="shared" si="55"/>
        <v>1</v>
      </c>
      <c r="H329" s="133"/>
      <c r="I329" s="123">
        <f t="shared" si="56"/>
        <v>1</v>
      </c>
      <c r="J329" s="133"/>
      <c r="K329" s="123">
        <f t="shared" si="57"/>
        <v>1</v>
      </c>
      <c r="L329" s="133"/>
      <c r="M329" s="123">
        <f t="shared" si="58"/>
        <v>1</v>
      </c>
      <c r="N329" s="133"/>
      <c r="O329" s="123">
        <f t="shared" si="59"/>
        <v>1</v>
      </c>
      <c r="P329" s="133"/>
      <c r="Q329" s="123">
        <f t="shared" si="60"/>
        <v>1</v>
      </c>
      <c r="R329" s="187">
        <f t="shared" si="61"/>
        <v>0</v>
      </c>
      <c r="S329" s="122">
        <f t="shared" si="63"/>
        <v>0</v>
      </c>
    </row>
    <row r="330" spans="1:19">
      <c r="A330" s="131"/>
      <c r="B330" s="132"/>
      <c r="C330" s="123">
        <f t="shared" si="53"/>
        <v>1</v>
      </c>
      <c r="D330" s="133"/>
      <c r="E330" s="123">
        <f t="shared" si="54"/>
        <v>1</v>
      </c>
      <c r="F330" s="133"/>
      <c r="G330" s="123">
        <f t="shared" si="55"/>
        <v>1</v>
      </c>
      <c r="H330" s="133"/>
      <c r="I330" s="123">
        <f t="shared" si="56"/>
        <v>1</v>
      </c>
      <c r="J330" s="133"/>
      <c r="K330" s="123">
        <f t="shared" si="57"/>
        <v>1</v>
      </c>
      <c r="L330" s="133"/>
      <c r="M330" s="123">
        <f t="shared" si="58"/>
        <v>1</v>
      </c>
      <c r="N330" s="133"/>
      <c r="O330" s="123">
        <f t="shared" si="59"/>
        <v>1</v>
      </c>
      <c r="P330" s="133"/>
      <c r="Q330" s="123">
        <f t="shared" si="60"/>
        <v>1</v>
      </c>
      <c r="R330" s="187">
        <f t="shared" si="61"/>
        <v>0</v>
      </c>
      <c r="S330" s="122">
        <f t="shared" si="63"/>
        <v>0</v>
      </c>
    </row>
    <row r="331" spans="1:19">
      <c r="A331" s="131"/>
      <c r="B331" s="132"/>
      <c r="C331" s="123">
        <f t="shared" si="53"/>
        <v>1</v>
      </c>
      <c r="D331" s="133"/>
      <c r="E331" s="123">
        <f t="shared" si="54"/>
        <v>1</v>
      </c>
      <c r="F331" s="133"/>
      <c r="G331" s="123">
        <f t="shared" si="55"/>
        <v>1</v>
      </c>
      <c r="H331" s="133"/>
      <c r="I331" s="123">
        <f t="shared" si="56"/>
        <v>1</v>
      </c>
      <c r="J331" s="133"/>
      <c r="K331" s="123">
        <f t="shared" si="57"/>
        <v>1</v>
      </c>
      <c r="L331" s="133"/>
      <c r="M331" s="123">
        <f t="shared" si="58"/>
        <v>1</v>
      </c>
      <c r="N331" s="133"/>
      <c r="O331" s="123">
        <f t="shared" si="59"/>
        <v>1</v>
      </c>
      <c r="P331" s="133"/>
      <c r="Q331" s="123">
        <f t="shared" si="60"/>
        <v>1</v>
      </c>
      <c r="R331" s="187">
        <f t="shared" si="61"/>
        <v>0</v>
      </c>
      <c r="S331" s="122">
        <f t="shared" si="63"/>
        <v>0</v>
      </c>
    </row>
    <row r="332" spans="1:19">
      <c r="A332" s="131"/>
      <c r="B332" s="132"/>
      <c r="C332" s="123">
        <f t="shared" si="53"/>
        <v>1</v>
      </c>
      <c r="D332" s="133"/>
      <c r="E332" s="123">
        <f t="shared" si="54"/>
        <v>1</v>
      </c>
      <c r="F332" s="133"/>
      <c r="G332" s="123">
        <f t="shared" si="55"/>
        <v>1</v>
      </c>
      <c r="H332" s="133"/>
      <c r="I332" s="123">
        <f t="shared" si="56"/>
        <v>1</v>
      </c>
      <c r="J332" s="133"/>
      <c r="K332" s="123">
        <f t="shared" si="57"/>
        <v>1</v>
      </c>
      <c r="L332" s="133"/>
      <c r="M332" s="123">
        <f t="shared" si="58"/>
        <v>1</v>
      </c>
      <c r="N332" s="133"/>
      <c r="O332" s="123">
        <f t="shared" si="59"/>
        <v>1</v>
      </c>
      <c r="P332" s="133"/>
      <c r="Q332" s="123">
        <f t="shared" si="60"/>
        <v>1</v>
      </c>
      <c r="R332" s="187">
        <f t="shared" si="61"/>
        <v>0</v>
      </c>
      <c r="S332" s="122">
        <f t="shared" si="63"/>
        <v>0</v>
      </c>
    </row>
    <row r="333" spans="1:19">
      <c r="A333" s="131"/>
      <c r="B333" s="132"/>
      <c r="C333" s="123">
        <f t="shared" si="53"/>
        <v>1</v>
      </c>
      <c r="D333" s="133"/>
      <c r="E333" s="123">
        <f t="shared" si="54"/>
        <v>1</v>
      </c>
      <c r="F333" s="133"/>
      <c r="G333" s="123">
        <f t="shared" si="55"/>
        <v>1</v>
      </c>
      <c r="H333" s="133"/>
      <c r="I333" s="123">
        <f t="shared" si="56"/>
        <v>1</v>
      </c>
      <c r="J333" s="133"/>
      <c r="K333" s="123">
        <f t="shared" si="57"/>
        <v>1</v>
      </c>
      <c r="L333" s="133"/>
      <c r="M333" s="123">
        <f t="shared" si="58"/>
        <v>1</v>
      </c>
      <c r="N333" s="133"/>
      <c r="O333" s="123">
        <f t="shared" si="59"/>
        <v>1</v>
      </c>
      <c r="P333" s="133"/>
      <c r="Q333" s="123">
        <f t="shared" si="60"/>
        <v>1</v>
      </c>
      <c r="R333" s="187">
        <f t="shared" si="61"/>
        <v>0</v>
      </c>
      <c r="S333" s="122">
        <f t="shared" si="63"/>
        <v>0</v>
      </c>
    </row>
    <row r="334" spans="1:19">
      <c r="A334" s="131"/>
      <c r="B334" s="132"/>
      <c r="C334" s="123">
        <f t="shared" si="53"/>
        <v>1</v>
      </c>
      <c r="D334" s="133"/>
      <c r="E334" s="123">
        <f t="shared" si="54"/>
        <v>1</v>
      </c>
      <c r="F334" s="133"/>
      <c r="G334" s="123">
        <f t="shared" si="55"/>
        <v>1</v>
      </c>
      <c r="H334" s="133"/>
      <c r="I334" s="123">
        <f t="shared" si="56"/>
        <v>1</v>
      </c>
      <c r="J334" s="133"/>
      <c r="K334" s="123">
        <f t="shared" si="57"/>
        <v>1</v>
      </c>
      <c r="L334" s="133"/>
      <c r="M334" s="123">
        <f t="shared" si="58"/>
        <v>1</v>
      </c>
      <c r="N334" s="133"/>
      <c r="O334" s="123">
        <f t="shared" si="59"/>
        <v>1</v>
      </c>
      <c r="P334" s="133"/>
      <c r="Q334" s="123">
        <f t="shared" si="60"/>
        <v>1</v>
      </c>
      <c r="R334" s="187">
        <f t="shared" si="61"/>
        <v>0</v>
      </c>
      <c r="S334" s="122">
        <f t="shared" si="63"/>
        <v>0</v>
      </c>
    </row>
    <row r="335" spans="1:19">
      <c r="A335" s="131"/>
      <c r="B335" s="132"/>
      <c r="C335" s="123">
        <f t="shared" si="53"/>
        <v>1</v>
      </c>
      <c r="D335" s="133"/>
      <c r="E335" s="123">
        <f t="shared" si="54"/>
        <v>1</v>
      </c>
      <c r="F335" s="133"/>
      <c r="G335" s="123">
        <f t="shared" si="55"/>
        <v>1</v>
      </c>
      <c r="H335" s="133"/>
      <c r="I335" s="123">
        <f t="shared" si="56"/>
        <v>1</v>
      </c>
      <c r="J335" s="133"/>
      <c r="K335" s="123">
        <f t="shared" si="57"/>
        <v>1</v>
      </c>
      <c r="L335" s="133"/>
      <c r="M335" s="123">
        <f t="shared" si="58"/>
        <v>1</v>
      </c>
      <c r="N335" s="133"/>
      <c r="O335" s="123">
        <f t="shared" si="59"/>
        <v>1</v>
      </c>
      <c r="P335" s="133"/>
      <c r="Q335" s="123">
        <f t="shared" si="60"/>
        <v>1</v>
      </c>
      <c r="R335" s="187">
        <f t="shared" si="61"/>
        <v>0</v>
      </c>
      <c r="S335" s="122">
        <f t="shared" si="63"/>
        <v>0</v>
      </c>
    </row>
    <row r="336" spans="1:19">
      <c r="A336" s="131"/>
      <c r="B336" s="132"/>
      <c r="C336" s="123">
        <f t="shared" si="53"/>
        <v>1</v>
      </c>
      <c r="D336" s="133"/>
      <c r="E336" s="123">
        <f t="shared" si="54"/>
        <v>1</v>
      </c>
      <c r="F336" s="133"/>
      <c r="G336" s="123">
        <f t="shared" si="55"/>
        <v>1</v>
      </c>
      <c r="H336" s="133"/>
      <c r="I336" s="123">
        <f t="shared" si="56"/>
        <v>1</v>
      </c>
      <c r="J336" s="133"/>
      <c r="K336" s="123">
        <f t="shared" si="57"/>
        <v>1</v>
      </c>
      <c r="L336" s="133"/>
      <c r="M336" s="123">
        <f t="shared" si="58"/>
        <v>1</v>
      </c>
      <c r="N336" s="133"/>
      <c r="O336" s="123">
        <f t="shared" si="59"/>
        <v>1</v>
      </c>
      <c r="P336" s="133"/>
      <c r="Q336" s="123">
        <f t="shared" si="60"/>
        <v>1</v>
      </c>
      <c r="R336" s="187">
        <f t="shared" si="61"/>
        <v>0</v>
      </c>
      <c r="S336" s="122">
        <f t="shared" si="63"/>
        <v>0</v>
      </c>
    </row>
    <row r="337" spans="1:19">
      <c r="A337" s="131"/>
      <c r="B337" s="132"/>
      <c r="C337" s="123">
        <f t="shared" si="53"/>
        <v>1</v>
      </c>
      <c r="D337" s="133"/>
      <c r="E337" s="123">
        <f t="shared" si="54"/>
        <v>1</v>
      </c>
      <c r="F337" s="133"/>
      <c r="G337" s="123">
        <f t="shared" si="55"/>
        <v>1</v>
      </c>
      <c r="H337" s="133"/>
      <c r="I337" s="123">
        <f t="shared" si="56"/>
        <v>1</v>
      </c>
      <c r="J337" s="133"/>
      <c r="K337" s="123">
        <f t="shared" si="57"/>
        <v>1</v>
      </c>
      <c r="L337" s="133"/>
      <c r="M337" s="123">
        <f t="shared" si="58"/>
        <v>1</v>
      </c>
      <c r="N337" s="133"/>
      <c r="O337" s="123">
        <f t="shared" si="59"/>
        <v>1</v>
      </c>
      <c r="P337" s="133"/>
      <c r="Q337" s="123">
        <f t="shared" si="60"/>
        <v>1</v>
      </c>
      <c r="R337" s="187">
        <f t="shared" si="61"/>
        <v>0</v>
      </c>
      <c r="S337" s="122">
        <f t="shared" si="63"/>
        <v>0</v>
      </c>
    </row>
    <row r="338" spans="1:19">
      <c r="A338" s="131"/>
      <c r="B338" s="132"/>
      <c r="C338" s="123">
        <f t="shared" si="53"/>
        <v>1</v>
      </c>
      <c r="D338" s="133"/>
      <c r="E338" s="123">
        <f t="shared" si="54"/>
        <v>1</v>
      </c>
      <c r="F338" s="133"/>
      <c r="G338" s="123">
        <f t="shared" si="55"/>
        <v>1</v>
      </c>
      <c r="H338" s="133"/>
      <c r="I338" s="123">
        <f t="shared" si="56"/>
        <v>1</v>
      </c>
      <c r="J338" s="133"/>
      <c r="K338" s="123">
        <f t="shared" si="57"/>
        <v>1</v>
      </c>
      <c r="L338" s="133"/>
      <c r="M338" s="123">
        <f t="shared" si="58"/>
        <v>1</v>
      </c>
      <c r="N338" s="133"/>
      <c r="O338" s="123">
        <f t="shared" si="59"/>
        <v>1</v>
      </c>
      <c r="P338" s="133"/>
      <c r="Q338" s="123">
        <f t="shared" si="60"/>
        <v>1</v>
      </c>
      <c r="R338" s="187">
        <f t="shared" si="61"/>
        <v>0</v>
      </c>
      <c r="S338" s="122">
        <f t="shared" si="63"/>
        <v>0</v>
      </c>
    </row>
    <row r="339" spans="1:19">
      <c r="A339" s="131"/>
      <c r="B339" s="132"/>
      <c r="C339" s="123">
        <f t="shared" si="53"/>
        <v>1</v>
      </c>
      <c r="D339" s="133"/>
      <c r="E339" s="123">
        <f t="shared" si="54"/>
        <v>1</v>
      </c>
      <c r="F339" s="133"/>
      <c r="G339" s="123">
        <f t="shared" si="55"/>
        <v>1</v>
      </c>
      <c r="H339" s="133"/>
      <c r="I339" s="123">
        <f t="shared" si="56"/>
        <v>1</v>
      </c>
      <c r="J339" s="133"/>
      <c r="K339" s="123">
        <f t="shared" si="57"/>
        <v>1</v>
      </c>
      <c r="L339" s="133"/>
      <c r="M339" s="123">
        <f t="shared" si="58"/>
        <v>1</v>
      </c>
      <c r="N339" s="133"/>
      <c r="O339" s="123">
        <f t="shared" si="59"/>
        <v>1</v>
      </c>
      <c r="P339" s="133"/>
      <c r="Q339" s="123">
        <f t="shared" si="60"/>
        <v>1</v>
      </c>
      <c r="R339" s="187">
        <f t="shared" si="61"/>
        <v>0</v>
      </c>
      <c r="S339" s="122">
        <f t="shared" si="63"/>
        <v>0</v>
      </c>
    </row>
    <row r="340" spans="1:19">
      <c r="A340" s="131"/>
      <c r="B340" s="132"/>
      <c r="C340" s="123">
        <f t="shared" si="53"/>
        <v>1</v>
      </c>
      <c r="D340" s="133"/>
      <c r="E340" s="123">
        <f t="shared" si="54"/>
        <v>1</v>
      </c>
      <c r="F340" s="133"/>
      <c r="G340" s="123">
        <f t="shared" si="55"/>
        <v>1</v>
      </c>
      <c r="H340" s="133"/>
      <c r="I340" s="123">
        <f t="shared" si="56"/>
        <v>1</v>
      </c>
      <c r="J340" s="133"/>
      <c r="K340" s="123">
        <f t="shared" si="57"/>
        <v>1</v>
      </c>
      <c r="L340" s="133"/>
      <c r="M340" s="123">
        <f t="shared" si="58"/>
        <v>1</v>
      </c>
      <c r="N340" s="133"/>
      <c r="O340" s="123">
        <f t="shared" si="59"/>
        <v>1</v>
      </c>
      <c r="P340" s="133"/>
      <c r="Q340" s="123">
        <f t="shared" si="60"/>
        <v>1</v>
      </c>
      <c r="R340" s="187">
        <f t="shared" si="61"/>
        <v>0</v>
      </c>
      <c r="S340" s="122">
        <f t="shared" si="63"/>
        <v>0</v>
      </c>
    </row>
    <row r="341" spans="1:19">
      <c r="A341" s="131"/>
      <c r="B341" s="132"/>
      <c r="C341" s="123">
        <f t="shared" si="53"/>
        <v>1</v>
      </c>
      <c r="D341" s="133"/>
      <c r="E341" s="123">
        <f t="shared" si="54"/>
        <v>1</v>
      </c>
      <c r="F341" s="133"/>
      <c r="G341" s="123">
        <f t="shared" si="55"/>
        <v>1</v>
      </c>
      <c r="H341" s="133"/>
      <c r="I341" s="123">
        <f t="shared" si="56"/>
        <v>1</v>
      </c>
      <c r="J341" s="133"/>
      <c r="K341" s="123">
        <f t="shared" si="57"/>
        <v>1</v>
      </c>
      <c r="L341" s="133"/>
      <c r="M341" s="123">
        <f t="shared" si="58"/>
        <v>1</v>
      </c>
      <c r="N341" s="133"/>
      <c r="O341" s="123">
        <f t="shared" si="59"/>
        <v>1</v>
      </c>
      <c r="P341" s="133"/>
      <c r="Q341" s="123">
        <f t="shared" si="60"/>
        <v>1</v>
      </c>
      <c r="R341" s="187">
        <f t="shared" si="61"/>
        <v>0</v>
      </c>
      <c r="S341" s="122">
        <f t="shared" si="63"/>
        <v>0</v>
      </c>
    </row>
    <row r="342" spans="1:19">
      <c r="A342" s="131"/>
      <c r="B342" s="132"/>
      <c r="C342" s="123">
        <f t="shared" si="53"/>
        <v>1</v>
      </c>
      <c r="D342" s="133"/>
      <c r="E342" s="123">
        <f t="shared" si="54"/>
        <v>1</v>
      </c>
      <c r="F342" s="133"/>
      <c r="G342" s="123">
        <f t="shared" si="55"/>
        <v>1</v>
      </c>
      <c r="H342" s="133"/>
      <c r="I342" s="123">
        <f t="shared" si="56"/>
        <v>1</v>
      </c>
      <c r="J342" s="133"/>
      <c r="K342" s="123">
        <f t="shared" si="57"/>
        <v>1</v>
      </c>
      <c r="L342" s="133"/>
      <c r="M342" s="123">
        <f t="shared" si="58"/>
        <v>1</v>
      </c>
      <c r="N342" s="133"/>
      <c r="O342" s="123">
        <f t="shared" si="59"/>
        <v>1</v>
      </c>
      <c r="P342" s="133"/>
      <c r="Q342" s="123">
        <f t="shared" si="60"/>
        <v>1</v>
      </c>
      <c r="R342" s="187">
        <f t="shared" si="61"/>
        <v>0</v>
      </c>
      <c r="S342" s="122">
        <f t="shared" si="63"/>
        <v>0</v>
      </c>
    </row>
    <row r="343" spans="1:19">
      <c r="A343" s="131"/>
      <c r="B343" s="132"/>
      <c r="C343" s="123">
        <f t="shared" si="53"/>
        <v>1</v>
      </c>
      <c r="D343" s="133"/>
      <c r="E343" s="123">
        <f t="shared" si="54"/>
        <v>1</v>
      </c>
      <c r="F343" s="133"/>
      <c r="G343" s="123">
        <f t="shared" si="55"/>
        <v>1</v>
      </c>
      <c r="H343" s="133"/>
      <c r="I343" s="123">
        <f t="shared" si="56"/>
        <v>1</v>
      </c>
      <c r="J343" s="133"/>
      <c r="K343" s="123">
        <f t="shared" si="57"/>
        <v>1</v>
      </c>
      <c r="L343" s="133"/>
      <c r="M343" s="123">
        <f t="shared" si="58"/>
        <v>1</v>
      </c>
      <c r="N343" s="133"/>
      <c r="O343" s="123">
        <f t="shared" si="59"/>
        <v>1</v>
      </c>
      <c r="P343" s="133"/>
      <c r="Q343" s="123">
        <f t="shared" si="60"/>
        <v>1</v>
      </c>
      <c r="R343" s="187">
        <f t="shared" si="61"/>
        <v>0</v>
      </c>
      <c r="S343" s="122">
        <f t="shared" si="63"/>
        <v>0</v>
      </c>
    </row>
    <row r="344" spans="1:19">
      <c r="A344" s="131"/>
      <c r="B344" s="132"/>
      <c r="C344" s="123">
        <f t="shared" si="53"/>
        <v>1</v>
      </c>
      <c r="D344" s="133"/>
      <c r="E344" s="123">
        <f t="shared" si="54"/>
        <v>1</v>
      </c>
      <c r="F344" s="133"/>
      <c r="G344" s="123">
        <f t="shared" si="55"/>
        <v>1</v>
      </c>
      <c r="H344" s="133"/>
      <c r="I344" s="123">
        <f t="shared" si="56"/>
        <v>1</v>
      </c>
      <c r="J344" s="133"/>
      <c r="K344" s="123">
        <f t="shared" si="57"/>
        <v>1</v>
      </c>
      <c r="L344" s="133"/>
      <c r="M344" s="123">
        <f t="shared" si="58"/>
        <v>1</v>
      </c>
      <c r="N344" s="133"/>
      <c r="O344" s="123">
        <f t="shared" si="59"/>
        <v>1</v>
      </c>
      <c r="P344" s="133"/>
      <c r="Q344" s="123">
        <f t="shared" si="60"/>
        <v>1</v>
      </c>
      <c r="R344" s="187">
        <f t="shared" si="61"/>
        <v>0</v>
      </c>
      <c r="S344" s="122">
        <f t="shared" si="63"/>
        <v>0</v>
      </c>
    </row>
    <row r="345" spans="1:19">
      <c r="A345" s="131"/>
      <c r="B345" s="132"/>
      <c r="C345" s="123">
        <f t="shared" si="53"/>
        <v>1</v>
      </c>
      <c r="D345" s="133"/>
      <c r="E345" s="123">
        <f t="shared" si="54"/>
        <v>1</v>
      </c>
      <c r="F345" s="133"/>
      <c r="G345" s="123">
        <f t="shared" si="55"/>
        <v>1</v>
      </c>
      <c r="H345" s="133"/>
      <c r="I345" s="123">
        <f t="shared" si="56"/>
        <v>1</v>
      </c>
      <c r="J345" s="133"/>
      <c r="K345" s="123">
        <f t="shared" si="57"/>
        <v>1</v>
      </c>
      <c r="L345" s="133"/>
      <c r="M345" s="123">
        <f t="shared" si="58"/>
        <v>1</v>
      </c>
      <c r="N345" s="133"/>
      <c r="O345" s="123">
        <f t="shared" si="59"/>
        <v>1</v>
      </c>
      <c r="P345" s="133"/>
      <c r="Q345" s="123">
        <f t="shared" si="60"/>
        <v>1</v>
      </c>
      <c r="R345" s="187">
        <f t="shared" si="61"/>
        <v>0</v>
      </c>
      <c r="S345" s="122">
        <f t="shared" si="63"/>
        <v>0</v>
      </c>
    </row>
    <row r="346" spans="1:19">
      <c r="A346" s="131"/>
      <c r="B346" s="132"/>
      <c r="C346" s="123">
        <f t="shared" ref="C346:C409" si="64">IF(B346="",1,(LOOKUP(B346,$3:$3,$4:$4)-LOOKUP($B$24,$3:$3,$4:$4)+100)/100)</f>
        <v>1</v>
      </c>
      <c r="D346" s="133"/>
      <c r="E346" s="123">
        <f t="shared" ref="E346:E409" si="65">(SUMIF($5:$5,D346,$6:$6)-SUMIF($5:$5,$D$24,$6:$6)+100)/100</f>
        <v>1</v>
      </c>
      <c r="F346" s="133"/>
      <c r="G346" s="123">
        <f t="shared" ref="G346:G409" si="66">(SUMIF($7:$7,F346,$8:$8)-SUMIF($7:$7,$F$24,$8:$8)+100)/100</f>
        <v>1</v>
      </c>
      <c r="H346" s="133"/>
      <c r="I346" s="123">
        <f t="shared" ref="I346:I409" si="67">(SUMIF($9:$9,H346,$10:$10)-SUMIF($9:$9,$H$24,$10:$10)+100)/100</f>
        <v>1</v>
      </c>
      <c r="J346" s="133"/>
      <c r="K346" s="123">
        <f t="shared" ref="K346:K409" si="68">(SUMIF($11:$11,J346,$12:$12)-SUMIF($11:$11,$J$24,$12:$12)+100)/100</f>
        <v>1</v>
      </c>
      <c r="L346" s="133"/>
      <c r="M346" s="123">
        <f t="shared" ref="M346:M409" si="69">(SUMIF($13:$13,L346,$14:$14)-SUMIF($13:$13,$L$24,$14:$14)+100)/100</f>
        <v>1</v>
      </c>
      <c r="N346" s="133"/>
      <c r="O346" s="123">
        <f t="shared" ref="O346:O409" si="70">(SUMIF($15:$15,N346,$16:$16)-SUMIF($15:$15,$N$24,$16:$16)+100)/100</f>
        <v>1</v>
      </c>
      <c r="P346" s="133"/>
      <c r="Q346" s="123">
        <f t="shared" ref="Q346:Q409" si="71">(SUMIF($17:$17,P346,$18:$18)-SUMIF($17:$17,$P$24,$18:$18)+100)/100</f>
        <v>1</v>
      </c>
      <c r="R346" s="187">
        <f t="shared" ref="R346:R409" si="72">IF(B346="",0,ROUND($R$24*C346*E346*G346*I346*K346*M346*O346*Q346,0))</f>
        <v>0</v>
      </c>
      <c r="S346" s="122">
        <f t="shared" si="63"/>
        <v>0</v>
      </c>
    </row>
    <row r="347" spans="1:19">
      <c r="A347" s="131"/>
      <c r="B347" s="132"/>
      <c r="C347" s="123">
        <f t="shared" si="64"/>
        <v>1</v>
      </c>
      <c r="D347" s="133"/>
      <c r="E347" s="123">
        <f t="shared" si="65"/>
        <v>1</v>
      </c>
      <c r="F347" s="133"/>
      <c r="G347" s="123">
        <f t="shared" si="66"/>
        <v>1</v>
      </c>
      <c r="H347" s="133"/>
      <c r="I347" s="123">
        <f t="shared" si="67"/>
        <v>1</v>
      </c>
      <c r="J347" s="133"/>
      <c r="K347" s="123">
        <f t="shared" si="68"/>
        <v>1</v>
      </c>
      <c r="L347" s="133"/>
      <c r="M347" s="123">
        <f t="shared" si="69"/>
        <v>1</v>
      </c>
      <c r="N347" s="133"/>
      <c r="O347" s="123">
        <f t="shared" si="70"/>
        <v>1</v>
      </c>
      <c r="P347" s="133"/>
      <c r="Q347" s="123">
        <f t="shared" si="71"/>
        <v>1</v>
      </c>
      <c r="R347" s="187">
        <f t="shared" si="72"/>
        <v>0</v>
      </c>
      <c r="S347" s="122">
        <f t="shared" si="63"/>
        <v>0</v>
      </c>
    </row>
    <row r="348" spans="1:19">
      <c r="A348" s="131"/>
      <c r="B348" s="132"/>
      <c r="C348" s="123">
        <f t="shared" si="64"/>
        <v>1</v>
      </c>
      <c r="D348" s="133"/>
      <c r="E348" s="123">
        <f t="shared" si="65"/>
        <v>1</v>
      </c>
      <c r="F348" s="133"/>
      <c r="G348" s="123">
        <f t="shared" si="66"/>
        <v>1</v>
      </c>
      <c r="H348" s="133"/>
      <c r="I348" s="123">
        <f t="shared" si="67"/>
        <v>1</v>
      </c>
      <c r="J348" s="133"/>
      <c r="K348" s="123">
        <f t="shared" si="68"/>
        <v>1</v>
      </c>
      <c r="L348" s="133"/>
      <c r="M348" s="123">
        <f t="shared" si="69"/>
        <v>1</v>
      </c>
      <c r="N348" s="133"/>
      <c r="O348" s="123">
        <f t="shared" si="70"/>
        <v>1</v>
      </c>
      <c r="P348" s="133"/>
      <c r="Q348" s="123">
        <f t="shared" si="71"/>
        <v>1</v>
      </c>
      <c r="R348" s="187">
        <f t="shared" si="72"/>
        <v>0</v>
      </c>
      <c r="S348" s="122">
        <f t="shared" si="63"/>
        <v>0</v>
      </c>
    </row>
    <row r="349" spans="1:19">
      <c r="A349" s="131"/>
      <c r="B349" s="132"/>
      <c r="C349" s="123">
        <f t="shared" si="64"/>
        <v>1</v>
      </c>
      <c r="D349" s="133"/>
      <c r="E349" s="123">
        <f t="shared" si="65"/>
        <v>1</v>
      </c>
      <c r="F349" s="133"/>
      <c r="G349" s="123">
        <f t="shared" si="66"/>
        <v>1</v>
      </c>
      <c r="H349" s="133"/>
      <c r="I349" s="123">
        <f t="shared" si="67"/>
        <v>1</v>
      </c>
      <c r="J349" s="133"/>
      <c r="K349" s="123">
        <f t="shared" si="68"/>
        <v>1</v>
      </c>
      <c r="L349" s="133"/>
      <c r="M349" s="123">
        <f t="shared" si="69"/>
        <v>1</v>
      </c>
      <c r="N349" s="133"/>
      <c r="O349" s="123">
        <f t="shared" si="70"/>
        <v>1</v>
      </c>
      <c r="P349" s="133"/>
      <c r="Q349" s="123">
        <f t="shared" si="71"/>
        <v>1</v>
      </c>
      <c r="R349" s="187">
        <f t="shared" si="72"/>
        <v>0</v>
      </c>
      <c r="S349" s="122">
        <f t="shared" si="63"/>
        <v>0</v>
      </c>
    </row>
    <row r="350" spans="1:19">
      <c r="A350" s="131"/>
      <c r="B350" s="132"/>
      <c r="C350" s="123">
        <f t="shared" si="64"/>
        <v>1</v>
      </c>
      <c r="D350" s="133"/>
      <c r="E350" s="123">
        <f t="shared" si="65"/>
        <v>1</v>
      </c>
      <c r="F350" s="133"/>
      <c r="G350" s="123">
        <f t="shared" si="66"/>
        <v>1</v>
      </c>
      <c r="H350" s="133"/>
      <c r="I350" s="123">
        <f t="shared" si="67"/>
        <v>1</v>
      </c>
      <c r="J350" s="133"/>
      <c r="K350" s="123">
        <f t="shared" si="68"/>
        <v>1</v>
      </c>
      <c r="L350" s="133"/>
      <c r="M350" s="123">
        <f t="shared" si="69"/>
        <v>1</v>
      </c>
      <c r="N350" s="133"/>
      <c r="O350" s="123">
        <f t="shared" si="70"/>
        <v>1</v>
      </c>
      <c r="P350" s="133"/>
      <c r="Q350" s="123">
        <f t="shared" si="71"/>
        <v>1</v>
      </c>
      <c r="R350" s="187">
        <f t="shared" si="72"/>
        <v>0</v>
      </c>
      <c r="S350" s="122">
        <f t="shared" si="63"/>
        <v>0</v>
      </c>
    </row>
    <row r="351" spans="1:19">
      <c r="A351" s="131"/>
      <c r="B351" s="132"/>
      <c r="C351" s="123">
        <f t="shared" si="64"/>
        <v>1</v>
      </c>
      <c r="D351" s="133"/>
      <c r="E351" s="123">
        <f t="shared" si="65"/>
        <v>1</v>
      </c>
      <c r="F351" s="133"/>
      <c r="G351" s="123">
        <f t="shared" si="66"/>
        <v>1</v>
      </c>
      <c r="H351" s="133"/>
      <c r="I351" s="123">
        <f t="shared" si="67"/>
        <v>1</v>
      </c>
      <c r="J351" s="133"/>
      <c r="K351" s="123">
        <f t="shared" si="68"/>
        <v>1</v>
      </c>
      <c r="L351" s="133"/>
      <c r="M351" s="123">
        <f t="shared" si="69"/>
        <v>1</v>
      </c>
      <c r="N351" s="133"/>
      <c r="O351" s="123">
        <f t="shared" si="70"/>
        <v>1</v>
      </c>
      <c r="P351" s="133"/>
      <c r="Q351" s="123">
        <f t="shared" si="71"/>
        <v>1</v>
      </c>
      <c r="R351" s="187">
        <f t="shared" si="72"/>
        <v>0</v>
      </c>
      <c r="S351" s="122">
        <f t="shared" si="63"/>
        <v>0</v>
      </c>
    </row>
    <row r="352" spans="1:19">
      <c r="A352" s="131"/>
      <c r="B352" s="132"/>
      <c r="C352" s="123">
        <f t="shared" si="64"/>
        <v>1</v>
      </c>
      <c r="D352" s="133"/>
      <c r="E352" s="123">
        <f t="shared" si="65"/>
        <v>1</v>
      </c>
      <c r="F352" s="133"/>
      <c r="G352" s="123">
        <f t="shared" si="66"/>
        <v>1</v>
      </c>
      <c r="H352" s="133"/>
      <c r="I352" s="123">
        <f t="shared" si="67"/>
        <v>1</v>
      </c>
      <c r="J352" s="133"/>
      <c r="K352" s="123">
        <f t="shared" si="68"/>
        <v>1</v>
      </c>
      <c r="L352" s="133"/>
      <c r="M352" s="123">
        <f t="shared" si="69"/>
        <v>1</v>
      </c>
      <c r="N352" s="133"/>
      <c r="O352" s="123">
        <f t="shared" si="70"/>
        <v>1</v>
      </c>
      <c r="P352" s="133"/>
      <c r="Q352" s="123">
        <f t="shared" si="71"/>
        <v>1</v>
      </c>
      <c r="R352" s="187">
        <f t="shared" si="72"/>
        <v>0</v>
      </c>
      <c r="S352" s="122">
        <f t="shared" si="63"/>
        <v>0</v>
      </c>
    </row>
    <row r="353" spans="1:19">
      <c r="A353" s="131"/>
      <c r="B353" s="132"/>
      <c r="C353" s="123">
        <f t="shared" si="64"/>
        <v>1</v>
      </c>
      <c r="D353" s="133"/>
      <c r="E353" s="123">
        <f t="shared" si="65"/>
        <v>1</v>
      </c>
      <c r="F353" s="133"/>
      <c r="G353" s="123">
        <f t="shared" si="66"/>
        <v>1</v>
      </c>
      <c r="H353" s="133"/>
      <c r="I353" s="123">
        <f t="shared" si="67"/>
        <v>1</v>
      </c>
      <c r="J353" s="133"/>
      <c r="K353" s="123">
        <f t="shared" si="68"/>
        <v>1</v>
      </c>
      <c r="L353" s="133"/>
      <c r="M353" s="123">
        <f t="shared" si="69"/>
        <v>1</v>
      </c>
      <c r="N353" s="133"/>
      <c r="O353" s="123">
        <f t="shared" si="70"/>
        <v>1</v>
      </c>
      <c r="P353" s="133"/>
      <c r="Q353" s="123">
        <f t="shared" si="71"/>
        <v>1</v>
      </c>
      <c r="R353" s="187">
        <f t="shared" si="72"/>
        <v>0</v>
      </c>
      <c r="S353" s="122">
        <f t="shared" si="63"/>
        <v>0</v>
      </c>
    </row>
    <row r="354" spans="1:19">
      <c r="A354" s="131"/>
      <c r="B354" s="132"/>
      <c r="C354" s="123">
        <f t="shared" si="64"/>
        <v>1</v>
      </c>
      <c r="D354" s="133"/>
      <c r="E354" s="123">
        <f t="shared" si="65"/>
        <v>1</v>
      </c>
      <c r="F354" s="133"/>
      <c r="G354" s="123">
        <f t="shared" si="66"/>
        <v>1</v>
      </c>
      <c r="H354" s="133"/>
      <c r="I354" s="123">
        <f t="shared" si="67"/>
        <v>1</v>
      </c>
      <c r="J354" s="133"/>
      <c r="K354" s="123">
        <f t="shared" si="68"/>
        <v>1</v>
      </c>
      <c r="L354" s="133"/>
      <c r="M354" s="123">
        <f t="shared" si="69"/>
        <v>1</v>
      </c>
      <c r="N354" s="133"/>
      <c r="O354" s="123">
        <f t="shared" si="70"/>
        <v>1</v>
      </c>
      <c r="P354" s="133"/>
      <c r="Q354" s="123">
        <f t="shared" si="71"/>
        <v>1</v>
      </c>
      <c r="R354" s="187">
        <f t="shared" si="72"/>
        <v>0</v>
      </c>
      <c r="S354" s="122">
        <f t="shared" si="63"/>
        <v>0</v>
      </c>
    </row>
    <row r="355" spans="1:19">
      <c r="A355" s="131"/>
      <c r="B355" s="132"/>
      <c r="C355" s="123">
        <f t="shared" si="64"/>
        <v>1</v>
      </c>
      <c r="D355" s="133"/>
      <c r="E355" s="123">
        <f t="shared" si="65"/>
        <v>1</v>
      </c>
      <c r="F355" s="133"/>
      <c r="G355" s="123">
        <f t="shared" si="66"/>
        <v>1</v>
      </c>
      <c r="H355" s="133"/>
      <c r="I355" s="123">
        <f t="shared" si="67"/>
        <v>1</v>
      </c>
      <c r="J355" s="133"/>
      <c r="K355" s="123">
        <f t="shared" si="68"/>
        <v>1</v>
      </c>
      <c r="L355" s="133"/>
      <c r="M355" s="123">
        <f t="shared" si="69"/>
        <v>1</v>
      </c>
      <c r="N355" s="133"/>
      <c r="O355" s="123">
        <f t="shared" si="70"/>
        <v>1</v>
      </c>
      <c r="P355" s="133"/>
      <c r="Q355" s="123">
        <f t="shared" si="71"/>
        <v>1</v>
      </c>
      <c r="R355" s="187">
        <f t="shared" si="72"/>
        <v>0</v>
      </c>
      <c r="S355" s="122">
        <f t="shared" si="63"/>
        <v>0</v>
      </c>
    </row>
    <row r="356" spans="1:19">
      <c r="A356" s="131"/>
      <c r="B356" s="132"/>
      <c r="C356" s="123">
        <f t="shared" si="64"/>
        <v>1</v>
      </c>
      <c r="D356" s="133"/>
      <c r="E356" s="123">
        <f t="shared" si="65"/>
        <v>1</v>
      </c>
      <c r="F356" s="133"/>
      <c r="G356" s="123">
        <f t="shared" si="66"/>
        <v>1</v>
      </c>
      <c r="H356" s="133"/>
      <c r="I356" s="123">
        <f t="shared" si="67"/>
        <v>1</v>
      </c>
      <c r="J356" s="133"/>
      <c r="K356" s="123">
        <f t="shared" si="68"/>
        <v>1</v>
      </c>
      <c r="L356" s="133"/>
      <c r="M356" s="123">
        <f t="shared" si="69"/>
        <v>1</v>
      </c>
      <c r="N356" s="133"/>
      <c r="O356" s="123">
        <f t="shared" si="70"/>
        <v>1</v>
      </c>
      <c r="P356" s="133"/>
      <c r="Q356" s="123">
        <f t="shared" si="71"/>
        <v>1</v>
      </c>
      <c r="R356" s="187">
        <f t="shared" si="72"/>
        <v>0</v>
      </c>
      <c r="S356" s="122">
        <f t="shared" si="63"/>
        <v>0</v>
      </c>
    </row>
    <row r="357" spans="1:19">
      <c r="A357" s="131"/>
      <c r="B357" s="132"/>
      <c r="C357" s="123">
        <f t="shared" si="64"/>
        <v>1</v>
      </c>
      <c r="D357" s="133"/>
      <c r="E357" s="123">
        <f t="shared" si="65"/>
        <v>1</v>
      </c>
      <c r="F357" s="133"/>
      <c r="G357" s="123">
        <f t="shared" si="66"/>
        <v>1</v>
      </c>
      <c r="H357" s="133"/>
      <c r="I357" s="123">
        <f t="shared" si="67"/>
        <v>1</v>
      </c>
      <c r="J357" s="133"/>
      <c r="K357" s="123">
        <f t="shared" si="68"/>
        <v>1</v>
      </c>
      <c r="L357" s="133"/>
      <c r="M357" s="123">
        <f t="shared" si="69"/>
        <v>1</v>
      </c>
      <c r="N357" s="133"/>
      <c r="O357" s="123">
        <f t="shared" si="70"/>
        <v>1</v>
      </c>
      <c r="P357" s="133"/>
      <c r="Q357" s="123">
        <f t="shared" si="71"/>
        <v>1</v>
      </c>
      <c r="R357" s="187">
        <f t="shared" si="72"/>
        <v>0</v>
      </c>
      <c r="S357" s="122">
        <f t="shared" si="63"/>
        <v>0</v>
      </c>
    </row>
    <row r="358" spans="1:19">
      <c r="A358" s="131"/>
      <c r="B358" s="132"/>
      <c r="C358" s="123">
        <f t="shared" si="64"/>
        <v>1</v>
      </c>
      <c r="D358" s="133"/>
      <c r="E358" s="123">
        <f t="shared" si="65"/>
        <v>1</v>
      </c>
      <c r="F358" s="133"/>
      <c r="G358" s="123">
        <f t="shared" si="66"/>
        <v>1</v>
      </c>
      <c r="H358" s="133"/>
      <c r="I358" s="123">
        <f t="shared" si="67"/>
        <v>1</v>
      </c>
      <c r="J358" s="133"/>
      <c r="K358" s="123">
        <f t="shared" si="68"/>
        <v>1</v>
      </c>
      <c r="L358" s="133"/>
      <c r="M358" s="123">
        <f t="shared" si="69"/>
        <v>1</v>
      </c>
      <c r="N358" s="133"/>
      <c r="O358" s="123">
        <f t="shared" si="70"/>
        <v>1</v>
      </c>
      <c r="P358" s="133"/>
      <c r="Q358" s="123">
        <f t="shared" si="71"/>
        <v>1</v>
      </c>
      <c r="R358" s="187">
        <f t="shared" si="72"/>
        <v>0</v>
      </c>
      <c r="S358" s="122">
        <f t="shared" si="63"/>
        <v>0</v>
      </c>
    </row>
    <row r="359" spans="1:19">
      <c r="A359" s="131"/>
      <c r="B359" s="132"/>
      <c r="C359" s="123">
        <f t="shared" si="64"/>
        <v>1</v>
      </c>
      <c r="D359" s="133"/>
      <c r="E359" s="123">
        <f t="shared" si="65"/>
        <v>1</v>
      </c>
      <c r="F359" s="133"/>
      <c r="G359" s="123">
        <f t="shared" si="66"/>
        <v>1</v>
      </c>
      <c r="H359" s="133"/>
      <c r="I359" s="123">
        <f t="shared" si="67"/>
        <v>1</v>
      </c>
      <c r="J359" s="133"/>
      <c r="K359" s="123">
        <f t="shared" si="68"/>
        <v>1</v>
      </c>
      <c r="L359" s="133"/>
      <c r="M359" s="123">
        <f t="shared" si="69"/>
        <v>1</v>
      </c>
      <c r="N359" s="133"/>
      <c r="O359" s="123">
        <f t="shared" si="70"/>
        <v>1</v>
      </c>
      <c r="P359" s="133"/>
      <c r="Q359" s="123">
        <f t="shared" si="71"/>
        <v>1</v>
      </c>
      <c r="R359" s="187">
        <f t="shared" si="72"/>
        <v>0</v>
      </c>
      <c r="S359" s="122">
        <f t="shared" si="63"/>
        <v>0</v>
      </c>
    </row>
    <row r="360" spans="1:19">
      <c r="A360" s="131"/>
      <c r="B360" s="132"/>
      <c r="C360" s="123">
        <f t="shared" si="64"/>
        <v>1</v>
      </c>
      <c r="D360" s="133"/>
      <c r="E360" s="123">
        <f t="shared" si="65"/>
        <v>1</v>
      </c>
      <c r="F360" s="133"/>
      <c r="G360" s="123">
        <f t="shared" si="66"/>
        <v>1</v>
      </c>
      <c r="H360" s="133"/>
      <c r="I360" s="123">
        <f t="shared" si="67"/>
        <v>1</v>
      </c>
      <c r="J360" s="133"/>
      <c r="K360" s="123">
        <f t="shared" si="68"/>
        <v>1</v>
      </c>
      <c r="L360" s="133"/>
      <c r="M360" s="123">
        <f t="shared" si="69"/>
        <v>1</v>
      </c>
      <c r="N360" s="133"/>
      <c r="O360" s="123">
        <f t="shared" si="70"/>
        <v>1</v>
      </c>
      <c r="P360" s="133"/>
      <c r="Q360" s="123">
        <f t="shared" si="71"/>
        <v>1</v>
      </c>
      <c r="R360" s="187">
        <f t="shared" si="72"/>
        <v>0</v>
      </c>
      <c r="S360" s="122">
        <f t="shared" si="63"/>
        <v>0</v>
      </c>
    </row>
    <row r="361" spans="1:19">
      <c r="A361" s="131"/>
      <c r="B361" s="132"/>
      <c r="C361" s="123">
        <f t="shared" si="64"/>
        <v>1</v>
      </c>
      <c r="D361" s="133"/>
      <c r="E361" s="123">
        <f t="shared" si="65"/>
        <v>1</v>
      </c>
      <c r="F361" s="133"/>
      <c r="G361" s="123">
        <f t="shared" si="66"/>
        <v>1</v>
      </c>
      <c r="H361" s="133"/>
      <c r="I361" s="123">
        <f t="shared" si="67"/>
        <v>1</v>
      </c>
      <c r="J361" s="133"/>
      <c r="K361" s="123">
        <f t="shared" si="68"/>
        <v>1</v>
      </c>
      <c r="L361" s="133"/>
      <c r="M361" s="123">
        <f t="shared" si="69"/>
        <v>1</v>
      </c>
      <c r="N361" s="133"/>
      <c r="O361" s="123">
        <f t="shared" si="70"/>
        <v>1</v>
      </c>
      <c r="P361" s="133"/>
      <c r="Q361" s="123">
        <f t="shared" si="71"/>
        <v>1</v>
      </c>
      <c r="R361" s="187">
        <f t="shared" si="72"/>
        <v>0</v>
      </c>
      <c r="S361" s="122">
        <f t="shared" si="63"/>
        <v>0</v>
      </c>
    </row>
    <row r="362" spans="1:19">
      <c r="A362" s="131"/>
      <c r="B362" s="132"/>
      <c r="C362" s="123">
        <f t="shared" si="64"/>
        <v>1</v>
      </c>
      <c r="D362" s="133"/>
      <c r="E362" s="123">
        <f t="shared" si="65"/>
        <v>1</v>
      </c>
      <c r="F362" s="133"/>
      <c r="G362" s="123">
        <f t="shared" si="66"/>
        <v>1</v>
      </c>
      <c r="H362" s="133"/>
      <c r="I362" s="123">
        <f t="shared" si="67"/>
        <v>1</v>
      </c>
      <c r="J362" s="133"/>
      <c r="K362" s="123">
        <f t="shared" si="68"/>
        <v>1</v>
      </c>
      <c r="L362" s="133"/>
      <c r="M362" s="123">
        <f t="shared" si="69"/>
        <v>1</v>
      </c>
      <c r="N362" s="133"/>
      <c r="O362" s="123">
        <f t="shared" si="70"/>
        <v>1</v>
      </c>
      <c r="P362" s="133"/>
      <c r="Q362" s="123">
        <f t="shared" si="71"/>
        <v>1</v>
      </c>
      <c r="R362" s="187">
        <f t="shared" si="72"/>
        <v>0</v>
      </c>
      <c r="S362" s="122">
        <f t="shared" si="63"/>
        <v>0</v>
      </c>
    </row>
    <row r="363" spans="1:19">
      <c r="A363" s="131"/>
      <c r="B363" s="132"/>
      <c r="C363" s="123">
        <f t="shared" si="64"/>
        <v>1</v>
      </c>
      <c r="D363" s="133"/>
      <c r="E363" s="123">
        <f t="shared" si="65"/>
        <v>1</v>
      </c>
      <c r="F363" s="133"/>
      <c r="G363" s="123">
        <f t="shared" si="66"/>
        <v>1</v>
      </c>
      <c r="H363" s="133"/>
      <c r="I363" s="123">
        <f t="shared" si="67"/>
        <v>1</v>
      </c>
      <c r="J363" s="133"/>
      <c r="K363" s="123">
        <f t="shared" si="68"/>
        <v>1</v>
      </c>
      <c r="L363" s="133"/>
      <c r="M363" s="123">
        <f t="shared" si="69"/>
        <v>1</v>
      </c>
      <c r="N363" s="133"/>
      <c r="O363" s="123">
        <f t="shared" si="70"/>
        <v>1</v>
      </c>
      <c r="P363" s="133"/>
      <c r="Q363" s="123">
        <f t="shared" si="71"/>
        <v>1</v>
      </c>
      <c r="R363" s="187">
        <f t="shared" si="72"/>
        <v>0</v>
      </c>
      <c r="S363" s="122">
        <f t="shared" si="63"/>
        <v>0</v>
      </c>
    </row>
    <row r="364" spans="1:19">
      <c r="A364" s="131"/>
      <c r="B364" s="132"/>
      <c r="C364" s="123">
        <f t="shared" si="64"/>
        <v>1</v>
      </c>
      <c r="D364" s="133"/>
      <c r="E364" s="123">
        <f t="shared" si="65"/>
        <v>1</v>
      </c>
      <c r="F364" s="133"/>
      <c r="G364" s="123">
        <f t="shared" si="66"/>
        <v>1</v>
      </c>
      <c r="H364" s="133"/>
      <c r="I364" s="123">
        <f t="shared" si="67"/>
        <v>1</v>
      </c>
      <c r="J364" s="133"/>
      <c r="K364" s="123">
        <f t="shared" si="68"/>
        <v>1</v>
      </c>
      <c r="L364" s="133"/>
      <c r="M364" s="123">
        <f t="shared" si="69"/>
        <v>1</v>
      </c>
      <c r="N364" s="133"/>
      <c r="O364" s="123">
        <f t="shared" si="70"/>
        <v>1</v>
      </c>
      <c r="P364" s="133"/>
      <c r="Q364" s="123">
        <f t="shared" si="71"/>
        <v>1</v>
      </c>
      <c r="R364" s="187">
        <f t="shared" si="72"/>
        <v>0</v>
      </c>
      <c r="S364" s="122">
        <f t="shared" si="63"/>
        <v>0</v>
      </c>
    </row>
    <row r="365" spans="1:19">
      <c r="A365" s="131"/>
      <c r="B365" s="132"/>
      <c r="C365" s="123">
        <f t="shared" si="64"/>
        <v>1</v>
      </c>
      <c r="D365" s="133"/>
      <c r="E365" s="123">
        <f t="shared" si="65"/>
        <v>1</v>
      </c>
      <c r="F365" s="133"/>
      <c r="G365" s="123">
        <f t="shared" si="66"/>
        <v>1</v>
      </c>
      <c r="H365" s="133"/>
      <c r="I365" s="123">
        <f t="shared" si="67"/>
        <v>1</v>
      </c>
      <c r="J365" s="133"/>
      <c r="K365" s="123">
        <f t="shared" si="68"/>
        <v>1</v>
      </c>
      <c r="L365" s="133"/>
      <c r="M365" s="123">
        <f t="shared" si="69"/>
        <v>1</v>
      </c>
      <c r="N365" s="133"/>
      <c r="O365" s="123">
        <f t="shared" si="70"/>
        <v>1</v>
      </c>
      <c r="P365" s="133"/>
      <c r="Q365" s="123">
        <f t="shared" si="71"/>
        <v>1</v>
      </c>
      <c r="R365" s="187">
        <f t="shared" si="72"/>
        <v>0</v>
      </c>
      <c r="S365" s="122">
        <f t="shared" si="63"/>
        <v>0</v>
      </c>
    </row>
    <row r="366" spans="1:19">
      <c r="A366" s="131"/>
      <c r="B366" s="132"/>
      <c r="C366" s="123">
        <f t="shared" si="64"/>
        <v>1</v>
      </c>
      <c r="D366" s="133"/>
      <c r="E366" s="123">
        <f t="shared" si="65"/>
        <v>1</v>
      </c>
      <c r="F366" s="133"/>
      <c r="G366" s="123">
        <f t="shared" si="66"/>
        <v>1</v>
      </c>
      <c r="H366" s="133"/>
      <c r="I366" s="123">
        <f t="shared" si="67"/>
        <v>1</v>
      </c>
      <c r="J366" s="133"/>
      <c r="K366" s="123">
        <f t="shared" si="68"/>
        <v>1</v>
      </c>
      <c r="L366" s="133"/>
      <c r="M366" s="123">
        <f t="shared" si="69"/>
        <v>1</v>
      </c>
      <c r="N366" s="133"/>
      <c r="O366" s="123">
        <f t="shared" si="70"/>
        <v>1</v>
      </c>
      <c r="P366" s="133"/>
      <c r="Q366" s="123">
        <f t="shared" si="71"/>
        <v>1</v>
      </c>
      <c r="R366" s="187">
        <f t="shared" si="72"/>
        <v>0</v>
      </c>
      <c r="S366" s="122">
        <f t="shared" si="63"/>
        <v>0</v>
      </c>
    </row>
    <row r="367" spans="1:19">
      <c r="A367" s="131"/>
      <c r="B367" s="132"/>
      <c r="C367" s="123">
        <f t="shared" si="64"/>
        <v>1</v>
      </c>
      <c r="D367" s="133"/>
      <c r="E367" s="123">
        <f t="shared" si="65"/>
        <v>1</v>
      </c>
      <c r="F367" s="133"/>
      <c r="G367" s="123">
        <f t="shared" si="66"/>
        <v>1</v>
      </c>
      <c r="H367" s="133"/>
      <c r="I367" s="123">
        <f t="shared" si="67"/>
        <v>1</v>
      </c>
      <c r="J367" s="133"/>
      <c r="K367" s="123">
        <f t="shared" si="68"/>
        <v>1</v>
      </c>
      <c r="L367" s="133"/>
      <c r="M367" s="123">
        <f t="shared" si="69"/>
        <v>1</v>
      </c>
      <c r="N367" s="133"/>
      <c r="O367" s="123">
        <f t="shared" si="70"/>
        <v>1</v>
      </c>
      <c r="P367" s="133"/>
      <c r="Q367" s="123">
        <f t="shared" si="71"/>
        <v>1</v>
      </c>
      <c r="R367" s="187">
        <f t="shared" si="72"/>
        <v>0</v>
      </c>
      <c r="S367" s="122">
        <f t="shared" si="63"/>
        <v>0</v>
      </c>
    </row>
    <row r="368" spans="1:19">
      <c r="A368" s="131"/>
      <c r="B368" s="132"/>
      <c r="C368" s="123">
        <f t="shared" si="64"/>
        <v>1</v>
      </c>
      <c r="D368" s="133"/>
      <c r="E368" s="123">
        <f t="shared" si="65"/>
        <v>1</v>
      </c>
      <c r="F368" s="133"/>
      <c r="G368" s="123">
        <f t="shared" si="66"/>
        <v>1</v>
      </c>
      <c r="H368" s="133"/>
      <c r="I368" s="123">
        <f t="shared" si="67"/>
        <v>1</v>
      </c>
      <c r="J368" s="133"/>
      <c r="K368" s="123">
        <f t="shared" si="68"/>
        <v>1</v>
      </c>
      <c r="L368" s="133"/>
      <c r="M368" s="123">
        <f t="shared" si="69"/>
        <v>1</v>
      </c>
      <c r="N368" s="133"/>
      <c r="O368" s="123">
        <f t="shared" si="70"/>
        <v>1</v>
      </c>
      <c r="P368" s="133"/>
      <c r="Q368" s="123">
        <f t="shared" si="71"/>
        <v>1</v>
      </c>
      <c r="R368" s="187">
        <f t="shared" si="72"/>
        <v>0</v>
      </c>
      <c r="S368" s="122">
        <f t="shared" si="63"/>
        <v>0</v>
      </c>
    </row>
    <row r="369" spans="1:19">
      <c r="A369" s="131"/>
      <c r="B369" s="132"/>
      <c r="C369" s="123">
        <f t="shared" si="64"/>
        <v>1</v>
      </c>
      <c r="D369" s="133"/>
      <c r="E369" s="123">
        <f t="shared" si="65"/>
        <v>1</v>
      </c>
      <c r="F369" s="133"/>
      <c r="G369" s="123">
        <f t="shared" si="66"/>
        <v>1</v>
      </c>
      <c r="H369" s="133"/>
      <c r="I369" s="123">
        <f t="shared" si="67"/>
        <v>1</v>
      </c>
      <c r="J369" s="133"/>
      <c r="K369" s="123">
        <f t="shared" si="68"/>
        <v>1</v>
      </c>
      <c r="L369" s="133"/>
      <c r="M369" s="123">
        <f t="shared" si="69"/>
        <v>1</v>
      </c>
      <c r="N369" s="133"/>
      <c r="O369" s="123">
        <f t="shared" si="70"/>
        <v>1</v>
      </c>
      <c r="P369" s="133"/>
      <c r="Q369" s="123">
        <f t="shared" si="71"/>
        <v>1</v>
      </c>
      <c r="R369" s="187">
        <f t="shared" si="72"/>
        <v>0</v>
      </c>
      <c r="S369" s="122">
        <f t="shared" si="63"/>
        <v>0</v>
      </c>
    </row>
    <row r="370" spans="1:19">
      <c r="A370" s="131"/>
      <c r="B370" s="132"/>
      <c r="C370" s="123">
        <f t="shared" si="64"/>
        <v>1</v>
      </c>
      <c r="D370" s="133"/>
      <c r="E370" s="123">
        <f t="shared" si="65"/>
        <v>1</v>
      </c>
      <c r="F370" s="133"/>
      <c r="G370" s="123">
        <f t="shared" si="66"/>
        <v>1</v>
      </c>
      <c r="H370" s="133"/>
      <c r="I370" s="123">
        <f t="shared" si="67"/>
        <v>1</v>
      </c>
      <c r="J370" s="133"/>
      <c r="K370" s="123">
        <f t="shared" si="68"/>
        <v>1</v>
      </c>
      <c r="L370" s="133"/>
      <c r="M370" s="123">
        <f t="shared" si="69"/>
        <v>1</v>
      </c>
      <c r="N370" s="133"/>
      <c r="O370" s="123">
        <f t="shared" si="70"/>
        <v>1</v>
      </c>
      <c r="P370" s="133"/>
      <c r="Q370" s="123">
        <f t="shared" si="71"/>
        <v>1</v>
      </c>
      <c r="R370" s="187">
        <f t="shared" si="72"/>
        <v>0</v>
      </c>
      <c r="S370" s="122">
        <f t="shared" si="63"/>
        <v>0</v>
      </c>
    </row>
    <row r="371" spans="1:19">
      <c r="A371" s="131"/>
      <c r="B371" s="132"/>
      <c r="C371" s="123">
        <f t="shared" si="64"/>
        <v>1</v>
      </c>
      <c r="D371" s="133"/>
      <c r="E371" s="123">
        <f t="shared" si="65"/>
        <v>1</v>
      </c>
      <c r="F371" s="133"/>
      <c r="G371" s="123">
        <f t="shared" si="66"/>
        <v>1</v>
      </c>
      <c r="H371" s="133"/>
      <c r="I371" s="123">
        <f t="shared" si="67"/>
        <v>1</v>
      </c>
      <c r="J371" s="133"/>
      <c r="K371" s="123">
        <f t="shared" si="68"/>
        <v>1</v>
      </c>
      <c r="L371" s="133"/>
      <c r="M371" s="123">
        <f t="shared" si="69"/>
        <v>1</v>
      </c>
      <c r="N371" s="133"/>
      <c r="O371" s="123">
        <f t="shared" si="70"/>
        <v>1</v>
      </c>
      <c r="P371" s="133"/>
      <c r="Q371" s="123">
        <f t="shared" si="71"/>
        <v>1</v>
      </c>
      <c r="R371" s="187">
        <f t="shared" si="72"/>
        <v>0</v>
      </c>
      <c r="S371" s="122">
        <f t="shared" si="63"/>
        <v>0</v>
      </c>
    </row>
    <row r="372" spans="1:19">
      <c r="A372" s="131"/>
      <c r="B372" s="132"/>
      <c r="C372" s="123">
        <f t="shared" si="64"/>
        <v>1</v>
      </c>
      <c r="D372" s="133"/>
      <c r="E372" s="123">
        <f t="shared" si="65"/>
        <v>1</v>
      </c>
      <c r="F372" s="133"/>
      <c r="G372" s="123">
        <f t="shared" si="66"/>
        <v>1</v>
      </c>
      <c r="H372" s="133"/>
      <c r="I372" s="123">
        <f t="shared" si="67"/>
        <v>1</v>
      </c>
      <c r="J372" s="133"/>
      <c r="K372" s="123">
        <f t="shared" si="68"/>
        <v>1</v>
      </c>
      <c r="L372" s="133"/>
      <c r="M372" s="123">
        <f t="shared" si="69"/>
        <v>1</v>
      </c>
      <c r="N372" s="133"/>
      <c r="O372" s="123">
        <f t="shared" si="70"/>
        <v>1</v>
      </c>
      <c r="P372" s="133"/>
      <c r="Q372" s="123">
        <f t="shared" si="71"/>
        <v>1</v>
      </c>
      <c r="R372" s="187">
        <f t="shared" si="72"/>
        <v>0</v>
      </c>
      <c r="S372" s="122">
        <f t="shared" si="63"/>
        <v>0</v>
      </c>
    </row>
    <row r="373" spans="1:19">
      <c r="A373" s="131"/>
      <c r="B373" s="132"/>
      <c r="C373" s="123">
        <f t="shared" si="64"/>
        <v>1</v>
      </c>
      <c r="D373" s="133"/>
      <c r="E373" s="123">
        <f t="shared" si="65"/>
        <v>1</v>
      </c>
      <c r="F373" s="133"/>
      <c r="G373" s="123">
        <f t="shared" si="66"/>
        <v>1</v>
      </c>
      <c r="H373" s="133"/>
      <c r="I373" s="123">
        <f t="shared" si="67"/>
        <v>1</v>
      </c>
      <c r="J373" s="133"/>
      <c r="K373" s="123">
        <f t="shared" si="68"/>
        <v>1</v>
      </c>
      <c r="L373" s="133"/>
      <c r="M373" s="123">
        <f t="shared" si="69"/>
        <v>1</v>
      </c>
      <c r="N373" s="133"/>
      <c r="O373" s="123">
        <f t="shared" si="70"/>
        <v>1</v>
      </c>
      <c r="P373" s="133"/>
      <c r="Q373" s="123">
        <f t="shared" si="71"/>
        <v>1</v>
      </c>
      <c r="R373" s="187">
        <f t="shared" si="72"/>
        <v>0</v>
      </c>
      <c r="S373" s="122">
        <f t="shared" si="63"/>
        <v>0</v>
      </c>
    </row>
    <row r="374" spans="1:19">
      <c r="A374" s="131"/>
      <c r="B374" s="132"/>
      <c r="C374" s="123">
        <f t="shared" si="64"/>
        <v>1</v>
      </c>
      <c r="D374" s="133"/>
      <c r="E374" s="123">
        <f t="shared" si="65"/>
        <v>1</v>
      </c>
      <c r="F374" s="133"/>
      <c r="G374" s="123">
        <f t="shared" si="66"/>
        <v>1</v>
      </c>
      <c r="H374" s="133"/>
      <c r="I374" s="123">
        <f t="shared" si="67"/>
        <v>1</v>
      </c>
      <c r="J374" s="133"/>
      <c r="K374" s="123">
        <f t="shared" si="68"/>
        <v>1</v>
      </c>
      <c r="L374" s="133"/>
      <c r="M374" s="123">
        <f t="shared" si="69"/>
        <v>1</v>
      </c>
      <c r="N374" s="133"/>
      <c r="O374" s="123">
        <f t="shared" si="70"/>
        <v>1</v>
      </c>
      <c r="P374" s="133"/>
      <c r="Q374" s="123">
        <f t="shared" si="71"/>
        <v>1</v>
      </c>
      <c r="R374" s="187">
        <f t="shared" si="72"/>
        <v>0</v>
      </c>
      <c r="S374" s="122">
        <f t="shared" si="63"/>
        <v>0</v>
      </c>
    </row>
    <row r="375" spans="1:19">
      <c r="A375" s="131"/>
      <c r="B375" s="132"/>
      <c r="C375" s="123">
        <f t="shared" si="64"/>
        <v>1</v>
      </c>
      <c r="D375" s="133"/>
      <c r="E375" s="123">
        <f t="shared" si="65"/>
        <v>1</v>
      </c>
      <c r="F375" s="133"/>
      <c r="G375" s="123">
        <f t="shared" si="66"/>
        <v>1</v>
      </c>
      <c r="H375" s="133"/>
      <c r="I375" s="123">
        <f t="shared" si="67"/>
        <v>1</v>
      </c>
      <c r="J375" s="133"/>
      <c r="K375" s="123">
        <f t="shared" si="68"/>
        <v>1</v>
      </c>
      <c r="L375" s="133"/>
      <c r="M375" s="123">
        <f t="shared" si="69"/>
        <v>1</v>
      </c>
      <c r="N375" s="133"/>
      <c r="O375" s="123">
        <f t="shared" si="70"/>
        <v>1</v>
      </c>
      <c r="P375" s="133"/>
      <c r="Q375" s="123">
        <f t="shared" si="71"/>
        <v>1</v>
      </c>
      <c r="R375" s="187">
        <f t="shared" si="72"/>
        <v>0</v>
      </c>
      <c r="S375" s="122">
        <f t="shared" si="63"/>
        <v>0</v>
      </c>
    </row>
    <row r="376" spans="1:19">
      <c r="A376" s="131"/>
      <c r="B376" s="132"/>
      <c r="C376" s="123">
        <f t="shared" si="64"/>
        <v>1</v>
      </c>
      <c r="D376" s="133"/>
      <c r="E376" s="123">
        <f t="shared" si="65"/>
        <v>1</v>
      </c>
      <c r="F376" s="133"/>
      <c r="G376" s="123">
        <f t="shared" si="66"/>
        <v>1</v>
      </c>
      <c r="H376" s="133"/>
      <c r="I376" s="123">
        <f t="shared" si="67"/>
        <v>1</v>
      </c>
      <c r="J376" s="133"/>
      <c r="K376" s="123">
        <f t="shared" si="68"/>
        <v>1</v>
      </c>
      <c r="L376" s="133"/>
      <c r="M376" s="123">
        <f t="shared" si="69"/>
        <v>1</v>
      </c>
      <c r="N376" s="133"/>
      <c r="O376" s="123">
        <f t="shared" si="70"/>
        <v>1</v>
      </c>
      <c r="P376" s="133"/>
      <c r="Q376" s="123">
        <f t="shared" si="71"/>
        <v>1</v>
      </c>
      <c r="R376" s="187">
        <f t="shared" si="72"/>
        <v>0</v>
      </c>
      <c r="S376" s="122">
        <f t="shared" si="63"/>
        <v>0</v>
      </c>
    </row>
    <row r="377" spans="1:19">
      <c r="A377" s="131"/>
      <c r="B377" s="132"/>
      <c r="C377" s="123">
        <f t="shared" si="64"/>
        <v>1</v>
      </c>
      <c r="D377" s="133"/>
      <c r="E377" s="123">
        <f t="shared" si="65"/>
        <v>1</v>
      </c>
      <c r="F377" s="133"/>
      <c r="G377" s="123">
        <f t="shared" si="66"/>
        <v>1</v>
      </c>
      <c r="H377" s="133"/>
      <c r="I377" s="123">
        <f t="shared" si="67"/>
        <v>1</v>
      </c>
      <c r="J377" s="133"/>
      <c r="K377" s="123">
        <f t="shared" si="68"/>
        <v>1</v>
      </c>
      <c r="L377" s="133"/>
      <c r="M377" s="123">
        <f t="shared" si="69"/>
        <v>1</v>
      </c>
      <c r="N377" s="133"/>
      <c r="O377" s="123">
        <f t="shared" si="70"/>
        <v>1</v>
      </c>
      <c r="P377" s="133"/>
      <c r="Q377" s="123">
        <f t="shared" si="71"/>
        <v>1</v>
      </c>
      <c r="R377" s="187">
        <f t="shared" si="72"/>
        <v>0</v>
      </c>
      <c r="S377" s="122">
        <f t="shared" si="63"/>
        <v>0</v>
      </c>
    </row>
    <row r="378" spans="1:19">
      <c r="A378" s="131"/>
      <c r="B378" s="132"/>
      <c r="C378" s="123">
        <f t="shared" si="64"/>
        <v>1</v>
      </c>
      <c r="D378" s="133"/>
      <c r="E378" s="123">
        <f t="shared" si="65"/>
        <v>1</v>
      </c>
      <c r="F378" s="133"/>
      <c r="G378" s="123">
        <f t="shared" si="66"/>
        <v>1</v>
      </c>
      <c r="H378" s="133"/>
      <c r="I378" s="123">
        <f t="shared" si="67"/>
        <v>1</v>
      </c>
      <c r="J378" s="133"/>
      <c r="K378" s="123">
        <f t="shared" si="68"/>
        <v>1</v>
      </c>
      <c r="L378" s="133"/>
      <c r="M378" s="123">
        <f t="shared" si="69"/>
        <v>1</v>
      </c>
      <c r="N378" s="133"/>
      <c r="O378" s="123">
        <f t="shared" si="70"/>
        <v>1</v>
      </c>
      <c r="P378" s="133"/>
      <c r="Q378" s="123">
        <f t="shared" si="71"/>
        <v>1</v>
      </c>
      <c r="R378" s="187">
        <f t="shared" si="72"/>
        <v>0</v>
      </c>
      <c r="S378" s="122">
        <f t="shared" si="63"/>
        <v>0</v>
      </c>
    </row>
    <row r="379" spans="1:19">
      <c r="A379" s="131"/>
      <c r="B379" s="132"/>
      <c r="C379" s="123">
        <f t="shared" si="64"/>
        <v>1</v>
      </c>
      <c r="D379" s="133"/>
      <c r="E379" s="123">
        <f t="shared" si="65"/>
        <v>1</v>
      </c>
      <c r="F379" s="133"/>
      <c r="G379" s="123">
        <f t="shared" si="66"/>
        <v>1</v>
      </c>
      <c r="H379" s="133"/>
      <c r="I379" s="123">
        <f t="shared" si="67"/>
        <v>1</v>
      </c>
      <c r="J379" s="133"/>
      <c r="K379" s="123">
        <f t="shared" si="68"/>
        <v>1</v>
      </c>
      <c r="L379" s="133"/>
      <c r="M379" s="123">
        <f t="shared" si="69"/>
        <v>1</v>
      </c>
      <c r="N379" s="133"/>
      <c r="O379" s="123">
        <f t="shared" si="70"/>
        <v>1</v>
      </c>
      <c r="P379" s="133"/>
      <c r="Q379" s="123">
        <f t="shared" si="71"/>
        <v>1</v>
      </c>
      <c r="R379" s="187">
        <f t="shared" si="72"/>
        <v>0</v>
      </c>
      <c r="S379" s="122">
        <f t="shared" si="63"/>
        <v>0</v>
      </c>
    </row>
    <row r="380" spans="1:19">
      <c r="A380" s="131"/>
      <c r="B380" s="132"/>
      <c r="C380" s="123">
        <f t="shared" si="64"/>
        <v>1</v>
      </c>
      <c r="D380" s="133"/>
      <c r="E380" s="123">
        <f t="shared" si="65"/>
        <v>1</v>
      </c>
      <c r="F380" s="133"/>
      <c r="G380" s="123">
        <f t="shared" si="66"/>
        <v>1</v>
      </c>
      <c r="H380" s="133"/>
      <c r="I380" s="123">
        <f t="shared" si="67"/>
        <v>1</v>
      </c>
      <c r="J380" s="133"/>
      <c r="K380" s="123">
        <f t="shared" si="68"/>
        <v>1</v>
      </c>
      <c r="L380" s="133"/>
      <c r="M380" s="123">
        <f t="shared" si="69"/>
        <v>1</v>
      </c>
      <c r="N380" s="133"/>
      <c r="O380" s="123">
        <f t="shared" si="70"/>
        <v>1</v>
      </c>
      <c r="P380" s="133"/>
      <c r="Q380" s="123">
        <f t="shared" si="71"/>
        <v>1</v>
      </c>
      <c r="R380" s="187">
        <f t="shared" si="72"/>
        <v>0</v>
      </c>
      <c r="S380" s="122">
        <f t="shared" si="63"/>
        <v>0</v>
      </c>
    </row>
    <row r="381" spans="1:19">
      <c r="A381" s="131"/>
      <c r="B381" s="132"/>
      <c r="C381" s="123">
        <f t="shared" si="64"/>
        <v>1</v>
      </c>
      <c r="D381" s="133"/>
      <c r="E381" s="123">
        <f t="shared" si="65"/>
        <v>1</v>
      </c>
      <c r="F381" s="133"/>
      <c r="G381" s="123">
        <f t="shared" si="66"/>
        <v>1</v>
      </c>
      <c r="H381" s="133"/>
      <c r="I381" s="123">
        <f t="shared" si="67"/>
        <v>1</v>
      </c>
      <c r="J381" s="133"/>
      <c r="K381" s="123">
        <f t="shared" si="68"/>
        <v>1</v>
      </c>
      <c r="L381" s="133"/>
      <c r="M381" s="123">
        <f t="shared" si="69"/>
        <v>1</v>
      </c>
      <c r="N381" s="133"/>
      <c r="O381" s="123">
        <f t="shared" si="70"/>
        <v>1</v>
      </c>
      <c r="P381" s="133"/>
      <c r="Q381" s="123">
        <f t="shared" si="71"/>
        <v>1</v>
      </c>
      <c r="R381" s="187">
        <f t="shared" si="72"/>
        <v>0</v>
      </c>
      <c r="S381" s="122">
        <f t="shared" si="63"/>
        <v>0</v>
      </c>
    </row>
    <row r="382" spans="1:19">
      <c r="A382" s="131"/>
      <c r="B382" s="132"/>
      <c r="C382" s="123">
        <f t="shared" si="64"/>
        <v>1</v>
      </c>
      <c r="D382" s="133"/>
      <c r="E382" s="123">
        <f t="shared" si="65"/>
        <v>1</v>
      </c>
      <c r="F382" s="133"/>
      <c r="G382" s="123">
        <f t="shared" si="66"/>
        <v>1</v>
      </c>
      <c r="H382" s="133"/>
      <c r="I382" s="123">
        <f t="shared" si="67"/>
        <v>1</v>
      </c>
      <c r="J382" s="133"/>
      <c r="K382" s="123">
        <f t="shared" si="68"/>
        <v>1</v>
      </c>
      <c r="L382" s="133"/>
      <c r="M382" s="123">
        <f t="shared" si="69"/>
        <v>1</v>
      </c>
      <c r="N382" s="133"/>
      <c r="O382" s="123">
        <f t="shared" si="70"/>
        <v>1</v>
      </c>
      <c r="P382" s="133"/>
      <c r="Q382" s="123">
        <f t="shared" si="71"/>
        <v>1</v>
      </c>
      <c r="R382" s="187">
        <f t="shared" si="72"/>
        <v>0</v>
      </c>
      <c r="S382" s="122">
        <f t="shared" si="63"/>
        <v>0</v>
      </c>
    </row>
    <row r="383" spans="1:19">
      <c r="A383" s="131"/>
      <c r="B383" s="132"/>
      <c r="C383" s="123">
        <f t="shared" si="64"/>
        <v>1</v>
      </c>
      <c r="D383" s="133"/>
      <c r="E383" s="123">
        <f t="shared" si="65"/>
        <v>1</v>
      </c>
      <c r="F383" s="133"/>
      <c r="G383" s="123">
        <f t="shared" si="66"/>
        <v>1</v>
      </c>
      <c r="H383" s="133"/>
      <c r="I383" s="123">
        <f t="shared" si="67"/>
        <v>1</v>
      </c>
      <c r="J383" s="133"/>
      <c r="K383" s="123">
        <f t="shared" si="68"/>
        <v>1</v>
      </c>
      <c r="L383" s="133"/>
      <c r="M383" s="123">
        <f t="shared" si="69"/>
        <v>1</v>
      </c>
      <c r="N383" s="133"/>
      <c r="O383" s="123">
        <f t="shared" si="70"/>
        <v>1</v>
      </c>
      <c r="P383" s="133"/>
      <c r="Q383" s="123">
        <f t="shared" si="71"/>
        <v>1</v>
      </c>
      <c r="R383" s="187">
        <f t="shared" si="72"/>
        <v>0</v>
      </c>
      <c r="S383" s="122">
        <f t="shared" si="63"/>
        <v>0</v>
      </c>
    </row>
    <row r="384" spans="1:19">
      <c r="A384" s="131"/>
      <c r="B384" s="132"/>
      <c r="C384" s="123">
        <f t="shared" si="64"/>
        <v>1</v>
      </c>
      <c r="D384" s="133"/>
      <c r="E384" s="123">
        <f t="shared" si="65"/>
        <v>1</v>
      </c>
      <c r="F384" s="133"/>
      <c r="G384" s="123">
        <f t="shared" si="66"/>
        <v>1</v>
      </c>
      <c r="H384" s="133"/>
      <c r="I384" s="123">
        <f t="shared" si="67"/>
        <v>1</v>
      </c>
      <c r="J384" s="133"/>
      <c r="K384" s="123">
        <f t="shared" si="68"/>
        <v>1</v>
      </c>
      <c r="L384" s="133"/>
      <c r="M384" s="123">
        <f t="shared" si="69"/>
        <v>1</v>
      </c>
      <c r="N384" s="133"/>
      <c r="O384" s="123">
        <f t="shared" si="70"/>
        <v>1</v>
      </c>
      <c r="P384" s="133"/>
      <c r="Q384" s="123">
        <f t="shared" si="71"/>
        <v>1</v>
      </c>
      <c r="R384" s="187">
        <f t="shared" si="72"/>
        <v>0</v>
      </c>
      <c r="S384" s="122">
        <f t="shared" si="63"/>
        <v>0</v>
      </c>
    </row>
    <row r="385" spans="1:19">
      <c r="A385" s="131"/>
      <c r="B385" s="132"/>
      <c r="C385" s="123">
        <f t="shared" si="64"/>
        <v>1</v>
      </c>
      <c r="D385" s="133"/>
      <c r="E385" s="123">
        <f t="shared" si="65"/>
        <v>1</v>
      </c>
      <c r="F385" s="133"/>
      <c r="G385" s="123">
        <f t="shared" si="66"/>
        <v>1</v>
      </c>
      <c r="H385" s="133"/>
      <c r="I385" s="123">
        <f t="shared" si="67"/>
        <v>1</v>
      </c>
      <c r="J385" s="133"/>
      <c r="K385" s="123">
        <f t="shared" si="68"/>
        <v>1</v>
      </c>
      <c r="L385" s="133"/>
      <c r="M385" s="123">
        <f t="shared" si="69"/>
        <v>1</v>
      </c>
      <c r="N385" s="133"/>
      <c r="O385" s="123">
        <f t="shared" si="70"/>
        <v>1</v>
      </c>
      <c r="P385" s="133"/>
      <c r="Q385" s="123">
        <f t="shared" si="71"/>
        <v>1</v>
      </c>
      <c r="R385" s="187">
        <f t="shared" si="72"/>
        <v>0</v>
      </c>
      <c r="S385" s="122">
        <f t="shared" ref="S385:S422" si="73">ROUND(R385*B385/10000,0)</f>
        <v>0</v>
      </c>
    </row>
    <row r="386" spans="1:19">
      <c r="A386" s="131"/>
      <c r="B386" s="132"/>
      <c r="C386" s="123">
        <f t="shared" si="64"/>
        <v>1</v>
      </c>
      <c r="D386" s="133"/>
      <c r="E386" s="123">
        <f t="shared" si="65"/>
        <v>1</v>
      </c>
      <c r="F386" s="133"/>
      <c r="G386" s="123">
        <f t="shared" si="66"/>
        <v>1</v>
      </c>
      <c r="H386" s="133"/>
      <c r="I386" s="123">
        <f t="shared" si="67"/>
        <v>1</v>
      </c>
      <c r="J386" s="133"/>
      <c r="K386" s="123">
        <f t="shared" si="68"/>
        <v>1</v>
      </c>
      <c r="L386" s="133"/>
      <c r="M386" s="123">
        <f t="shared" si="69"/>
        <v>1</v>
      </c>
      <c r="N386" s="133"/>
      <c r="O386" s="123">
        <f t="shared" si="70"/>
        <v>1</v>
      </c>
      <c r="P386" s="133"/>
      <c r="Q386" s="123">
        <f t="shared" si="71"/>
        <v>1</v>
      </c>
      <c r="R386" s="187">
        <f t="shared" si="72"/>
        <v>0</v>
      </c>
      <c r="S386" s="122">
        <f t="shared" si="73"/>
        <v>0</v>
      </c>
    </row>
    <row r="387" spans="1:19">
      <c r="A387" s="131"/>
      <c r="B387" s="132"/>
      <c r="C387" s="123">
        <f t="shared" si="64"/>
        <v>1</v>
      </c>
      <c r="D387" s="133"/>
      <c r="E387" s="123">
        <f t="shared" si="65"/>
        <v>1</v>
      </c>
      <c r="F387" s="133"/>
      <c r="G387" s="123">
        <f t="shared" si="66"/>
        <v>1</v>
      </c>
      <c r="H387" s="133"/>
      <c r="I387" s="123">
        <f t="shared" si="67"/>
        <v>1</v>
      </c>
      <c r="J387" s="133"/>
      <c r="K387" s="123">
        <f t="shared" si="68"/>
        <v>1</v>
      </c>
      <c r="L387" s="133"/>
      <c r="M387" s="123">
        <f t="shared" si="69"/>
        <v>1</v>
      </c>
      <c r="N387" s="133"/>
      <c r="O387" s="123">
        <f t="shared" si="70"/>
        <v>1</v>
      </c>
      <c r="P387" s="133"/>
      <c r="Q387" s="123">
        <f t="shared" si="71"/>
        <v>1</v>
      </c>
      <c r="R387" s="187">
        <f t="shared" si="72"/>
        <v>0</v>
      </c>
      <c r="S387" s="122">
        <f t="shared" si="73"/>
        <v>0</v>
      </c>
    </row>
    <row r="388" spans="1:19">
      <c r="A388" s="131"/>
      <c r="B388" s="132"/>
      <c r="C388" s="123">
        <f t="shared" si="64"/>
        <v>1</v>
      </c>
      <c r="D388" s="133"/>
      <c r="E388" s="123">
        <f t="shared" si="65"/>
        <v>1</v>
      </c>
      <c r="F388" s="133"/>
      <c r="G388" s="123">
        <f t="shared" si="66"/>
        <v>1</v>
      </c>
      <c r="H388" s="133"/>
      <c r="I388" s="123">
        <f t="shared" si="67"/>
        <v>1</v>
      </c>
      <c r="J388" s="133"/>
      <c r="K388" s="123">
        <f t="shared" si="68"/>
        <v>1</v>
      </c>
      <c r="L388" s="133"/>
      <c r="M388" s="123">
        <f t="shared" si="69"/>
        <v>1</v>
      </c>
      <c r="N388" s="133"/>
      <c r="O388" s="123">
        <f t="shared" si="70"/>
        <v>1</v>
      </c>
      <c r="P388" s="133"/>
      <c r="Q388" s="123">
        <f t="shared" si="71"/>
        <v>1</v>
      </c>
      <c r="R388" s="187">
        <f t="shared" si="72"/>
        <v>0</v>
      </c>
      <c r="S388" s="122">
        <f t="shared" si="73"/>
        <v>0</v>
      </c>
    </row>
    <row r="389" spans="1:19">
      <c r="A389" s="131"/>
      <c r="B389" s="132"/>
      <c r="C389" s="123">
        <f t="shared" si="64"/>
        <v>1</v>
      </c>
      <c r="D389" s="133"/>
      <c r="E389" s="123">
        <f t="shared" si="65"/>
        <v>1</v>
      </c>
      <c r="F389" s="133"/>
      <c r="G389" s="123">
        <f t="shared" si="66"/>
        <v>1</v>
      </c>
      <c r="H389" s="133"/>
      <c r="I389" s="123">
        <f t="shared" si="67"/>
        <v>1</v>
      </c>
      <c r="J389" s="133"/>
      <c r="K389" s="123">
        <f t="shared" si="68"/>
        <v>1</v>
      </c>
      <c r="L389" s="133"/>
      <c r="M389" s="123">
        <f t="shared" si="69"/>
        <v>1</v>
      </c>
      <c r="N389" s="133"/>
      <c r="O389" s="123">
        <f t="shared" si="70"/>
        <v>1</v>
      </c>
      <c r="P389" s="133"/>
      <c r="Q389" s="123">
        <f t="shared" si="71"/>
        <v>1</v>
      </c>
      <c r="R389" s="187">
        <f t="shared" si="72"/>
        <v>0</v>
      </c>
      <c r="S389" s="122">
        <f t="shared" si="73"/>
        <v>0</v>
      </c>
    </row>
    <row r="390" spans="1:19">
      <c r="A390" s="131"/>
      <c r="B390" s="132"/>
      <c r="C390" s="123">
        <f t="shared" si="64"/>
        <v>1</v>
      </c>
      <c r="D390" s="133"/>
      <c r="E390" s="123">
        <f t="shared" si="65"/>
        <v>1</v>
      </c>
      <c r="F390" s="133"/>
      <c r="G390" s="123">
        <f t="shared" si="66"/>
        <v>1</v>
      </c>
      <c r="H390" s="133"/>
      <c r="I390" s="123">
        <f t="shared" si="67"/>
        <v>1</v>
      </c>
      <c r="J390" s="133"/>
      <c r="K390" s="123">
        <f t="shared" si="68"/>
        <v>1</v>
      </c>
      <c r="L390" s="133"/>
      <c r="M390" s="123">
        <f t="shared" si="69"/>
        <v>1</v>
      </c>
      <c r="N390" s="133"/>
      <c r="O390" s="123">
        <f t="shared" si="70"/>
        <v>1</v>
      </c>
      <c r="P390" s="133"/>
      <c r="Q390" s="123">
        <f t="shared" si="71"/>
        <v>1</v>
      </c>
      <c r="R390" s="187">
        <f t="shared" si="72"/>
        <v>0</v>
      </c>
      <c r="S390" s="122">
        <f t="shared" si="73"/>
        <v>0</v>
      </c>
    </row>
    <row r="391" spans="1:19">
      <c r="A391" s="131"/>
      <c r="B391" s="132"/>
      <c r="C391" s="123">
        <f t="shared" si="64"/>
        <v>1</v>
      </c>
      <c r="D391" s="133"/>
      <c r="E391" s="123">
        <f t="shared" si="65"/>
        <v>1</v>
      </c>
      <c r="F391" s="133"/>
      <c r="G391" s="123">
        <f t="shared" si="66"/>
        <v>1</v>
      </c>
      <c r="H391" s="133"/>
      <c r="I391" s="123">
        <f t="shared" si="67"/>
        <v>1</v>
      </c>
      <c r="J391" s="133"/>
      <c r="K391" s="123">
        <f t="shared" si="68"/>
        <v>1</v>
      </c>
      <c r="L391" s="133"/>
      <c r="M391" s="123">
        <f t="shared" si="69"/>
        <v>1</v>
      </c>
      <c r="N391" s="133"/>
      <c r="O391" s="123">
        <f t="shared" si="70"/>
        <v>1</v>
      </c>
      <c r="P391" s="133"/>
      <c r="Q391" s="123">
        <f t="shared" si="71"/>
        <v>1</v>
      </c>
      <c r="R391" s="187">
        <f t="shared" si="72"/>
        <v>0</v>
      </c>
      <c r="S391" s="122">
        <f t="shared" si="73"/>
        <v>0</v>
      </c>
    </row>
    <row r="392" spans="1:19">
      <c r="A392" s="131"/>
      <c r="B392" s="132"/>
      <c r="C392" s="123">
        <f t="shared" si="64"/>
        <v>1</v>
      </c>
      <c r="D392" s="133"/>
      <c r="E392" s="123">
        <f t="shared" si="65"/>
        <v>1</v>
      </c>
      <c r="F392" s="133"/>
      <c r="G392" s="123">
        <f t="shared" si="66"/>
        <v>1</v>
      </c>
      <c r="H392" s="133"/>
      <c r="I392" s="123">
        <f t="shared" si="67"/>
        <v>1</v>
      </c>
      <c r="J392" s="133"/>
      <c r="K392" s="123">
        <f t="shared" si="68"/>
        <v>1</v>
      </c>
      <c r="L392" s="133"/>
      <c r="M392" s="123">
        <f t="shared" si="69"/>
        <v>1</v>
      </c>
      <c r="N392" s="133"/>
      <c r="O392" s="123">
        <f t="shared" si="70"/>
        <v>1</v>
      </c>
      <c r="P392" s="133"/>
      <c r="Q392" s="123">
        <f t="shared" si="71"/>
        <v>1</v>
      </c>
      <c r="R392" s="187">
        <f t="shared" si="72"/>
        <v>0</v>
      </c>
      <c r="S392" s="122">
        <f t="shared" si="73"/>
        <v>0</v>
      </c>
    </row>
    <row r="393" spans="1:19">
      <c r="A393" s="131"/>
      <c r="B393" s="132"/>
      <c r="C393" s="123">
        <f t="shared" si="64"/>
        <v>1</v>
      </c>
      <c r="D393" s="133"/>
      <c r="E393" s="123">
        <f t="shared" si="65"/>
        <v>1</v>
      </c>
      <c r="F393" s="133"/>
      <c r="G393" s="123">
        <f t="shared" si="66"/>
        <v>1</v>
      </c>
      <c r="H393" s="133"/>
      <c r="I393" s="123">
        <f t="shared" si="67"/>
        <v>1</v>
      </c>
      <c r="J393" s="133"/>
      <c r="K393" s="123">
        <f t="shared" si="68"/>
        <v>1</v>
      </c>
      <c r="L393" s="133"/>
      <c r="M393" s="123">
        <f t="shared" si="69"/>
        <v>1</v>
      </c>
      <c r="N393" s="133"/>
      <c r="O393" s="123">
        <f t="shared" si="70"/>
        <v>1</v>
      </c>
      <c r="P393" s="133"/>
      <c r="Q393" s="123">
        <f t="shared" si="71"/>
        <v>1</v>
      </c>
      <c r="R393" s="187">
        <f t="shared" si="72"/>
        <v>0</v>
      </c>
      <c r="S393" s="122">
        <f t="shared" si="73"/>
        <v>0</v>
      </c>
    </row>
    <row r="394" spans="1:19">
      <c r="A394" s="131"/>
      <c r="B394" s="132"/>
      <c r="C394" s="123">
        <f t="shared" si="64"/>
        <v>1</v>
      </c>
      <c r="D394" s="133"/>
      <c r="E394" s="123">
        <f t="shared" si="65"/>
        <v>1</v>
      </c>
      <c r="F394" s="133"/>
      <c r="G394" s="123">
        <f t="shared" si="66"/>
        <v>1</v>
      </c>
      <c r="H394" s="133"/>
      <c r="I394" s="123">
        <f t="shared" si="67"/>
        <v>1</v>
      </c>
      <c r="J394" s="133"/>
      <c r="K394" s="123">
        <f t="shared" si="68"/>
        <v>1</v>
      </c>
      <c r="L394" s="133"/>
      <c r="M394" s="123">
        <f t="shared" si="69"/>
        <v>1</v>
      </c>
      <c r="N394" s="133"/>
      <c r="O394" s="123">
        <f t="shared" si="70"/>
        <v>1</v>
      </c>
      <c r="P394" s="133"/>
      <c r="Q394" s="123">
        <f t="shared" si="71"/>
        <v>1</v>
      </c>
      <c r="R394" s="187">
        <f t="shared" si="72"/>
        <v>0</v>
      </c>
      <c r="S394" s="122">
        <f t="shared" si="73"/>
        <v>0</v>
      </c>
    </row>
    <row r="395" spans="1:19">
      <c r="A395" s="131"/>
      <c r="B395" s="132"/>
      <c r="C395" s="123">
        <f t="shared" si="64"/>
        <v>1</v>
      </c>
      <c r="D395" s="133"/>
      <c r="E395" s="123">
        <f t="shared" si="65"/>
        <v>1</v>
      </c>
      <c r="F395" s="133"/>
      <c r="G395" s="123">
        <f t="shared" si="66"/>
        <v>1</v>
      </c>
      <c r="H395" s="133"/>
      <c r="I395" s="123">
        <f t="shared" si="67"/>
        <v>1</v>
      </c>
      <c r="J395" s="133"/>
      <c r="K395" s="123">
        <f t="shared" si="68"/>
        <v>1</v>
      </c>
      <c r="L395" s="133"/>
      <c r="M395" s="123">
        <f t="shared" si="69"/>
        <v>1</v>
      </c>
      <c r="N395" s="133"/>
      <c r="O395" s="123">
        <f t="shared" si="70"/>
        <v>1</v>
      </c>
      <c r="P395" s="133"/>
      <c r="Q395" s="123">
        <f t="shared" si="71"/>
        <v>1</v>
      </c>
      <c r="R395" s="187">
        <f t="shared" si="72"/>
        <v>0</v>
      </c>
      <c r="S395" s="122">
        <f t="shared" si="73"/>
        <v>0</v>
      </c>
    </row>
    <row r="396" spans="1:19">
      <c r="A396" s="131"/>
      <c r="B396" s="132"/>
      <c r="C396" s="123">
        <f t="shared" si="64"/>
        <v>1</v>
      </c>
      <c r="D396" s="133"/>
      <c r="E396" s="123">
        <f t="shared" si="65"/>
        <v>1</v>
      </c>
      <c r="F396" s="133"/>
      <c r="G396" s="123">
        <f t="shared" si="66"/>
        <v>1</v>
      </c>
      <c r="H396" s="133"/>
      <c r="I396" s="123">
        <f t="shared" si="67"/>
        <v>1</v>
      </c>
      <c r="J396" s="133"/>
      <c r="K396" s="123">
        <f t="shared" si="68"/>
        <v>1</v>
      </c>
      <c r="L396" s="133"/>
      <c r="M396" s="123">
        <f t="shared" si="69"/>
        <v>1</v>
      </c>
      <c r="N396" s="133"/>
      <c r="O396" s="123">
        <f t="shared" si="70"/>
        <v>1</v>
      </c>
      <c r="P396" s="133"/>
      <c r="Q396" s="123">
        <f t="shared" si="71"/>
        <v>1</v>
      </c>
      <c r="R396" s="187">
        <f t="shared" si="72"/>
        <v>0</v>
      </c>
      <c r="S396" s="122">
        <f t="shared" si="73"/>
        <v>0</v>
      </c>
    </row>
    <row r="397" spans="1:19">
      <c r="A397" s="131"/>
      <c r="B397" s="132"/>
      <c r="C397" s="123">
        <f t="shared" si="64"/>
        <v>1</v>
      </c>
      <c r="D397" s="133"/>
      <c r="E397" s="123">
        <f t="shared" si="65"/>
        <v>1</v>
      </c>
      <c r="F397" s="133"/>
      <c r="G397" s="123">
        <f t="shared" si="66"/>
        <v>1</v>
      </c>
      <c r="H397" s="133"/>
      <c r="I397" s="123">
        <f t="shared" si="67"/>
        <v>1</v>
      </c>
      <c r="J397" s="133"/>
      <c r="K397" s="123">
        <f t="shared" si="68"/>
        <v>1</v>
      </c>
      <c r="L397" s="133"/>
      <c r="M397" s="123">
        <f t="shared" si="69"/>
        <v>1</v>
      </c>
      <c r="N397" s="133"/>
      <c r="O397" s="123">
        <f t="shared" si="70"/>
        <v>1</v>
      </c>
      <c r="P397" s="133"/>
      <c r="Q397" s="123">
        <f t="shared" si="71"/>
        <v>1</v>
      </c>
      <c r="R397" s="187">
        <f t="shared" si="72"/>
        <v>0</v>
      </c>
      <c r="S397" s="122">
        <f t="shared" si="73"/>
        <v>0</v>
      </c>
    </row>
    <row r="398" spans="1:19">
      <c r="A398" s="131"/>
      <c r="B398" s="132"/>
      <c r="C398" s="123">
        <f t="shared" si="64"/>
        <v>1</v>
      </c>
      <c r="D398" s="133"/>
      <c r="E398" s="123">
        <f t="shared" si="65"/>
        <v>1</v>
      </c>
      <c r="F398" s="133"/>
      <c r="G398" s="123">
        <f t="shared" si="66"/>
        <v>1</v>
      </c>
      <c r="H398" s="133"/>
      <c r="I398" s="123">
        <f t="shared" si="67"/>
        <v>1</v>
      </c>
      <c r="J398" s="133"/>
      <c r="K398" s="123">
        <f t="shared" si="68"/>
        <v>1</v>
      </c>
      <c r="L398" s="133"/>
      <c r="M398" s="123">
        <f t="shared" si="69"/>
        <v>1</v>
      </c>
      <c r="N398" s="133"/>
      <c r="O398" s="123">
        <f t="shared" si="70"/>
        <v>1</v>
      </c>
      <c r="P398" s="133"/>
      <c r="Q398" s="123">
        <f t="shared" si="71"/>
        <v>1</v>
      </c>
      <c r="R398" s="187">
        <f t="shared" si="72"/>
        <v>0</v>
      </c>
      <c r="S398" s="122">
        <f t="shared" si="73"/>
        <v>0</v>
      </c>
    </row>
    <row r="399" spans="1:19">
      <c r="A399" s="131"/>
      <c r="B399" s="132"/>
      <c r="C399" s="123">
        <f t="shared" si="64"/>
        <v>1</v>
      </c>
      <c r="D399" s="133"/>
      <c r="E399" s="123">
        <f t="shared" si="65"/>
        <v>1</v>
      </c>
      <c r="F399" s="133"/>
      <c r="G399" s="123">
        <f t="shared" si="66"/>
        <v>1</v>
      </c>
      <c r="H399" s="133"/>
      <c r="I399" s="123">
        <f t="shared" si="67"/>
        <v>1</v>
      </c>
      <c r="J399" s="133"/>
      <c r="K399" s="123">
        <f t="shared" si="68"/>
        <v>1</v>
      </c>
      <c r="L399" s="133"/>
      <c r="M399" s="123">
        <f t="shared" si="69"/>
        <v>1</v>
      </c>
      <c r="N399" s="133"/>
      <c r="O399" s="123">
        <f t="shared" si="70"/>
        <v>1</v>
      </c>
      <c r="P399" s="133"/>
      <c r="Q399" s="123">
        <f t="shared" si="71"/>
        <v>1</v>
      </c>
      <c r="R399" s="187">
        <f t="shared" si="72"/>
        <v>0</v>
      </c>
      <c r="S399" s="122">
        <f t="shared" si="73"/>
        <v>0</v>
      </c>
    </row>
    <row r="400" spans="1:19">
      <c r="A400" s="131"/>
      <c r="B400" s="132"/>
      <c r="C400" s="123">
        <f t="shared" si="64"/>
        <v>1</v>
      </c>
      <c r="D400" s="133"/>
      <c r="E400" s="123">
        <f t="shared" si="65"/>
        <v>1</v>
      </c>
      <c r="F400" s="133"/>
      <c r="G400" s="123">
        <f t="shared" si="66"/>
        <v>1</v>
      </c>
      <c r="H400" s="133"/>
      <c r="I400" s="123">
        <f t="shared" si="67"/>
        <v>1</v>
      </c>
      <c r="J400" s="133"/>
      <c r="K400" s="123">
        <f t="shared" si="68"/>
        <v>1</v>
      </c>
      <c r="L400" s="133"/>
      <c r="M400" s="123">
        <f t="shared" si="69"/>
        <v>1</v>
      </c>
      <c r="N400" s="133"/>
      <c r="O400" s="123">
        <f t="shared" si="70"/>
        <v>1</v>
      </c>
      <c r="P400" s="133"/>
      <c r="Q400" s="123">
        <f t="shared" si="71"/>
        <v>1</v>
      </c>
      <c r="R400" s="187">
        <f t="shared" si="72"/>
        <v>0</v>
      </c>
      <c r="S400" s="122">
        <f t="shared" si="73"/>
        <v>0</v>
      </c>
    </row>
    <row r="401" spans="1:19">
      <c r="A401" s="131"/>
      <c r="B401" s="132"/>
      <c r="C401" s="123">
        <f t="shared" si="64"/>
        <v>1</v>
      </c>
      <c r="D401" s="133"/>
      <c r="E401" s="123">
        <f t="shared" si="65"/>
        <v>1</v>
      </c>
      <c r="F401" s="133"/>
      <c r="G401" s="123">
        <f t="shared" si="66"/>
        <v>1</v>
      </c>
      <c r="H401" s="133"/>
      <c r="I401" s="123">
        <f t="shared" si="67"/>
        <v>1</v>
      </c>
      <c r="J401" s="133"/>
      <c r="K401" s="123">
        <f t="shared" si="68"/>
        <v>1</v>
      </c>
      <c r="L401" s="133"/>
      <c r="M401" s="123">
        <f t="shared" si="69"/>
        <v>1</v>
      </c>
      <c r="N401" s="133"/>
      <c r="O401" s="123">
        <f t="shared" si="70"/>
        <v>1</v>
      </c>
      <c r="P401" s="133"/>
      <c r="Q401" s="123">
        <f t="shared" si="71"/>
        <v>1</v>
      </c>
      <c r="R401" s="187">
        <f t="shared" si="72"/>
        <v>0</v>
      </c>
      <c r="S401" s="122">
        <f t="shared" si="73"/>
        <v>0</v>
      </c>
    </row>
    <row r="402" spans="1:19">
      <c r="A402" s="131"/>
      <c r="B402" s="132"/>
      <c r="C402" s="123">
        <f t="shared" si="64"/>
        <v>1</v>
      </c>
      <c r="D402" s="133"/>
      <c r="E402" s="123">
        <f t="shared" si="65"/>
        <v>1</v>
      </c>
      <c r="F402" s="133"/>
      <c r="G402" s="123">
        <f t="shared" si="66"/>
        <v>1</v>
      </c>
      <c r="H402" s="133"/>
      <c r="I402" s="123">
        <f t="shared" si="67"/>
        <v>1</v>
      </c>
      <c r="J402" s="133"/>
      <c r="K402" s="123">
        <f t="shared" si="68"/>
        <v>1</v>
      </c>
      <c r="L402" s="133"/>
      <c r="M402" s="123">
        <f t="shared" si="69"/>
        <v>1</v>
      </c>
      <c r="N402" s="133"/>
      <c r="O402" s="123">
        <f t="shared" si="70"/>
        <v>1</v>
      </c>
      <c r="P402" s="133"/>
      <c r="Q402" s="123">
        <f t="shared" si="71"/>
        <v>1</v>
      </c>
      <c r="R402" s="187">
        <f t="shared" si="72"/>
        <v>0</v>
      </c>
      <c r="S402" s="122">
        <f t="shared" si="73"/>
        <v>0</v>
      </c>
    </row>
    <row r="403" spans="1:19">
      <c r="A403" s="131"/>
      <c r="B403" s="132"/>
      <c r="C403" s="123">
        <f t="shared" si="64"/>
        <v>1</v>
      </c>
      <c r="D403" s="133"/>
      <c r="E403" s="123">
        <f t="shared" si="65"/>
        <v>1</v>
      </c>
      <c r="F403" s="133"/>
      <c r="G403" s="123">
        <f t="shared" si="66"/>
        <v>1</v>
      </c>
      <c r="H403" s="133"/>
      <c r="I403" s="123">
        <f t="shared" si="67"/>
        <v>1</v>
      </c>
      <c r="J403" s="133"/>
      <c r="K403" s="123">
        <f t="shared" si="68"/>
        <v>1</v>
      </c>
      <c r="L403" s="133"/>
      <c r="M403" s="123">
        <f t="shared" si="69"/>
        <v>1</v>
      </c>
      <c r="N403" s="133"/>
      <c r="O403" s="123">
        <f t="shared" si="70"/>
        <v>1</v>
      </c>
      <c r="P403" s="133"/>
      <c r="Q403" s="123">
        <f t="shared" si="71"/>
        <v>1</v>
      </c>
      <c r="R403" s="187">
        <f t="shared" si="72"/>
        <v>0</v>
      </c>
      <c r="S403" s="122">
        <f t="shared" si="73"/>
        <v>0</v>
      </c>
    </row>
    <row r="404" spans="1:19">
      <c r="A404" s="131"/>
      <c r="B404" s="132"/>
      <c r="C404" s="123">
        <f t="shared" si="64"/>
        <v>1</v>
      </c>
      <c r="D404" s="133"/>
      <c r="E404" s="123">
        <f t="shared" si="65"/>
        <v>1</v>
      </c>
      <c r="F404" s="133"/>
      <c r="G404" s="123">
        <f t="shared" si="66"/>
        <v>1</v>
      </c>
      <c r="H404" s="133"/>
      <c r="I404" s="123">
        <f t="shared" si="67"/>
        <v>1</v>
      </c>
      <c r="J404" s="133"/>
      <c r="K404" s="123">
        <f t="shared" si="68"/>
        <v>1</v>
      </c>
      <c r="L404" s="133"/>
      <c r="M404" s="123">
        <f t="shared" si="69"/>
        <v>1</v>
      </c>
      <c r="N404" s="133"/>
      <c r="O404" s="123">
        <f t="shared" si="70"/>
        <v>1</v>
      </c>
      <c r="P404" s="133"/>
      <c r="Q404" s="123">
        <f t="shared" si="71"/>
        <v>1</v>
      </c>
      <c r="R404" s="187">
        <f t="shared" si="72"/>
        <v>0</v>
      </c>
      <c r="S404" s="122">
        <f t="shared" si="73"/>
        <v>0</v>
      </c>
    </row>
    <row r="405" spans="1:19">
      <c r="A405" s="131"/>
      <c r="B405" s="132"/>
      <c r="C405" s="123">
        <f t="shared" si="64"/>
        <v>1</v>
      </c>
      <c r="D405" s="133"/>
      <c r="E405" s="123">
        <f t="shared" si="65"/>
        <v>1</v>
      </c>
      <c r="F405" s="133"/>
      <c r="G405" s="123">
        <f t="shared" si="66"/>
        <v>1</v>
      </c>
      <c r="H405" s="133"/>
      <c r="I405" s="123">
        <f t="shared" si="67"/>
        <v>1</v>
      </c>
      <c r="J405" s="133"/>
      <c r="K405" s="123">
        <f t="shared" si="68"/>
        <v>1</v>
      </c>
      <c r="L405" s="133"/>
      <c r="M405" s="123">
        <f t="shared" si="69"/>
        <v>1</v>
      </c>
      <c r="N405" s="133"/>
      <c r="O405" s="123">
        <f t="shared" si="70"/>
        <v>1</v>
      </c>
      <c r="P405" s="133"/>
      <c r="Q405" s="123">
        <f t="shared" si="71"/>
        <v>1</v>
      </c>
      <c r="R405" s="187">
        <f t="shared" si="72"/>
        <v>0</v>
      </c>
      <c r="S405" s="122">
        <f t="shared" si="73"/>
        <v>0</v>
      </c>
    </row>
    <row r="406" spans="1:19">
      <c r="A406" s="131"/>
      <c r="B406" s="132"/>
      <c r="C406" s="123">
        <f t="shared" si="64"/>
        <v>1</v>
      </c>
      <c r="D406" s="133"/>
      <c r="E406" s="123">
        <f t="shared" si="65"/>
        <v>1</v>
      </c>
      <c r="F406" s="133"/>
      <c r="G406" s="123">
        <f t="shared" si="66"/>
        <v>1</v>
      </c>
      <c r="H406" s="133"/>
      <c r="I406" s="123">
        <f t="shared" si="67"/>
        <v>1</v>
      </c>
      <c r="J406" s="133"/>
      <c r="K406" s="123">
        <f t="shared" si="68"/>
        <v>1</v>
      </c>
      <c r="L406" s="133"/>
      <c r="M406" s="123">
        <f t="shared" si="69"/>
        <v>1</v>
      </c>
      <c r="N406" s="133"/>
      <c r="O406" s="123">
        <f t="shared" si="70"/>
        <v>1</v>
      </c>
      <c r="P406" s="133"/>
      <c r="Q406" s="123">
        <f t="shared" si="71"/>
        <v>1</v>
      </c>
      <c r="R406" s="187">
        <f t="shared" si="72"/>
        <v>0</v>
      </c>
      <c r="S406" s="122">
        <f t="shared" si="73"/>
        <v>0</v>
      </c>
    </row>
    <row r="407" spans="1:19">
      <c r="A407" s="131"/>
      <c r="B407" s="132"/>
      <c r="C407" s="123">
        <f t="shared" si="64"/>
        <v>1</v>
      </c>
      <c r="D407" s="133"/>
      <c r="E407" s="123">
        <f t="shared" si="65"/>
        <v>1</v>
      </c>
      <c r="F407" s="133"/>
      <c r="G407" s="123">
        <f t="shared" si="66"/>
        <v>1</v>
      </c>
      <c r="H407" s="133"/>
      <c r="I407" s="123">
        <f t="shared" si="67"/>
        <v>1</v>
      </c>
      <c r="J407" s="133"/>
      <c r="K407" s="123">
        <f t="shared" si="68"/>
        <v>1</v>
      </c>
      <c r="L407" s="133"/>
      <c r="M407" s="123">
        <f t="shared" si="69"/>
        <v>1</v>
      </c>
      <c r="N407" s="133"/>
      <c r="O407" s="123">
        <f t="shared" si="70"/>
        <v>1</v>
      </c>
      <c r="P407" s="133"/>
      <c r="Q407" s="123">
        <f t="shared" si="71"/>
        <v>1</v>
      </c>
      <c r="R407" s="187">
        <f t="shared" si="72"/>
        <v>0</v>
      </c>
      <c r="S407" s="122">
        <f t="shared" si="73"/>
        <v>0</v>
      </c>
    </row>
    <row r="408" spans="1:19">
      <c r="A408" s="131"/>
      <c r="B408" s="132"/>
      <c r="C408" s="123">
        <f t="shared" si="64"/>
        <v>1</v>
      </c>
      <c r="D408" s="133"/>
      <c r="E408" s="123">
        <f t="shared" si="65"/>
        <v>1</v>
      </c>
      <c r="F408" s="133"/>
      <c r="G408" s="123">
        <f t="shared" si="66"/>
        <v>1</v>
      </c>
      <c r="H408" s="133"/>
      <c r="I408" s="123">
        <f t="shared" si="67"/>
        <v>1</v>
      </c>
      <c r="J408" s="133"/>
      <c r="K408" s="123">
        <f t="shared" si="68"/>
        <v>1</v>
      </c>
      <c r="L408" s="133"/>
      <c r="M408" s="123">
        <f t="shared" si="69"/>
        <v>1</v>
      </c>
      <c r="N408" s="133"/>
      <c r="O408" s="123">
        <f t="shared" si="70"/>
        <v>1</v>
      </c>
      <c r="P408" s="133"/>
      <c r="Q408" s="123">
        <f t="shared" si="71"/>
        <v>1</v>
      </c>
      <c r="R408" s="187">
        <f t="shared" si="72"/>
        <v>0</v>
      </c>
      <c r="S408" s="122">
        <f t="shared" si="73"/>
        <v>0</v>
      </c>
    </row>
    <row r="409" spans="1:19">
      <c r="A409" s="131"/>
      <c r="B409" s="132"/>
      <c r="C409" s="123">
        <f t="shared" si="64"/>
        <v>1</v>
      </c>
      <c r="D409" s="133"/>
      <c r="E409" s="123">
        <f t="shared" si="65"/>
        <v>1</v>
      </c>
      <c r="F409" s="133"/>
      <c r="G409" s="123">
        <f t="shared" si="66"/>
        <v>1</v>
      </c>
      <c r="H409" s="133"/>
      <c r="I409" s="123">
        <f t="shared" si="67"/>
        <v>1</v>
      </c>
      <c r="J409" s="133"/>
      <c r="K409" s="123">
        <f t="shared" si="68"/>
        <v>1</v>
      </c>
      <c r="L409" s="133"/>
      <c r="M409" s="123">
        <f t="shared" si="69"/>
        <v>1</v>
      </c>
      <c r="N409" s="133"/>
      <c r="O409" s="123">
        <f t="shared" si="70"/>
        <v>1</v>
      </c>
      <c r="P409" s="133"/>
      <c r="Q409" s="123">
        <f t="shared" si="71"/>
        <v>1</v>
      </c>
      <c r="R409" s="187">
        <f t="shared" si="72"/>
        <v>0</v>
      </c>
      <c r="S409" s="122">
        <f t="shared" si="73"/>
        <v>0</v>
      </c>
    </row>
    <row r="410" spans="1:19">
      <c r="A410" s="131"/>
      <c r="B410" s="132"/>
      <c r="C410" s="123">
        <f t="shared" ref="C410:C473" si="74">IF(B410="",1,(LOOKUP(B410,$3:$3,$4:$4)-LOOKUP($B$24,$3:$3,$4:$4)+100)/100)</f>
        <v>1</v>
      </c>
      <c r="D410" s="133"/>
      <c r="E410" s="123">
        <f t="shared" ref="E410:E473" si="75">(SUMIF($5:$5,D410,$6:$6)-SUMIF($5:$5,$D$24,$6:$6)+100)/100</f>
        <v>1</v>
      </c>
      <c r="F410" s="133"/>
      <c r="G410" s="123">
        <f t="shared" ref="G410:G473" si="76">(SUMIF($7:$7,F410,$8:$8)-SUMIF($7:$7,$F$24,$8:$8)+100)/100</f>
        <v>1</v>
      </c>
      <c r="H410" s="133"/>
      <c r="I410" s="123">
        <f t="shared" ref="I410:I473" si="77">(SUMIF($9:$9,H410,$10:$10)-SUMIF($9:$9,$H$24,$10:$10)+100)/100</f>
        <v>1</v>
      </c>
      <c r="J410" s="133"/>
      <c r="K410" s="123">
        <f t="shared" ref="K410:K473" si="78">(SUMIF($11:$11,J410,$12:$12)-SUMIF($11:$11,$J$24,$12:$12)+100)/100</f>
        <v>1</v>
      </c>
      <c r="L410" s="133"/>
      <c r="M410" s="123">
        <f t="shared" ref="M410:M473" si="79">(SUMIF($13:$13,L410,$14:$14)-SUMIF($13:$13,$L$24,$14:$14)+100)/100</f>
        <v>1</v>
      </c>
      <c r="N410" s="133"/>
      <c r="O410" s="123">
        <f t="shared" ref="O410:O473" si="80">(SUMIF($15:$15,N410,$16:$16)-SUMIF($15:$15,$N$24,$16:$16)+100)/100</f>
        <v>1</v>
      </c>
      <c r="P410" s="133"/>
      <c r="Q410" s="123">
        <f t="shared" ref="Q410:Q473" si="81">(SUMIF($17:$17,P410,$18:$18)-SUMIF($17:$17,$P$24,$18:$18)+100)/100</f>
        <v>1</v>
      </c>
      <c r="R410" s="187">
        <f t="shared" ref="R410:R473" si="82">IF(B410="",0,ROUND($R$24*C410*E410*G410*I410*K410*M410*O410*Q410,0))</f>
        <v>0</v>
      </c>
      <c r="S410" s="122">
        <f t="shared" si="73"/>
        <v>0</v>
      </c>
    </row>
    <row r="411" spans="1:19">
      <c r="A411" s="131"/>
      <c r="B411" s="132"/>
      <c r="C411" s="123">
        <f t="shared" si="74"/>
        <v>1</v>
      </c>
      <c r="D411" s="133"/>
      <c r="E411" s="123">
        <f t="shared" si="75"/>
        <v>1</v>
      </c>
      <c r="F411" s="133"/>
      <c r="G411" s="123">
        <f t="shared" si="76"/>
        <v>1</v>
      </c>
      <c r="H411" s="133"/>
      <c r="I411" s="123">
        <f t="shared" si="77"/>
        <v>1</v>
      </c>
      <c r="J411" s="133"/>
      <c r="K411" s="123">
        <f t="shared" si="78"/>
        <v>1</v>
      </c>
      <c r="L411" s="133"/>
      <c r="M411" s="123">
        <f t="shared" si="79"/>
        <v>1</v>
      </c>
      <c r="N411" s="133"/>
      <c r="O411" s="123">
        <f t="shared" si="80"/>
        <v>1</v>
      </c>
      <c r="P411" s="133"/>
      <c r="Q411" s="123">
        <f t="shared" si="81"/>
        <v>1</v>
      </c>
      <c r="R411" s="187">
        <f t="shared" si="82"/>
        <v>0</v>
      </c>
      <c r="S411" s="122">
        <f t="shared" si="73"/>
        <v>0</v>
      </c>
    </row>
    <row r="412" spans="1:19">
      <c r="A412" s="131"/>
      <c r="B412" s="132"/>
      <c r="C412" s="123">
        <f t="shared" si="74"/>
        <v>1</v>
      </c>
      <c r="D412" s="133"/>
      <c r="E412" s="123">
        <f t="shared" si="75"/>
        <v>1</v>
      </c>
      <c r="F412" s="133"/>
      <c r="G412" s="123">
        <f t="shared" si="76"/>
        <v>1</v>
      </c>
      <c r="H412" s="133"/>
      <c r="I412" s="123">
        <f t="shared" si="77"/>
        <v>1</v>
      </c>
      <c r="J412" s="133"/>
      <c r="K412" s="123">
        <f t="shared" si="78"/>
        <v>1</v>
      </c>
      <c r="L412" s="133"/>
      <c r="M412" s="123">
        <f t="shared" si="79"/>
        <v>1</v>
      </c>
      <c r="N412" s="133"/>
      <c r="O412" s="123">
        <f t="shared" si="80"/>
        <v>1</v>
      </c>
      <c r="P412" s="133"/>
      <c r="Q412" s="123">
        <f t="shared" si="81"/>
        <v>1</v>
      </c>
      <c r="R412" s="187">
        <f t="shared" si="82"/>
        <v>0</v>
      </c>
      <c r="S412" s="122">
        <f t="shared" si="73"/>
        <v>0</v>
      </c>
    </row>
    <row r="413" spans="1:19">
      <c r="A413" s="131"/>
      <c r="B413" s="132"/>
      <c r="C413" s="123">
        <f t="shared" si="74"/>
        <v>1</v>
      </c>
      <c r="D413" s="133"/>
      <c r="E413" s="123">
        <f t="shared" si="75"/>
        <v>1</v>
      </c>
      <c r="F413" s="133"/>
      <c r="G413" s="123">
        <f t="shared" si="76"/>
        <v>1</v>
      </c>
      <c r="H413" s="133"/>
      <c r="I413" s="123">
        <f t="shared" si="77"/>
        <v>1</v>
      </c>
      <c r="J413" s="133"/>
      <c r="K413" s="123">
        <f t="shared" si="78"/>
        <v>1</v>
      </c>
      <c r="L413" s="133"/>
      <c r="M413" s="123">
        <f t="shared" si="79"/>
        <v>1</v>
      </c>
      <c r="N413" s="133"/>
      <c r="O413" s="123">
        <f t="shared" si="80"/>
        <v>1</v>
      </c>
      <c r="P413" s="133"/>
      <c r="Q413" s="123">
        <f t="shared" si="81"/>
        <v>1</v>
      </c>
      <c r="R413" s="187">
        <f t="shared" si="82"/>
        <v>0</v>
      </c>
      <c r="S413" s="122">
        <f t="shared" si="73"/>
        <v>0</v>
      </c>
    </row>
    <row r="414" spans="1:19">
      <c r="A414" s="131"/>
      <c r="B414" s="132"/>
      <c r="C414" s="123">
        <f t="shared" si="74"/>
        <v>1</v>
      </c>
      <c r="D414" s="133"/>
      <c r="E414" s="123">
        <f t="shared" si="75"/>
        <v>1</v>
      </c>
      <c r="F414" s="133"/>
      <c r="G414" s="123">
        <f t="shared" si="76"/>
        <v>1</v>
      </c>
      <c r="H414" s="133"/>
      <c r="I414" s="123">
        <f t="shared" si="77"/>
        <v>1</v>
      </c>
      <c r="J414" s="133"/>
      <c r="K414" s="123">
        <f t="shared" si="78"/>
        <v>1</v>
      </c>
      <c r="L414" s="133"/>
      <c r="M414" s="123">
        <f t="shared" si="79"/>
        <v>1</v>
      </c>
      <c r="N414" s="133"/>
      <c r="O414" s="123">
        <f t="shared" si="80"/>
        <v>1</v>
      </c>
      <c r="P414" s="133"/>
      <c r="Q414" s="123">
        <f t="shared" si="81"/>
        <v>1</v>
      </c>
      <c r="R414" s="187">
        <f t="shared" si="82"/>
        <v>0</v>
      </c>
      <c r="S414" s="122">
        <f t="shared" si="73"/>
        <v>0</v>
      </c>
    </row>
    <row r="415" spans="1:19">
      <c r="A415" s="131"/>
      <c r="B415" s="132"/>
      <c r="C415" s="123">
        <f t="shared" si="74"/>
        <v>1</v>
      </c>
      <c r="D415" s="133"/>
      <c r="E415" s="123">
        <f t="shared" si="75"/>
        <v>1</v>
      </c>
      <c r="F415" s="133"/>
      <c r="G415" s="123">
        <f t="shared" si="76"/>
        <v>1</v>
      </c>
      <c r="H415" s="133"/>
      <c r="I415" s="123">
        <f t="shared" si="77"/>
        <v>1</v>
      </c>
      <c r="J415" s="133"/>
      <c r="K415" s="123">
        <f t="shared" si="78"/>
        <v>1</v>
      </c>
      <c r="L415" s="133"/>
      <c r="M415" s="123">
        <f t="shared" si="79"/>
        <v>1</v>
      </c>
      <c r="N415" s="133"/>
      <c r="O415" s="123">
        <f t="shared" si="80"/>
        <v>1</v>
      </c>
      <c r="P415" s="133"/>
      <c r="Q415" s="123">
        <f t="shared" si="81"/>
        <v>1</v>
      </c>
      <c r="R415" s="187">
        <f t="shared" si="82"/>
        <v>0</v>
      </c>
      <c r="S415" s="122">
        <f t="shared" si="73"/>
        <v>0</v>
      </c>
    </row>
    <row r="416" spans="1:19">
      <c r="A416" s="131"/>
      <c r="B416" s="132"/>
      <c r="C416" s="123">
        <f t="shared" si="74"/>
        <v>1</v>
      </c>
      <c r="D416" s="133"/>
      <c r="E416" s="123">
        <f t="shared" si="75"/>
        <v>1</v>
      </c>
      <c r="F416" s="133"/>
      <c r="G416" s="123">
        <f t="shared" si="76"/>
        <v>1</v>
      </c>
      <c r="H416" s="133"/>
      <c r="I416" s="123">
        <f t="shared" si="77"/>
        <v>1</v>
      </c>
      <c r="J416" s="133"/>
      <c r="K416" s="123">
        <f t="shared" si="78"/>
        <v>1</v>
      </c>
      <c r="L416" s="133"/>
      <c r="M416" s="123">
        <f t="shared" si="79"/>
        <v>1</v>
      </c>
      <c r="N416" s="133"/>
      <c r="O416" s="123">
        <f t="shared" si="80"/>
        <v>1</v>
      </c>
      <c r="P416" s="133"/>
      <c r="Q416" s="123">
        <f t="shared" si="81"/>
        <v>1</v>
      </c>
      <c r="R416" s="187">
        <f t="shared" si="82"/>
        <v>0</v>
      </c>
      <c r="S416" s="122">
        <f t="shared" si="73"/>
        <v>0</v>
      </c>
    </row>
    <row r="417" spans="1:19">
      <c r="A417" s="131"/>
      <c r="B417" s="132"/>
      <c r="C417" s="123">
        <f t="shared" si="74"/>
        <v>1</v>
      </c>
      <c r="D417" s="133"/>
      <c r="E417" s="123">
        <f t="shared" si="75"/>
        <v>1</v>
      </c>
      <c r="F417" s="133"/>
      <c r="G417" s="123">
        <f t="shared" si="76"/>
        <v>1</v>
      </c>
      <c r="H417" s="133"/>
      <c r="I417" s="123">
        <f t="shared" si="77"/>
        <v>1</v>
      </c>
      <c r="J417" s="133"/>
      <c r="K417" s="123">
        <f t="shared" si="78"/>
        <v>1</v>
      </c>
      <c r="L417" s="133"/>
      <c r="M417" s="123">
        <f t="shared" si="79"/>
        <v>1</v>
      </c>
      <c r="N417" s="133"/>
      <c r="O417" s="123">
        <f t="shared" si="80"/>
        <v>1</v>
      </c>
      <c r="P417" s="133"/>
      <c r="Q417" s="123">
        <f t="shared" si="81"/>
        <v>1</v>
      </c>
      <c r="R417" s="187">
        <f t="shared" si="82"/>
        <v>0</v>
      </c>
      <c r="S417" s="122">
        <f t="shared" si="73"/>
        <v>0</v>
      </c>
    </row>
    <row r="418" spans="1:19">
      <c r="A418" s="131"/>
      <c r="B418" s="132"/>
      <c r="C418" s="123">
        <f t="shared" si="74"/>
        <v>1</v>
      </c>
      <c r="D418" s="133"/>
      <c r="E418" s="123">
        <f t="shared" si="75"/>
        <v>1</v>
      </c>
      <c r="F418" s="133"/>
      <c r="G418" s="123">
        <f t="shared" si="76"/>
        <v>1</v>
      </c>
      <c r="H418" s="133"/>
      <c r="I418" s="123">
        <f t="shared" si="77"/>
        <v>1</v>
      </c>
      <c r="J418" s="133"/>
      <c r="K418" s="123">
        <f t="shared" si="78"/>
        <v>1</v>
      </c>
      <c r="L418" s="133"/>
      <c r="M418" s="123">
        <f t="shared" si="79"/>
        <v>1</v>
      </c>
      <c r="N418" s="133"/>
      <c r="O418" s="123">
        <f t="shared" si="80"/>
        <v>1</v>
      </c>
      <c r="P418" s="133"/>
      <c r="Q418" s="123">
        <f t="shared" si="81"/>
        <v>1</v>
      </c>
      <c r="R418" s="187">
        <f t="shared" si="82"/>
        <v>0</v>
      </c>
      <c r="S418" s="122">
        <f t="shared" si="73"/>
        <v>0</v>
      </c>
    </row>
    <row r="419" spans="1:19">
      <c r="A419" s="131"/>
      <c r="B419" s="132"/>
      <c r="C419" s="123">
        <f t="shared" si="74"/>
        <v>1</v>
      </c>
      <c r="D419" s="133"/>
      <c r="E419" s="123">
        <f t="shared" si="75"/>
        <v>1</v>
      </c>
      <c r="F419" s="133"/>
      <c r="G419" s="123">
        <f t="shared" si="76"/>
        <v>1</v>
      </c>
      <c r="H419" s="133"/>
      <c r="I419" s="123">
        <f t="shared" si="77"/>
        <v>1</v>
      </c>
      <c r="J419" s="133"/>
      <c r="K419" s="123">
        <f t="shared" si="78"/>
        <v>1</v>
      </c>
      <c r="L419" s="133"/>
      <c r="M419" s="123">
        <f t="shared" si="79"/>
        <v>1</v>
      </c>
      <c r="N419" s="133"/>
      <c r="O419" s="123">
        <f t="shared" si="80"/>
        <v>1</v>
      </c>
      <c r="P419" s="133"/>
      <c r="Q419" s="123">
        <f t="shared" si="81"/>
        <v>1</v>
      </c>
      <c r="R419" s="187">
        <f t="shared" si="82"/>
        <v>0</v>
      </c>
      <c r="S419" s="122">
        <f t="shared" si="73"/>
        <v>0</v>
      </c>
    </row>
    <row r="420" spans="1:19">
      <c r="A420" s="131"/>
      <c r="B420" s="132"/>
      <c r="C420" s="123">
        <f t="shared" si="74"/>
        <v>1</v>
      </c>
      <c r="D420" s="133"/>
      <c r="E420" s="123">
        <f t="shared" si="75"/>
        <v>1</v>
      </c>
      <c r="F420" s="133"/>
      <c r="G420" s="123">
        <f t="shared" si="76"/>
        <v>1</v>
      </c>
      <c r="H420" s="133"/>
      <c r="I420" s="123">
        <f t="shared" si="77"/>
        <v>1</v>
      </c>
      <c r="J420" s="133"/>
      <c r="K420" s="123">
        <f t="shared" si="78"/>
        <v>1</v>
      </c>
      <c r="L420" s="133"/>
      <c r="M420" s="123">
        <f t="shared" si="79"/>
        <v>1</v>
      </c>
      <c r="N420" s="133"/>
      <c r="O420" s="123">
        <f t="shared" si="80"/>
        <v>1</v>
      </c>
      <c r="P420" s="133"/>
      <c r="Q420" s="123">
        <f t="shared" si="81"/>
        <v>1</v>
      </c>
      <c r="R420" s="187">
        <f t="shared" si="82"/>
        <v>0</v>
      </c>
      <c r="S420" s="122">
        <f t="shared" si="73"/>
        <v>0</v>
      </c>
    </row>
    <row r="421" spans="1:19">
      <c r="A421" s="131"/>
      <c r="B421" s="132"/>
      <c r="C421" s="123">
        <f t="shared" si="74"/>
        <v>1</v>
      </c>
      <c r="D421" s="133"/>
      <c r="E421" s="123">
        <f t="shared" si="75"/>
        <v>1</v>
      </c>
      <c r="F421" s="133"/>
      <c r="G421" s="123">
        <f t="shared" si="76"/>
        <v>1</v>
      </c>
      <c r="H421" s="133"/>
      <c r="I421" s="123">
        <f t="shared" si="77"/>
        <v>1</v>
      </c>
      <c r="J421" s="133"/>
      <c r="K421" s="123">
        <f t="shared" si="78"/>
        <v>1</v>
      </c>
      <c r="L421" s="133"/>
      <c r="M421" s="123">
        <f t="shared" si="79"/>
        <v>1</v>
      </c>
      <c r="N421" s="133"/>
      <c r="O421" s="123">
        <f t="shared" si="80"/>
        <v>1</v>
      </c>
      <c r="P421" s="133"/>
      <c r="Q421" s="123">
        <f t="shared" si="81"/>
        <v>1</v>
      </c>
      <c r="R421" s="187">
        <f t="shared" si="82"/>
        <v>0</v>
      </c>
      <c r="S421" s="122">
        <f t="shared" si="73"/>
        <v>0</v>
      </c>
    </row>
    <row r="422" spans="1:19">
      <c r="A422" s="131"/>
      <c r="B422" s="132"/>
      <c r="C422" s="123">
        <f t="shared" si="74"/>
        <v>1</v>
      </c>
      <c r="D422" s="133"/>
      <c r="E422" s="123">
        <f t="shared" si="75"/>
        <v>1</v>
      </c>
      <c r="F422" s="133"/>
      <c r="G422" s="123">
        <f t="shared" si="76"/>
        <v>1</v>
      </c>
      <c r="H422" s="133"/>
      <c r="I422" s="123">
        <f t="shared" si="77"/>
        <v>1</v>
      </c>
      <c r="J422" s="133"/>
      <c r="K422" s="123">
        <f t="shared" si="78"/>
        <v>1</v>
      </c>
      <c r="L422" s="133"/>
      <c r="M422" s="123">
        <f t="shared" si="79"/>
        <v>1</v>
      </c>
      <c r="N422" s="133"/>
      <c r="O422" s="123">
        <f t="shared" si="80"/>
        <v>1</v>
      </c>
      <c r="P422" s="133"/>
      <c r="Q422" s="123">
        <f t="shared" si="81"/>
        <v>1</v>
      </c>
      <c r="R422" s="187">
        <f t="shared" si="82"/>
        <v>0</v>
      </c>
      <c r="S422" s="122">
        <f t="shared" si="73"/>
        <v>0</v>
      </c>
    </row>
    <row r="423" spans="1:19">
      <c r="A423" s="131"/>
      <c r="B423" s="132"/>
      <c r="C423" s="123">
        <f t="shared" si="74"/>
        <v>1</v>
      </c>
      <c r="D423" s="133"/>
      <c r="E423" s="123">
        <f t="shared" si="75"/>
        <v>1</v>
      </c>
      <c r="F423" s="133"/>
      <c r="G423" s="123">
        <f t="shared" si="76"/>
        <v>1</v>
      </c>
      <c r="H423" s="133"/>
      <c r="I423" s="123">
        <f t="shared" si="77"/>
        <v>1</v>
      </c>
      <c r="J423" s="133"/>
      <c r="K423" s="123">
        <f t="shared" si="78"/>
        <v>1</v>
      </c>
      <c r="L423" s="133"/>
      <c r="M423" s="123">
        <f t="shared" si="79"/>
        <v>1</v>
      </c>
      <c r="N423" s="133"/>
      <c r="O423" s="123">
        <f t="shared" si="80"/>
        <v>1</v>
      </c>
      <c r="P423" s="133"/>
      <c r="Q423" s="123">
        <f t="shared" si="81"/>
        <v>1</v>
      </c>
      <c r="R423" s="187">
        <f t="shared" si="82"/>
        <v>0</v>
      </c>
      <c r="S423" s="122">
        <f t="shared" ref="S423:S467" si="83">ROUND(R423*B423/10000,0)</f>
        <v>0</v>
      </c>
    </row>
    <row r="424" spans="1:19">
      <c r="A424" s="131"/>
      <c r="B424" s="132"/>
      <c r="C424" s="123">
        <f t="shared" si="74"/>
        <v>1</v>
      </c>
      <c r="D424" s="133"/>
      <c r="E424" s="123">
        <f t="shared" si="75"/>
        <v>1</v>
      </c>
      <c r="F424" s="133"/>
      <c r="G424" s="123">
        <f t="shared" si="76"/>
        <v>1</v>
      </c>
      <c r="H424" s="133"/>
      <c r="I424" s="123">
        <f t="shared" si="77"/>
        <v>1</v>
      </c>
      <c r="J424" s="133"/>
      <c r="K424" s="123">
        <f t="shared" si="78"/>
        <v>1</v>
      </c>
      <c r="L424" s="133"/>
      <c r="M424" s="123">
        <f t="shared" si="79"/>
        <v>1</v>
      </c>
      <c r="N424" s="133"/>
      <c r="O424" s="123">
        <f t="shared" si="80"/>
        <v>1</v>
      </c>
      <c r="P424" s="133"/>
      <c r="Q424" s="123">
        <f t="shared" si="81"/>
        <v>1</v>
      </c>
      <c r="R424" s="187">
        <f t="shared" si="82"/>
        <v>0</v>
      </c>
      <c r="S424" s="122">
        <f t="shared" si="83"/>
        <v>0</v>
      </c>
    </row>
    <row r="425" spans="1:19">
      <c r="A425" s="131"/>
      <c r="B425" s="132"/>
      <c r="C425" s="123">
        <f t="shared" si="74"/>
        <v>1</v>
      </c>
      <c r="D425" s="133"/>
      <c r="E425" s="123">
        <f t="shared" si="75"/>
        <v>1</v>
      </c>
      <c r="F425" s="133"/>
      <c r="G425" s="123">
        <f t="shared" si="76"/>
        <v>1</v>
      </c>
      <c r="H425" s="133"/>
      <c r="I425" s="123">
        <f t="shared" si="77"/>
        <v>1</v>
      </c>
      <c r="J425" s="133"/>
      <c r="K425" s="123">
        <f t="shared" si="78"/>
        <v>1</v>
      </c>
      <c r="L425" s="133"/>
      <c r="M425" s="123">
        <f t="shared" si="79"/>
        <v>1</v>
      </c>
      <c r="N425" s="133"/>
      <c r="O425" s="123">
        <f t="shared" si="80"/>
        <v>1</v>
      </c>
      <c r="P425" s="133"/>
      <c r="Q425" s="123">
        <f t="shared" si="81"/>
        <v>1</v>
      </c>
      <c r="R425" s="187">
        <f t="shared" si="82"/>
        <v>0</v>
      </c>
      <c r="S425" s="122">
        <f t="shared" si="83"/>
        <v>0</v>
      </c>
    </row>
    <row r="426" spans="1:19">
      <c r="A426" s="131"/>
      <c r="B426" s="132"/>
      <c r="C426" s="123">
        <f t="shared" si="74"/>
        <v>1</v>
      </c>
      <c r="D426" s="133"/>
      <c r="E426" s="123">
        <f t="shared" si="75"/>
        <v>1</v>
      </c>
      <c r="F426" s="133"/>
      <c r="G426" s="123">
        <f t="shared" si="76"/>
        <v>1</v>
      </c>
      <c r="H426" s="133"/>
      <c r="I426" s="123">
        <f t="shared" si="77"/>
        <v>1</v>
      </c>
      <c r="J426" s="133"/>
      <c r="K426" s="123">
        <f t="shared" si="78"/>
        <v>1</v>
      </c>
      <c r="L426" s="133"/>
      <c r="M426" s="123">
        <f t="shared" si="79"/>
        <v>1</v>
      </c>
      <c r="N426" s="133"/>
      <c r="O426" s="123">
        <f t="shared" si="80"/>
        <v>1</v>
      </c>
      <c r="P426" s="133"/>
      <c r="Q426" s="123">
        <f t="shared" si="81"/>
        <v>1</v>
      </c>
      <c r="R426" s="187">
        <f t="shared" si="82"/>
        <v>0</v>
      </c>
      <c r="S426" s="122">
        <f t="shared" si="83"/>
        <v>0</v>
      </c>
    </row>
    <row r="427" spans="1:19">
      <c r="A427" s="131"/>
      <c r="B427" s="132"/>
      <c r="C427" s="123">
        <f t="shared" si="74"/>
        <v>1</v>
      </c>
      <c r="D427" s="133"/>
      <c r="E427" s="123">
        <f t="shared" si="75"/>
        <v>1</v>
      </c>
      <c r="F427" s="133"/>
      <c r="G427" s="123">
        <f t="shared" si="76"/>
        <v>1</v>
      </c>
      <c r="H427" s="133"/>
      <c r="I427" s="123">
        <f t="shared" si="77"/>
        <v>1</v>
      </c>
      <c r="J427" s="133"/>
      <c r="K427" s="123">
        <f t="shared" si="78"/>
        <v>1</v>
      </c>
      <c r="L427" s="133"/>
      <c r="M427" s="123">
        <f t="shared" si="79"/>
        <v>1</v>
      </c>
      <c r="N427" s="133"/>
      <c r="O427" s="123">
        <f t="shared" si="80"/>
        <v>1</v>
      </c>
      <c r="P427" s="133"/>
      <c r="Q427" s="123">
        <f t="shared" si="81"/>
        <v>1</v>
      </c>
      <c r="R427" s="187">
        <f t="shared" si="82"/>
        <v>0</v>
      </c>
      <c r="S427" s="122">
        <f t="shared" si="83"/>
        <v>0</v>
      </c>
    </row>
    <row r="428" spans="1:19">
      <c r="A428" s="131"/>
      <c r="B428" s="132"/>
      <c r="C428" s="123">
        <f t="shared" si="74"/>
        <v>1</v>
      </c>
      <c r="D428" s="133"/>
      <c r="E428" s="123">
        <f t="shared" si="75"/>
        <v>1</v>
      </c>
      <c r="F428" s="133"/>
      <c r="G428" s="123">
        <f t="shared" si="76"/>
        <v>1</v>
      </c>
      <c r="H428" s="133"/>
      <c r="I428" s="123">
        <f t="shared" si="77"/>
        <v>1</v>
      </c>
      <c r="J428" s="133"/>
      <c r="K428" s="123">
        <f t="shared" si="78"/>
        <v>1</v>
      </c>
      <c r="L428" s="133"/>
      <c r="M428" s="123">
        <f t="shared" si="79"/>
        <v>1</v>
      </c>
      <c r="N428" s="133"/>
      <c r="O428" s="123">
        <f t="shared" si="80"/>
        <v>1</v>
      </c>
      <c r="P428" s="133"/>
      <c r="Q428" s="123">
        <f t="shared" si="81"/>
        <v>1</v>
      </c>
      <c r="R428" s="187">
        <f t="shared" si="82"/>
        <v>0</v>
      </c>
      <c r="S428" s="122">
        <f t="shared" si="83"/>
        <v>0</v>
      </c>
    </row>
    <row r="429" spans="1:19">
      <c r="A429" s="131"/>
      <c r="B429" s="132"/>
      <c r="C429" s="123">
        <f t="shared" si="74"/>
        <v>1</v>
      </c>
      <c r="D429" s="133"/>
      <c r="E429" s="123">
        <f t="shared" si="75"/>
        <v>1</v>
      </c>
      <c r="F429" s="133"/>
      <c r="G429" s="123">
        <f t="shared" si="76"/>
        <v>1</v>
      </c>
      <c r="H429" s="133"/>
      <c r="I429" s="123">
        <f t="shared" si="77"/>
        <v>1</v>
      </c>
      <c r="J429" s="133"/>
      <c r="K429" s="123">
        <f t="shared" si="78"/>
        <v>1</v>
      </c>
      <c r="L429" s="133"/>
      <c r="M429" s="123">
        <f t="shared" si="79"/>
        <v>1</v>
      </c>
      <c r="N429" s="133"/>
      <c r="O429" s="123">
        <f t="shared" si="80"/>
        <v>1</v>
      </c>
      <c r="P429" s="133"/>
      <c r="Q429" s="123">
        <f t="shared" si="81"/>
        <v>1</v>
      </c>
      <c r="R429" s="187">
        <f t="shared" si="82"/>
        <v>0</v>
      </c>
      <c r="S429" s="122">
        <f t="shared" si="83"/>
        <v>0</v>
      </c>
    </row>
    <row r="430" spans="1:19">
      <c r="A430" s="131"/>
      <c r="B430" s="132"/>
      <c r="C430" s="123">
        <f t="shared" si="74"/>
        <v>1</v>
      </c>
      <c r="D430" s="133"/>
      <c r="E430" s="123">
        <f t="shared" si="75"/>
        <v>1</v>
      </c>
      <c r="F430" s="133"/>
      <c r="G430" s="123">
        <f t="shared" si="76"/>
        <v>1</v>
      </c>
      <c r="H430" s="133"/>
      <c r="I430" s="123">
        <f t="shared" si="77"/>
        <v>1</v>
      </c>
      <c r="J430" s="133"/>
      <c r="K430" s="123">
        <f t="shared" si="78"/>
        <v>1</v>
      </c>
      <c r="L430" s="133"/>
      <c r="M430" s="123">
        <f t="shared" si="79"/>
        <v>1</v>
      </c>
      <c r="N430" s="133"/>
      <c r="O430" s="123">
        <f t="shared" si="80"/>
        <v>1</v>
      </c>
      <c r="P430" s="133"/>
      <c r="Q430" s="123">
        <f t="shared" si="81"/>
        <v>1</v>
      </c>
      <c r="R430" s="187">
        <f t="shared" si="82"/>
        <v>0</v>
      </c>
      <c r="S430" s="122">
        <f t="shared" si="83"/>
        <v>0</v>
      </c>
    </row>
    <row r="431" spans="1:19">
      <c r="A431" s="131"/>
      <c r="B431" s="132"/>
      <c r="C431" s="123">
        <f t="shared" si="74"/>
        <v>1</v>
      </c>
      <c r="D431" s="133"/>
      <c r="E431" s="123">
        <f t="shared" si="75"/>
        <v>1</v>
      </c>
      <c r="F431" s="133"/>
      <c r="G431" s="123">
        <f t="shared" si="76"/>
        <v>1</v>
      </c>
      <c r="H431" s="133"/>
      <c r="I431" s="123">
        <f t="shared" si="77"/>
        <v>1</v>
      </c>
      <c r="J431" s="133"/>
      <c r="K431" s="123">
        <f t="shared" si="78"/>
        <v>1</v>
      </c>
      <c r="L431" s="133"/>
      <c r="M431" s="123">
        <f t="shared" si="79"/>
        <v>1</v>
      </c>
      <c r="N431" s="133"/>
      <c r="O431" s="123">
        <f t="shared" si="80"/>
        <v>1</v>
      </c>
      <c r="P431" s="133"/>
      <c r="Q431" s="123">
        <f t="shared" si="81"/>
        <v>1</v>
      </c>
      <c r="R431" s="187">
        <f t="shared" si="82"/>
        <v>0</v>
      </c>
      <c r="S431" s="122">
        <f t="shared" si="83"/>
        <v>0</v>
      </c>
    </row>
    <row r="432" spans="1:19">
      <c r="A432" s="131"/>
      <c r="B432" s="132"/>
      <c r="C432" s="123">
        <f t="shared" si="74"/>
        <v>1</v>
      </c>
      <c r="D432" s="133"/>
      <c r="E432" s="123">
        <f t="shared" si="75"/>
        <v>1</v>
      </c>
      <c r="F432" s="133"/>
      <c r="G432" s="123">
        <f t="shared" si="76"/>
        <v>1</v>
      </c>
      <c r="H432" s="133"/>
      <c r="I432" s="123">
        <f t="shared" si="77"/>
        <v>1</v>
      </c>
      <c r="J432" s="133"/>
      <c r="K432" s="123">
        <f t="shared" si="78"/>
        <v>1</v>
      </c>
      <c r="L432" s="133"/>
      <c r="M432" s="123">
        <f t="shared" si="79"/>
        <v>1</v>
      </c>
      <c r="N432" s="133"/>
      <c r="O432" s="123">
        <f t="shared" si="80"/>
        <v>1</v>
      </c>
      <c r="P432" s="133"/>
      <c r="Q432" s="123">
        <f t="shared" si="81"/>
        <v>1</v>
      </c>
      <c r="R432" s="187">
        <f t="shared" si="82"/>
        <v>0</v>
      </c>
      <c r="S432" s="122">
        <f t="shared" si="83"/>
        <v>0</v>
      </c>
    </row>
    <row r="433" spans="1:19">
      <c r="A433" s="131"/>
      <c r="B433" s="132"/>
      <c r="C433" s="123">
        <f t="shared" si="74"/>
        <v>1</v>
      </c>
      <c r="D433" s="133"/>
      <c r="E433" s="123">
        <f t="shared" si="75"/>
        <v>1</v>
      </c>
      <c r="F433" s="133"/>
      <c r="G433" s="123">
        <f t="shared" si="76"/>
        <v>1</v>
      </c>
      <c r="H433" s="133"/>
      <c r="I433" s="123">
        <f t="shared" si="77"/>
        <v>1</v>
      </c>
      <c r="J433" s="133"/>
      <c r="K433" s="123">
        <f t="shared" si="78"/>
        <v>1</v>
      </c>
      <c r="L433" s="133"/>
      <c r="M433" s="123">
        <f t="shared" si="79"/>
        <v>1</v>
      </c>
      <c r="N433" s="133"/>
      <c r="O433" s="123">
        <f t="shared" si="80"/>
        <v>1</v>
      </c>
      <c r="P433" s="133"/>
      <c r="Q433" s="123">
        <f t="shared" si="81"/>
        <v>1</v>
      </c>
      <c r="R433" s="187">
        <f t="shared" si="82"/>
        <v>0</v>
      </c>
      <c r="S433" s="122">
        <f t="shared" si="83"/>
        <v>0</v>
      </c>
    </row>
    <row r="434" spans="1:19">
      <c r="A434" s="131"/>
      <c r="B434" s="132"/>
      <c r="C434" s="123">
        <f t="shared" si="74"/>
        <v>1</v>
      </c>
      <c r="D434" s="133"/>
      <c r="E434" s="123">
        <f t="shared" si="75"/>
        <v>1</v>
      </c>
      <c r="F434" s="133"/>
      <c r="G434" s="123">
        <f t="shared" si="76"/>
        <v>1</v>
      </c>
      <c r="H434" s="133"/>
      <c r="I434" s="123">
        <f t="shared" si="77"/>
        <v>1</v>
      </c>
      <c r="J434" s="133"/>
      <c r="K434" s="123">
        <f t="shared" si="78"/>
        <v>1</v>
      </c>
      <c r="L434" s="133"/>
      <c r="M434" s="123">
        <f t="shared" si="79"/>
        <v>1</v>
      </c>
      <c r="N434" s="133"/>
      <c r="O434" s="123">
        <f t="shared" si="80"/>
        <v>1</v>
      </c>
      <c r="P434" s="133"/>
      <c r="Q434" s="123">
        <f t="shared" si="81"/>
        <v>1</v>
      </c>
      <c r="R434" s="187">
        <f t="shared" si="82"/>
        <v>0</v>
      </c>
      <c r="S434" s="122">
        <f t="shared" si="83"/>
        <v>0</v>
      </c>
    </row>
    <row r="435" spans="1:19">
      <c r="A435" s="131"/>
      <c r="B435" s="132"/>
      <c r="C435" s="123">
        <f t="shared" si="74"/>
        <v>1</v>
      </c>
      <c r="D435" s="133"/>
      <c r="E435" s="123">
        <f t="shared" si="75"/>
        <v>1</v>
      </c>
      <c r="F435" s="133"/>
      <c r="G435" s="123">
        <f t="shared" si="76"/>
        <v>1</v>
      </c>
      <c r="H435" s="133"/>
      <c r="I435" s="123">
        <f t="shared" si="77"/>
        <v>1</v>
      </c>
      <c r="J435" s="133"/>
      <c r="K435" s="123">
        <f t="shared" si="78"/>
        <v>1</v>
      </c>
      <c r="L435" s="133"/>
      <c r="M435" s="123">
        <f t="shared" si="79"/>
        <v>1</v>
      </c>
      <c r="N435" s="133"/>
      <c r="O435" s="123">
        <f t="shared" si="80"/>
        <v>1</v>
      </c>
      <c r="P435" s="133"/>
      <c r="Q435" s="123">
        <f t="shared" si="81"/>
        <v>1</v>
      </c>
      <c r="R435" s="187">
        <f t="shared" si="82"/>
        <v>0</v>
      </c>
      <c r="S435" s="122">
        <f t="shared" si="83"/>
        <v>0</v>
      </c>
    </row>
    <row r="436" spans="1:19">
      <c r="A436" s="131"/>
      <c r="B436" s="132"/>
      <c r="C436" s="123">
        <f t="shared" si="74"/>
        <v>1</v>
      </c>
      <c r="D436" s="133"/>
      <c r="E436" s="123">
        <f t="shared" si="75"/>
        <v>1</v>
      </c>
      <c r="F436" s="133"/>
      <c r="G436" s="123">
        <f t="shared" si="76"/>
        <v>1</v>
      </c>
      <c r="H436" s="133"/>
      <c r="I436" s="123">
        <f t="shared" si="77"/>
        <v>1</v>
      </c>
      <c r="J436" s="133"/>
      <c r="K436" s="123">
        <f t="shared" si="78"/>
        <v>1</v>
      </c>
      <c r="L436" s="133"/>
      <c r="M436" s="123">
        <f t="shared" si="79"/>
        <v>1</v>
      </c>
      <c r="N436" s="133"/>
      <c r="O436" s="123">
        <f t="shared" si="80"/>
        <v>1</v>
      </c>
      <c r="P436" s="133"/>
      <c r="Q436" s="123">
        <f t="shared" si="81"/>
        <v>1</v>
      </c>
      <c r="R436" s="187">
        <f t="shared" si="82"/>
        <v>0</v>
      </c>
      <c r="S436" s="122">
        <f t="shared" si="83"/>
        <v>0</v>
      </c>
    </row>
    <row r="437" spans="1:19">
      <c r="A437" s="131"/>
      <c r="B437" s="132"/>
      <c r="C437" s="123">
        <f t="shared" si="74"/>
        <v>1</v>
      </c>
      <c r="D437" s="133"/>
      <c r="E437" s="123">
        <f t="shared" si="75"/>
        <v>1</v>
      </c>
      <c r="F437" s="133"/>
      <c r="G437" s="123">
        <f t="shared" si="76"/>
        <v>1</v>
      </c>
      <c r="H437" s="133"/>
      <c r="I437" s="123">
        <f t="shared" si="77"/>
        <v>1</v>
      </c>
      <c r="J437" s="133"/>
      <c r="K437" s="123">
        <f t="shared" si="78"/>
        <v>1</v>
      </c>
      <c r="L437" s="133"/>
      <c r="M437" s="123">
        <f t="shared" si="79"/>
        <v>1</v>
      </c>
      <c r="N437" s="133"/>
      <c r="O437" s="123">
        <f t="shared" si="80"/>
        <v>1</v>
      </c>
      <c r="P437" s="133"/>
      <c r="Q437" s="123">
        <f t="shared" si="81"/>
        <v>1</v>
      </c>
      <c r="R437" s="187">
        <f t="shared" si="82"/>
        <v>0</v>
      </c>
      <c r="S437" s="122">
        <f t="shared" si="83"/>
        <v>0</v>
      </c>
    </row>
    <row r="438" spans="1:19">
      <c r="A438" s="131"/>
      <c r="B438" s="132"/>
      <c r="C438" s="123">
        <f t="shared" si="74"/>
        <v>1</v>
      </c>
      <c r="D438" s="133"/>
      <c r="E438" s="123">
        <f t="shared" si="75"/>
        <v>1</v>
      </c>
      <c r="F438" s="133"/>
      <c r="G438" s="123">
        <f t="shared" si="76"/>
        <v>1</v>
      </c>
      <c r="H438" s="133"/>
      <c r="I438" s="123">
        <f t="shared" si="77"/>
        <v>1</v>
      </c>
      <c r="J438" s="133"/>
      <c r="K438" s="123">
        <f t="shared" si="78"/>
        <v>1</v>
      </c>
      <c r="L438" s="133"/>
      <c r="M438" s="123">
        <f t="shared" si="79"/>
        <v>1</v>
      </c>
      <c r="N438" s="133"/>
      <c r="O438" s="123">
        <f t="shared" si="80"/>
        <v>1</v>
      </c>
      <c r="P438" s="133"/>
      <c r="Q438" s="123">
        <f t="shared" si="81"/>
        <v>1</v>
      </c>
      <c r="R438" s="187">
        <f t="shared" si="82"/>
        <v>0</v>
      </c>
      <c r="S438" s="122">
        <f t="shared" si="83"/>
        <v>0</v>
      </c>
    </row>
    <row r="439" spans="1:19">
      <c r="A439" s="131"/>
      <c r="B439" s="132"/>
      <c r="C439" s="123">
        <f t="shared" si="74"/>
        <v>1</v>
      </c>
      <c r="D439" s="133"/>
      <c r="E439" s="123">
        <f t="shared" si="75"/>
        <v>1</v>
      </c>
      <c r="F439" s="133"/>
      <c r="G439" s="123">
        <f t="shared" si="76"/>
        <v>1</v>
      </c>
      <c r="H439" s="133"/>
      <c r="I439" s="123">
        <f t="shared" si="77"/>
        <v>1</v>
      </c>
      <c r="J439" s="133"/>
      <c r="K439" s="123">
        <f t="shared" si="78"/>
        <v>1</v>
      </c>
      <c r="L439" s="133"/>
      <c r="M439" s="123">
        <f t="shared" si="79"/>
        <v>1</v>
      </c>
      <c r="N439" s="133"/>
      <c r="O439" s="123">
        <f t="shared" si="80"/>
        <v>1</v>
      </c>
      <c r="P439" s="133"/>
      <c r="Q439" s="123">
        <f t="shared" si="81"/>
        <v>1</v>
      </c>
      <c r="R439" s="187">
        <f t="shared" si="82"/>
        <v>0</v>
      </c>
      <c r="S439" s="122">
        <f t="shared" si="83"/>
        <v>0</v>
      </c>
    </row>
    <row r="440" spans="1:19">
      <c r="A440" s="131"/>
      <c r="B440" s="132"/>
      <c r="C440" s="123">
        <f t="shared" si="74"/>
        <v>1</v>
      </c>
      <c r="D440" s="133"/>
      <c r="E440" s="123">
        <f t="shared" si="75"/>
        <v>1</v>
      </c>
      <c r="F440" s="133"/>
      <c r="G440" s="123">
        <f t="shared" si="76"/>
        <v>1</v>
      </c>
      <c r="H440" s="133"/>
      <c r="I440" s="123">
        <f t="shared" si="77"/>
        <v>1</v>
      </c>
      <c r="J440" s="133"/>
      <c r="K440" s="123">
        <f t="shared" si="78"/>
        <v>1</v>
      </c>
      <c r="L440" s="133"/>
      <c r="M440" s="123">
        <f t="shared" si="79"/>
        <v>1</v>
      </c>
      <c r="N440" s="133"/>
      <c r="O440" s="123">
        <f t="shared" si="80"/>
        <v>1</v>
      </c>
      <c r="P440" s="133"/>
      <c r="Q440" s="123">
        <f t="shared" si="81"/>
        <v>1</v>
      </c>
      <c r="R440" s="187">
        <f t="shared" si="82"/>
        <v>0</v>
      </c>
      <c r="S440" s="122">
        <f t="shared" si="83"/>
        <v>0</v>
      </c>
    </row>
    <row r="441" spans="1:19">
      <c r="A441" s="131"/>
      <c r="B441" s="132"/>
      <c r="C441" s="123">
        <f t="shared" si="74"/>
        <v>1</v>
      </c>
      <c r="D441" s="133"/>
      <c r="E441" s="123">
        <f t="shared" si="75"/>
        <v>1</v>
      </c>
      <c r="F441" s="133"/>
      <c r="G441" s="123">
        <f t="shared" si="76"/>
        <v>1</v>
      </c>
      <c r="H441" s="133"/>
      <c r="I441" s="123">
        <f t="shared" si="77"/>
        <v>1</v>
      </c>
      <c r="J441" s="133"/>
      <c r="K441" s="123">
        <f t="shared" si="78"/>
        <v>1</v>
      </c>
      <c r="L441" s="133"/>
      <c r="M441" s="123">
        <f t="shared" si="79"/>
        <v>1</v>
      </c>
      <c r="N441" s="133"/>
      <c r="O441" s="123">
        <f t="shared" si="80"/>
        <v>1</v>
      </c>
      <c r="P441" s="133"/>
      <c r="Q441" s="123">
        <f t="shared" si="81"/>
        <v>1</v>
      </c>
      <c r="R441" s="187">
        <f t="shared" si="82"/>
        <v>0</v>
      </c>
      <c r="S441" s="122">
        <f t="shared" si="83"/>
        <v>0</v>
      </c>
    </row>
    <row r="442" spans="1:19">
      <c r="A442" s="131"/>
      <c r="B442" s="132"/>
      <c r="C442" s="123">
        <f t="shared" si="74"/>
        <v>1</v>
      </c>
      <c r="D442" s="133"/>
      <c r="E442" s="123">
        <f t="shared" si="75"/>
        <v>1</v>
      </c>
      <c r="F442" s="133"/>
      <c r="G442" s="123">
        <f t="shared" si="76"/>
        <v>1</v>
      </c>
      <c r="H442" s="133"/>
      <c r="I442" s="123">
        <f t="shared" si="77"/>
        <v>1</v>
      </c>
      <c r="J442" s="133"/>
      <c r="K442" s="123">
        <f t="shared" si="78"/>
        <v>1</v>
      </c>
      <c r="L442" s="133"/>
      <c r="M442" s="123">
        <f t="shared" si="79"/>
        <v>1</v>
      </c>
      <c r="N442" s="133"/>
      <c r="O442" s="123">
        <f t="shared" si="80"/>
        <v>1</v>
      </c>
      <c r="P442" s="133"/>
      <c r="Q442" s="123">
        <f t="shared" si="81"/>
        <v>1</v>
      </c>
      <c r="R442" s="187">
        <f t="shared" si="82"/>
        <v>0</v>
      </c>
      <c r="S442" s="122">
        <f t="shared" si="83"/>
        <v>0</v>
      </c>
    </row>
    <row r="443" spans="1:19">
      <c r="A443" s="131"/>
      <c r="B443" s="132"/>
      <c r="C443" s="123">
        <f t="shared" si="74"/>
        <v>1</v>
      </c>
      <c r="D443" s="133"/>
      <c r="E443" s="123">
        <f t="shared" si="75"/>
        <v>1</v>
      </c>
      <c r="F443" s="133"/>
      <c r="G443" s="123">
        <f t="shared" si="76"/>
        <v>1</v>
      </c>
      <c r="H443" s="133"/>
      <c r="I443" s="123">
        <f t="shared" si="77"/>
        <v>1</v>
      </c>
      <c r="J443" s="133"/>
      <c r="K443" s="123">
        <f t="shared" si="78"/>
        <v>1</v>
      </c>
      <c r="L443" s="133"/>
      <c r="M443" s="123">
        <f t="shared" si="79"/>
        <v>1</v>
      </c>
      <c r="N443" s="133"/>
      <c r="O443" s="123">
        <f t="shared" si="80"/>
        <v>1</v>
      </c>
      <c r="P443" s="133"/>
      <c r="Q443" s="123">
        <f t="shared" si="81"/>
        <v>1</v>
      </c>
      <c r="R443" s="187">
        <f t="shared" si="82"/>
        <v>0</v>
      </c>
      <c r="S443" s="122">
        <f t="shared" si="83"/>
        <v>0</v>
      </c>
    </row>
    <row r="444" spans="1:19">
      <c r="A444" s="131"/>
      <c r="B444" s="132"/>
      <c r="C444" s="123">
        <f t="shared" si="74"/>
        <v>1</v>
      </c>
      <c r="D444" s="133"/>
      <c r="E444" s="123">
        <f t="shared" si="75"/>
        <v>1</v>
      </c>
      <c r="F444" s="133"/>
      <c r="G444" s="123">
        <f t="shared" si="76"/>
        <v>1</v>
      </c>
      <c r="H444" s="133"/>
      <c r="I444" s="123">
        <f t="shared" si="77"/>
        <v>1</v>
      </c>
      <c r="J444" s="133"/>
      <c r="K444" s="123">
        <f t="shared" si="78"/>
        <v>1</v>
      </c>
      <c r="L444" s="133"/>
      <c r="M444" s="123">
        <f t="shared" si="79"/>
        <v>1</v>
      </c>
      <c r="N444" s="133"/>
      <c r="O444" s="123">
        <f t="shared" si="80"/>
        <v>1</v>
      </c>
      <c r="P444" s="133"/>
      <c r="Q444" s="123">
        <f t="shared" si="81"/>
        <v>1</v>
      </c>
      <c r="R444" s="187">
        <f t="shared" si="82"/>
        <v>0</v>
      </c>
      <c r="S444" s="122">
        <f t="shared" si="83"/>
        <v>0</v>
      </c>
    </row>
    <row r="445" spans="1:19">
      <c r="A445" s="131"/>
      <c r="B445" s="132"/>
      <c r="C445" s="123">
        <f t="shared" si="74"/>
        <v>1</v>
      </c>
      <c r="D445" s="133"/>
      <c r="E445" s="123">
        <f t="shared" si="75"/>
        <v>1</v>
      </c>
      <c r="F445" s="133"/>
      <c r="G445" s="123">
        <f t="shared" si="76"/>
        <v>1</v>
      </c>
      <c r="H445" s="133"/>
      <c r="I445" s="123">
        <f t="shared" si="77"/>
        <v>1</v>
      </c>
      <c r="J445" s="133"/>
      <c r="K445" s="123">
        <f t="shared" si="78"/>
        <v>1</v>
      </c>
      <c r="L445" s="133"/>
      <c r="M445" s="123">
        <f t="shared" si="79"/>
        <v>1</v>
      </c>
      <c r="N445" s="133"/>
      <c r="O445" s="123">
        <f t="shared" si="80"/>
        <v>1</v>
      </c>
      <c r="P445" s="133"/>
      <c r="Q445" s="123">
        <f t="shared" si="81"/>
        <v>1</v>
      </c>
      <c r="R445" s="187">
        <f t="shared" si="82"/>
        <v>0</v>
      </c>
      <c r="S445" s="122">
        <f t="shared" si="83"/>
        <v>0</v>
      </c>
    </row>
    <row r="446" spans="1:19">
      <c r="A446" s="131"/>
      <c r="B446" s="132"/>
      <c r="C446" s="123">
        <f t="shared" si="74"/>
        <v>1</v>
      </c>
      <c r="D446" s="133"/>
      <c r="E446" s="123">
        <f t="shared" si="75"/>
        <v>1</v>
      </c>
      <c r="F446" s="133"/>
      <c r="G446" s="123">
        <f t="shared" si="76"/>
        <v>1</v>
      </c>
      <c r="H446" s="133"/>
      <c r="I446" s="123">
        <f t="shared" si="77"/>
        <v>1</v>
      </c>
      <c r="J446" s="133"/>
      <c r="K446" s="123">
        <f t="shared" si="78"/>
        <v>1</v>
      </c>
      <c r="L446" s="133"/>
      <c r="M446" s="123">
        <f t="shared" si="79"/>
        <v>1</v>
      </c>
      <c r="N446" s="133"/>
      <c r="O446" s="123">
        <f t="shared" si="80"/>
        <v>1</v>
      </c>
      <c r="P446" s="133"/>
      <c r="Q446" s="123">
        <f t="shared" si="81"/>
        <v>1</v>
      </c>
      <c r="R446" s="187">
        <f t="shared" si="82"/>
        <v>0</v>
      </c>
      <c r="S446" s="122">
        <f t="shared" si="83"/>
        <v>0</v>
      </c>
    </row>
    <row r="447" spans="1:19">
      <c r="A447" s="131"/>
      <c r="B447" s="132"/>
      <c r="C447" s="123">
        <f t="shared" si="74"/>
        <v>1</v>
      </c>
      <c r="D447" s="133"/>
      <c r="E447" s="123">
        <f t="shared" si="75"/>
        <v>1</v>
      </c>
      <c r="F447" s="133"/>
      <c r="G447" s="123">
        <f t="shared" si="76"/>
        <v>1</v>
      </c>
      <c r="H447" s="133"/>
      <c r="I447" s="123">
        <f t="shared" si="77"/>
        <v>1</v>
      </c>
      <c r="J447" s="133"/>
      <c r="K447" s="123">
        <f t="shared" si="78"/>
        <v>1</v>
      </c>
      <c r="L447" s="133"/>
      <c r="M447" s="123">
        <f t="shared" si="79"/>
        <v>1</v>
      </c>
      <c r="N447" s="133"/>
      <c r="O447" s="123">
        <f t="shared" si="80"/>
        <v>1</v>
      </c>
      <c r="P447" s="133"/>
      <c r="Q447" s="123">
        <f t="shared" si="81"/>
        <v>1</v>
      </c>
      <c r="R447" s="187">
        <f t="shared" si="82"/>
        <v>0</v>
      </c>
      <c r="S447" s="122">
        <f t="shared" si="83"/>
        <v>0</v>
      </c>
    </row>
    <row r="448" spans="1:19">
      <c r="A448" s="131"/>
      <c r="B448" s="132"/>
      <c r="C448" s="123">
        <f t="shared" si="74"/>
        <v>1</v>
      </c>
      <c r="D448" s="133"/>
      <c r="E448" s="123">
        <f t="shared" si="75"/>
        <v>1</v>
      </c>
      <c r="F448" s="133"/>
      <c r="G448" s="123">
        <f t="shared" si="76"/>
        <v>1</v>
      </c>
      <c r="H448" s="133"/>
      <c r="I448" s="123">
        <f t="shared" si="77"/>
        <v>1</v>
      </c>
      <c r="J448" s="133"/>
      <c r="K448" s="123">
        <f t="shared" si="78"/>
        <v>1</v>
      </c>
      <c r="L448" s="133"/>
      <c r="M448" s="123">
        <f t="shared" si="79"/>
        <v>1</v>
      </c>
      <c r="N448" s="133"/>
      <c r="O448" s="123">
        <f t="shared" si="80"/>
        <v>1</v>
      </c>
      <c r="P448" s="133"/>
      <c r="Q448" s="123">
        <f t="shared" si="81"/>
        <v>1</v>
      </c>
      <c r="R448" s="187">
        <f t="shared" si="82"/>
        <v>0</v>
      </c>
      <c r="S448" s="122">
        <f t="shared" si="83"/>
        <v>0</v>
      </c>
    </row>
    <row r="449" spans="1:19">
      <c r="A449" s="131"/>
      <c r="B449" s="132"/>
      <c r="C449" s="123">
        <f t="shared" si="74"/>
        <v>1</v>
      </c>
      <c r="D449" s="133"/>
      <c r="E449" s="123">
        <f t="shared" si="75"/>
        <v>1</v>
      </c>
      <c r="F449" s="133"/>
      <c r="G449" s="123">
        <f t="shared" si="76"/>
        <v>1</v>
      </c>
      <c r="H449" s="133"/>
      <c r="I449" s="123">
        <f t="shared" si="77"/>
        <v>1</v>
      </c>
      <c r="J449" s="133"/>
      <c r="K449" s="123">
        <f t="shared" si="78"/>
        <v>1</v>
      </c>
      <c r="L449" s="133"/>
      <c r="M449" s="123">
        <f t="shared" si="79"/>
        <v>1</v>
      </c>
      <c r="N449" s="133"/>
      <c r="O449" s="123">
        <f t="shared" si="80"/>
        <v>1</v>
      </c>
      <c r="P449" s="133"/>
      <c r="Q449" s="123">
        <f t="shared" si="81"/>
        <v>1</v>
      </c>
      <c r="R449" s="187">
        <f t="shared" si="82"/>
        <v>0</v>
      </c>
      <c r="S449" s="122">
        <f t="shared" si="83"/>
        <v>0</v>
      </c>
    </row>
    <row r="450" spans="1:19">
      <c r="A450" s="131"/>
      <c r="B450" s="132"/>
      <c r="C450" s="123">
        <f t="shared" si="74"/>
        <v>1</v>
      </c>
      <c r="D450" s="133"/>
      <c r="E450" s="123">
        <f t="shared" si="75"/>
        <v>1</v>
      </c>
      <c r="F450" s="133"/>
      <c r="G450" s="123">
        <f t="shared" si="76"/>
        <v>1</v>
      </c>
      <c r="H450" s="133"/>
      <c r="I450" s="123">
        <f t="shared" si="77"/>
        <v>1</v>
      </c>
      <c r="J450" s="133"/>
      <c r="K450" s="123">
        <f t="shared" si="78"/>
        <v>1</v>
      </c>
      <c r="L450" s="133"/>
      <c r="M450" s="123">
        <f t="shared" si="79"/>
        <v>1</v>
      </c>
      <c r="N450" s="133"/>
      <c r="O450" s="123">
        <f t="shared" si="80"/>
        <v>1</v>
      </c>
      <c r="P450" s="133"/>
      <c r="Q450" s="123">
        <f t="shared" si="81"/>
        <v>1</v>
      </c>
      <c r="R450" s="187">
        <f t="shared" si="82"/>
        <v>0</v>
      </c>
      <c r="S450" s="122">
        <f t="shared" si="83"/>
        <v>0</v>
      </c>
    </row>
    <row r="451" spans="1:19">
      <c r="A451" s="131"/>
      <c r="B451" s="132"/>
      <c r="C451" s="123">
        <f t="shared" si="74"/>
        <v>1</v>
      </c>
      <c r="D451" s="133"/>
      <c r="E451" s="123">
        <f t="shared" si="75"/>
        <v>1</v>
      </c>
      <c r="F451" s="133"/>
      <c r="G451" s="123">
        <f t="shared" si="76"/>
        <v>1</v>
      </c>
      <c r="H451" s="133"/>
      <c r="I451" s="123">
        <f t="shared" si="77"/>
        <v>1</v>
      </c>
      <c r="J451" s="133"/>
      <c r="K451" s="123">
        <f t="shared" si="78"/>
        <v>1</v>
      </c>
      <c r="L451" s="133"/>
      <c r="M451" s="123">
        <f t="shared" si="79"/>
        <v>1</v>
      </c>
      <c r="N451" s="133"/>
      <c r="O451" s="123">
        <f t="shared" si="80"/>
        <v>1</v>
      </c>
      <c r="P451" s="133"/>
      <c r="Q451" s="123">
        <f t="shared" si="81"/>
        <v>1</v>
      </c>
      <c r="R451" s="187">
        <f t="shared" si="82"/>
        <v>0</v>
      </c>
      <c r="S451" s="122">
        <f t="shared" si="83"/>
        <v>0</v>
      </c>
    </row>
    <row r="452" spans="1:19">
      <c r="A452" s="131"/>
      <c r="B452" s="132"/>
      <c r="C452" s="123">
        <f t="shared" si="74"/>
        <v>1</v>
      </c>
      <c r="D452" s="133"/>
      <c r="E452" s="123">
        <f t="shared" si="75"/>
        <v>1</v>
      </c>
      <c r="F452" s="133"/>
      <c r="G452" s="123">
        <f t="shared" si="76"/>
        <v>1</v>
      </c>
      <c r="H452" s="133"/>
      <c r="I452" s="123">
        <f t="shared" si="77"/>
        <v>1</v>
      </c>
      <c r="J452" s="133"/>
      <c r="K452" s="123">
        <f t="shared" si="78"/>
        <v>1</v>
      </c>
      <c r="L452" s="133"/>
      <c r="M452" s="123">
        <f t="shared" si="79"/>
        <v>1</v>
      </c>
      <c r="N452" s="133"/>
      <c r="O452" s="123">
        <f t="shared" si="80"/>
        <v>1</v>
      </c>
      <c r="P452" s="133"/>
      <c r="Q452" s="123">
        <f t="shared" si="81"/>
        <v>1</v>
      </c>
      <c r="R452" s="187">
        <f t="shared" si="82"/>
        <v>0</v>
      </c>
      <c r="S452" s="122">
        <f t="shared" si="83"/>
        <v>0</v>
      </c>
    </row>
    <row r="453" spans="1:19">
      <c r="A453" s="131"/>
      <c r="B453" s="132"/>
      <c r="C453" s="123">
        <f t="shared" si="74"/>
        <v>1</v>
      </c>
      <c r="D453" s="133"/>
      <c r="E453" s="123">
        <f t="shared" si="75"/>
        <v>1</v>
      </c>
      <c r="F453" s="133"/>
      <c r="G453" s="123">
        <f t="shared" si="76"/>
        <v>1</v>
      </c>
      <c r="H453" s="133"/>
      <c r="I453" s="123">
        <f t="shared" si="77"/>
        <v>1</v>
      </c>
      <c r="J453" s="133"/>
      <c r="K453" s="123">
        <f t="shared" si="78"/>
        <v>1</v>
      </c>
      <c r="L453" s="133"/>
      <c r="M453" s="123">
        <f t="shared" si="79"/>
        <v>1</v>
      </c>
      <c r="N453" s="133"/>
      <c r="O453" s="123">
        <f t="shared" si="80"/>
        <v>1</v>
      </c>
      <c r="P453" s="133"/>
      <c r="Q453" s="123">
        <f t="shared" si="81"/>
        <v>1</v>
      </c>
      <c r="R453" s="187">
        <f t="shared" si="82"/>
        <v>0</v>
      </c>
      <c r="S453" s="122">
        <f t="shared" si="83"/>
        <v>0</v>
      </c>
    </row>
    <row r="454" spans="1:19">
      <c r="A454" s="131"/>
      <c r="B454" s="132"/>
      <c r="C454" s="123">
        <f t="shared" si="74"/>
        <v>1</v>
      </c>
      <c r="D454" s="133"/>
      <c r="E454" s="123">
        <f t="shared" si="75"/>
        <v>1</v>
      </c>
      <c r="F454" s="133"/>
      <c r="G454" s="123">
        <f t="shared" si="76"/>
        <v>1</v>
      </c>
      <c r="H454" s="133"/>
      <c r="I454" s="123">
        <f t="shared" si="77"/>
        <v>1</v>
      </c>
      <c r="J454" s="133"/>
      <c r="K454" s="123">
        <f t="shared" si="78"/>
        <v>1</v>
      </c>
      <c r="L454" s="133"/>
      <c r="M454" s="123">
        <f t="shared" si="79"/>
        <v>1</v>
      </c>
      <c r="N454" s="133"/>
      <c r="O454" s="123">
        <f t="shared" si="80"/>
        <v>1</v>
      </c>
      <c r="P454" s="133"/>
      <c r="Q454" s="123">
        <f t="shared" si="81"/>
        <v>1</v>
      </c>
      <c r="R454" s="187">
        <f t="shared" si="82"/>
        <v>0</v>
      </c>
      <c r="S454" s="122">
        <f t="shared" si="83"/>
        <v>0</v>
      </c>
    </row>
    <row r="455" spans="1:19">
      <c r="A455" s="131"/>
      <c r="B455" s="132"/>
      <c r="C455" s="123">
        <f t="shared" si="74"/>
        <v>1</v>
      </c>
      <c r="D455" s="133"/>
      <c r="E455" s="123">
        <f t="shared" si="75"/>
        <v>1</v>
      </c>
      <c r="F455" s="133"/>
      <c r="G455" s="123">
        <f t="shared" si="76"/>
        <v>1</v>
      </c>
      <c r="H455" s="133"/>
      <c r="I455" s="123">
        <f t="shared" si="77"/>
        <v>1</v>
      </c>
      <c r="J455" s="133"/>
      <c r="K455" s="123">
        <f t="shared" si="78"/>
        <v>1</v>
      </c>
      <c r="L455" s="133"/>
      <c r="M455" s="123">
        <f t="shared" si="79"/>
        <v>1</v>
      </c>
      <c r="N455" s="133"/>
      <c r="O455" s="123">
        <f t="shared" si="80"/>
        <v>1</v>
      </c>
      <c r="P455" s="133"/>
      <c r="Q455" s="123">
        <f t="shared" si="81"/>
        <v>1</v>
      </c>
      <c r="R455" s="187">
        <f t="shared" si="82"/>
        <v>0</v>
      </c>
      <c r="S455" s="122">
        <f t="shared" si="83"/>
        <v>0</v>
      </c>
    </row>
    <row r="456" spans="1:19">
      <c r="A456" s="131"/>
      <c r="B456" s="132"/>
      <c r="C456" s="123">
        <f t="shared" si="74"/>
        <v>1</v>
      </c>
      <c r="D456" s="133"/>
      <c r="E456" s="123">
        <f t="shared" si="75"/>
        <v>1</v>
      </c>
      <c r="F456" s="133"/>
      <c r="G456" s="123">
        <f t="shared" si="76"/>
        <v>1</v>
      </c>
      <c r="H456" s="133"/>
      <c r="I456" s="123">
        <f t="shared" si="77"/>
        <v>1</v>
      </c>
      <c r="J456" s="133"/>
      <c r="K456" s="123">
        <f t="shared" si="78"/>
        <v>1</v>
      </c>
      <c r="L456" s="133"/>
      <c r="M456" s="123">
        <f t="shared" si="79"/>
        <v>1</v>
      </c>
      <c r="N456" s="133"/>
      <c r="O456" s="123">
        <f t="shared" si="80"/>
        <v>1</v>
      </c>
      <c r="P456" s="133"/>
      <c r="Q456" s="123">
        <f t="shared" si="81"/>
        <v>1</v>
      </c>
      <c r="R456" s="187">
        <f t="shared" si="82"/>
        <v>0</v>
      </c>
      <c r="S456" s="122">
        <f t="shared" si="83"/>
        <v>0</v>
      </c>
    </row>
    <row r="457" spans="1:19">
      <c r="A457" s="131"/>
      <c r="B457" s="132"/>
      <c r="C457" s="123">
        <f t="shared" si="74"/>
        <v>1</v>
      </c>
      <c r="D457" s="133"/>
      <c r="E457" s="123">
        <f t="shared" si="75"/>
        <v>1</v>
      </c>
      <c r="F457" s="133"/>
      <c r="G457" s="123">
        <f t="shared" si="76"/>
        <v>1</v>
      </c>
      <c r="H457" s="133"/>
      <c r="I457" s="123">
        <f t="shared" si="77"/>
        <v>1</v>
      </c>
      <c r="J457" s="133"/>
      <c r="K457" s="123">
        <f t="shared" si="78"/>
        <v>1</v>
      </c>
      <c r="L457" s="133"/>
      <c r="M457" s="123">
        <f t="shared" si="79"/>
        <v>1</v>
      </c>
      <c r="N457" s="133"/>
      <c r="O457" s="123">
        <f t="shared" si="80"/>
        <v>1</v>
      </c>
      <c r="P457" s="133"/>
      <c r="Q457" s="123">
        <f t="shared" si="81"/>
        <v>1</v>
      </c>
      <c r="R457" s="187">
        <f t="shared" si="82"/>
        <v>0</v>
      </c>
      <c r="S457" s="122">
        <f t="shared" si="83"/>
        <v>0</v>
      </c>
    </row>
    <row r="458" spans="1:19">
      <c r="A458" s="131"/>
      <c r="B458" s="132"/>
      <c r="C458" s="123">
        <f t="shared" si="74"/>
        <v>1</v>
      </c>
      <c r="D458" s="133"/>
      <c r="E458" s="123">
        <f t="shared" si="75"/>
        <v>1</v>
      </c>
      <c r="F458" s="133"/>
      <c r="G458" s="123">
        <f t="shared" si="76"/>
        <v>1</v>
      </c>
      <c r="H458" s="133"/>
      <c r="I458" s="123">
        <f t="shared" si="77"/>
        <v>1</v>
      </c>
      <c r="J458" s="133"/>
      <c r="K458" s="123">
        <f t="shared" si="78"/>
        <v>1</v>
      </c>
      <c r="L458" s="133"/>
      <c r="M458" s="123">
        <f t="shared" si="79"/>
        <v>1</v>
      </c>
      <c r="N458" s="133"/>
      <c r="O458" s="123">
        <f t="shared" si="80"/>
        <v>1</v>
      </c>
      <c r="P458" s="133"/>
      <c r="Q458" s="123">
        <f t="shared" si="81"/>
        <v>1</v>
      </c>
      <c r="R458" s="187">
        <f t="shared" si="82"/>
        <v>0</v>
      </c>
      <c r="S458" s="122">
        <f t="shared" si="83"/>
        <v>0</v>
      </c>
    </row>
    <row r="459" spans="1:19">
      <c r="A459" s="131"/>
      <c r="B459" s="132"/>
      <c r="C459" s="123">
        <f t="shared" si="74"/>
        <v>1</v>
      </c>
      <c r="D459" s="133"/>
      <c r="E459" s="123">
        <f t="shared" si="75"/>
        <v>1</v>
      </c>
      <c r="F459" s="133"/>
      <c r="G459" s="123">
        <f t="shared" si="76"/>
        <v>1</v>
      </c>
      <c r="H459" s="133"/>
      <c r="I459" s="123">
        <f t="shared" si="77"/>
        <v>1</v>
      </c>
      <c r="J459" s="133"/>
      <c r="K459" s="123">
        <f t="shared" si="78"/>
        <v>1</v>
      </c>
      <c r="L459" s="133"/>
      <c r="M459" s="123">
        <f t="shared" si="79"/>
        <v>1</v>
      </c>
      <c r="N459" s="133"/>
      <c r="O459" s="123">
        <f t="shared" si="80"/>
        <v>1</v>
      </c>
      <c r="P459" s="133"/>
      <c r="Q459" s="123">
        <f t="shared" si="81"/>
        <v>1</v>
      </c>
      <c r="R459" s="187">
        <f t="shared" si="82"/>
        <v>0</v>
      </c>
      <c r="S459" s="122">
        <f t="shared" si="83"/>
        <v>0</v>
      </c>
    </row>
    <row r="460" spans="1:19">
      <c r="A460" s="131"/>
      <c r="B460" s="132"/>
      <c r="C460" s="123">
        <f t="shared" si="74"/>
        <v>1</v>
      </c>
      <c r="D460" s="133"/>
      <c r="E460" s="123">
        <f t="shared" si="75"/>
        <v>1</v>
      </c>
      <c r="F460" s="133"/>
      <c r="G460" s="123">
        <f t="shared" si="76"/>
        <v>1</v>
      </c>
      <c r="H460" s="133"/>
      <c r="I460" s="123">
        <f t="shared" si="77"/>
        <v>1</v>
      </c>
      <c r="J460" s="133"/>
      <c r="K460" s="123">
        <f t="shared" si="78"/>
        <v>1</v>
      </c>
      <c r="L460" s="133"/>
      <c r="M460" s="123">
        <f t="shared" si="79"/>
        <v>1</v>
      </c>
      <c r="N460" s="133"/>
      <c r="O460" s="123">
        <f t="shared" si="80"/>
        <v>1</v>
      </c>
      <c r="P460" s="133"/>
      <c r="Q460" s="123">
        <f t="shared" si="81"/>
        <v>1</v>
      </c>
      <c r="R460" s="187">
        <f t="shared" si="82"/>
        <v>0</v>
      </c>
      <c r="S460" s="122">
        <f t="shared" si="83"/>
        <v>0</v>
      </c>
    </row>
    <row r="461" spans="1:19">
      <c r="A461" s="131"/>
      <c r="B461" s="132"/>
      <c r="C461" s="123">
        <f t="shared" si="74"/>
        <v>1</v>
      </c>
      <c r="D461" s="133"/>
      <c r="E461" s="123">
        <f t="shared" si="75"/>
        <v>1</v>
      </c>
      <c r="F461" s="133"/>
      <c r="G461" s="123">
        <f t="shared" si="76"/>
        <v>1</v>
      </c>
      <c r="H461" s="133"/>
      <c r="I461" s="123">
        <f t="shared" si="77"/>
        <v>1</v>
      </c>
      <c r="J461" s="133"/>
      <c r="K461" s="123">
        <f t="shared" si="78"/>
        <v>1</v>
      </c>
      <c r="L461" s="133"/>
      <c r="M461" s="123">
        <f t="shared" si="79"/>
        <v>1</v>
      </c>
      <c r="N461" s="133"/>
      <c r="O461" s="123">
        <f t="shared" si="80"/>
        <v>1</v>
      </c>
      <c r="P461" s="133"/>
      <c r="Q461" s="123">
        <f t="shared" si="81"/>
        <v>1</v>
      </c>
      <c r="R461" s="187">
        <f t="shared" si="82"/>
        <v>0</v>
      </c>
      <c r="S461" s="122">
        <f t="shared" si="83"/>
        <v>0</v>
      </c>
    </row>
    <row r="462" spans="1:19">
      <c r="A462" s="131"/>
      <c r="B462" s="132"/>
      <c r="C462" s="123">
        <f t="shared" si="74"/>
        <v>1</v>
      </c>
      <c r="D462" s="133"/>
      <c r="E462" s="123">
        <f t="shared" si="75"/>
        <v>1</v>
      </c>
      <c r="F462" s="133"/>
      <c r="G462" s="123">
        <f t="shared" si="76"/>
        <v>1</v>
      </c>
      <c r="H462" s="133"/>
      <c r="I462" s="123">
        <f t="shared" si="77"/>
        <v>1</v>
      </c>
      <c r="J462" s="133"/>
      <c r="K462" s="123">
        <f t="shared" si="78"/>
        <v>1</v>
      </c>
      <c r="L462" s="133"/>
      <c r="M462" s="123">
        <f t="shared" si="79"/>
        <v>1</v>
      </c>
      <c r="N462" s="133"/>
      <c r="O462" s="123">
        <f t="shared" si="80"/>
        <v>1</v>
      </c>
      <c r="P462" s="133"/>
      <c r="Q462" s="123">
        <f t="shared" si="81"/>
        <v>1</v>
      </c>
      <c r="R462" s="187">
        <f t="shared" si="82"/>
        <v>0</v>
      </c>
      <c r="S462" s="122">
        <f t="shared" si="83"/>
        <v>0</v>
      </c>
    </row>
    <row r="463" spans="1:19">
      <c r="A463" s="131"/>
      <c r="B463" s="132"/>
      <c r="C463" s="123">
        <f t="shared" si="74"/>
        <v>1</v>
      </c>
      <c r="D463" s="133"/>
      <c r="E463" s="123">
        <f t="shared" si="75"/>
        <v>1</v>
      </c>
      <c r="F463" s="133"/>
      <c r="G463" s="123">
        <f t="shared" si="76"/>
        <v>1</v>
      </c>
      <c r="H463" s="133"/>
      <c r="I463" s="123">
        <f t="shared" si="77"/>
        <v>1</v>
      </c>
      <c r="J463" s="133"/>
      <c r="K463" s="123">
        <f t="shared" si="78"/>
        <v>1</v>
      </c>
      <c r="L463" s="133"/>
      <c r="M463" s="123">
        <f t="shared" si="79"/>
        <v>1</v>
      </c>
      <c r="N463" s="133"/>
      <c r="O463" s="123">
        <f t="shared" si="80"/>
        <v>1</v>
      </c>
      <c r="P463" s="133"/>
      <c r="Q463" s="123">
        <f t="shared" si="81"/>
        <v>1</v>
      </c>
      <c r="R463" s="187">
        <f t="shared" si="82"/>
        <v>0</v>
      </c>
      <c r="S463" s="122">
        <f t="shared" si="83"/>
        <v>0</v>
      </c>
    </row>
    <row r="464" spans="1:19">
      <c r="A464" s="131"/>
      <c r="B464" s="132"/>
      <c r="C464" s="123">
        <f t="shared" si="74"/>
        <v>1</v>
      </c>
      <c r="D464" s="133"/>
      <c r="E464" s="123">
        <f t="shared" si="75"/>
        <v>1</v>
      </c>
      <c r="F464" s="133"/>
      <c r="G464" s="123">
        <f t="shared" si="76"/>
        <v>1</v>
      </c>
      <c r="H464" s="133"/>
      <c r="I464" s="123">
        <f t="shared" si="77"/>
        <v>1</v>
      </c>
      <c r="J464" s="133"/>
      <c r="K464" s="123">
        <f t="shared" si="78"/>
        <v>1</v>
      </c>
      <c r="L464" s="133"/>
      <c r="M464" s="123">
        <f t="shared" si="79"/>
        <v>1</v>
      </c>
      <c r="N464" s="133"/>
      <c r="O464" s="123">
        <f t="shared" si="80"/>
        <v>1</v>
      </c>
      <c r="P464" s="133"/>
      <c r="Q464" s="123">
        <f t="shared" si="81"/>
        <v>1</v>
      </c>
      <c r="R464" s="187">
        <f t="shared" si="82"/>
        <v>0</v>
      </c>
      <c r="S464" s="122">
        <f t="shared" si="83"/>
        <v>0</v>
      </c>
    </row>
    <row r="465" spans="1:19">
      <c r="A465" s="131"/>
      <c r="B465" s="132"/>
      <c r="C465" s="123">
        <f t="shared" si="74"/>
        <v>1</v>
      </c>
      <c r="D465" s="133"/>
      <c r="E465" s="123">
        <f t="shared" si="75"/>
        <v>1</v>
      </c>
      <c r="F465" s="133"/>
      <c r="G465" s="123">
        <f t="shared" si="76"/>
        <v>1</v>
      </c>
      <c r="H465" s="133"/>
      <c r="I465" s="123">
        <f t="shared" si="77"/>
        <v>1</v>
      </c>
      <c r="J465" s="133"/>
      <c r="K465" s="123">
        <f t="shared" si="78"/>
        <v>1</v>
      </c>
      <c r="L465" s="133"/>
      <c r="M465" s="123">
        <f t="shared" si="79"/>
        <v>1</v>
      </c>
      <c r="N465" s="133"/>
      <c r="O465" s="123">
        <f t="shared" si="80"/>
        <v>1</v>
      </c>
      <c r="P465" s="133"/>
      <c r="Q465" s="123">
        <f t="shared" si="81"/>
        <v>1</v>
      </c>
      <c r="R465" s="187">
        <f t="shared" si="82"/>
        <v>0</v>
      </c>
      <c r="S465" s="122">
        <f t="shared" si="83"/>
        <v>0</v>
      </c>
    </row>
    <row r="466" spans="1:19">
      <c r="A466" s="131"/>
      <c r="B466" s="132"/>
      <c r="C466" s="123">
        <f t="shared" si="74"/>
        <v>1</v>
      </c>
      <c r="D466" s="133"/>
      <c r="E466" s="123">
        <f t="shared" si="75"/>
        <v>1</v>
      </c>
      <c r="F466" s="133"/>
      <c r="G466" s="123">
        <f t="shared" si="76"/>
        <v>1</v>
      </c>
      <c r="H466" s="133"/>
      <c r="I466" s="123">
        <f t="shared" si="77"/>
        <v>1</v>
      </c>
      <c r="J466" s="133"/>
      <c r="K466" s="123">
        <f t="shared" si="78"/>
        <v>1</v>
      </c>
      <c r="L466" s="133"/>
      <c r="M466" s="123">
        <f t="shared" si="79"/>
        <v>1</v>
      </c>
      <c r="N466" s="133"/>
      <c r="O466" s="123">
        <f t="shared" si="80"/>
        <v>1</v>
      </c>
      <c r="P466" s="133"/>
      <c r="Q466" s="123">
        <f t="shared" si="81"/>
        <v>1</v>
      </c>
      <c r="R466" s="187">
        <f t="shared" si="82"/>
        <v>0</v>
      </c>
      <c r="S466" s="122">
        <f t="shared" si="83"/>
        <v>0</v>
      </c>
    </row>
    <row r="467" spans="1:19">
      <c r="A467" s="131"/>
      <c r="B467" s="132"/>
      <c r="C467" s="123">
        <f t="shared" si="74"/>
        <v>1</v>
      </c>
      <c r="D467" s="133"/>
      <c r="E467" s="123">
        <f t="shared" si="75"/>
        <v>1</v>
      </c>
      <c r="F467" s="133"/>
      <c r="G467" s="123">
        <f t="shared" si="76"/>
        <v>1</v>
      </c>
      <c r="H467" s="133"/>
      <c r="I467" s="123">
        <f t="shared" si="77"/>
        <v>1</v>
      </c>
      <c r="J467" s="133"/>
      <c r="K467" s="123">
        <f t="shared" si="78"/>
        <v>1</v>
      </c>
      <c r="L467" s="133"/>
      <c r="M467" s="123">
        <f t="shared" si="79"/>
        <v>1</v>
      </c>
      <c r="N467" s="133"/>
      <c r="O467" s="123">
        <f t="shared" si="80"/>
        <v>1</v>
      </c>
      <c r="P467" s="133"/>
      <c r="Q467" s="123">
        <f t="shared" si="81"/>
        <v>1</v>
      </c>
      <c r="R467" s="187">
        <f t="shared" si="82"/>
        <v>0</v>
      </c>
      <c r="S467" s="122">
        <f t="shared" si="83"/>
        <v>0</v>
      </c>
    </row>
    <row r="468" spans="1:19">
      <c r="A468" s="131"/>
      <c r="B468" s="132"/>
      <c r="C468" s="123">
        <f t="shared" si="74"/>
        <v>1</v>
      </c>
      <c r="D468" s="133"/>
      <c r="E468" s="123">
        <f t="shared" si="75"/>
        <v>1</v>
      </c>
      <c r="F468" s="133"/>
      <c r="G468" s="123">
        <f t="shared" si="76"/>
        <v>1</v>
      </c>
      <c r="H468" s="133"/>
      <c r="I468" s="123">
        <f t="shared" si="77"/>
        <v>1</v>
      </c>
      <c r="J468" s="133"/>
      <c r="K468" s="123">
        <f t="shared" si="78"/>
        <v>1</v>
      </c>
      <c r="L468" s="133"/>
      <c r="M468" s="123">
        <f t="shared" si="79"/>
        <v>1</v>
      </c>
      <c r="N468" s="133"/>
      <c r="O468" s="123">
        <f t="shared" si="80"/>
        <v>1</v>
      </c>
      <c r="P468" s="133"/>
      <c r="Q468" s="123">
        <f t="shared" si="81"/>
        <v>1</v>
      </c>
      <c r="R468" s="187">
        <f t="shared" si="82"/>
        <v>0</v>
      </c>
      <c r="S468" s="122">
        <f t="shared" ref="S468:S497" si="84">ROUND(R468*B468/10000,0)</f>
        <v>0</v>
      </c>
    </row>
    <row r="469" spans="1:19">
      <c r="A469" s="131"/>
      <c r="B469" s="132"/>
      <c r="C469" s="123">
        <f t="shared" si="74"/>
        <v>1</v>
      </c>
      <c r="D469" s="133"/>
      <c r="E469" s="123">
        <f t="shared" si="75"/>
        <v>1</v>
      </c>
      <c r="F469" s="133"/>
      <c r="G469" s="123">
        <f t="shared" si="76"/>
        <v>1</v>
      </c>
      <c r="H469" s="133"/>
      <c r="I469" s="123">
        <f t="shared" si="77"/>
        <v>1</v>
      </c>
      <c r="J469" s="133"/>
      <c r="K469" s="123">
        <f t="shared" si="78"/>
        <v>1</v>
      </c>
      <c r="L469" s="133"/>
      <c r="M469" s="123">
        <f t="shared" si="79"/>
        <v>1</v>
      </c>
      <c r="N469" s="133"/>
      <c r="O469" s="123">
        <f t="shared" si="80"/>
        <v>1</v>
      </c>
      <c r="P469" s="133"/>
      <c r="Q469" s="123">
        <f t="shared" si="81"/>
        <v>1</v>
      </c>
      <c r="R469" s="187">
        <f t="shared" si="82"/>
        <v>0</v>
      </c>
      <c r="S469" s="122">
        <f t="shared" si="84"/>
        <v>0</v>
      </c>
    </row>
    <row r="470" spans="1:19">
      <c r="A470" s="131"/>
      <c r="B470" s="132"/>
      <c r="C470" s="123">
        <f t="shared" si="74"/>
        <v>1</v>
      </c>
      <c r="D470" s="133"/>
      <c r="E470" s="123">
        <f t="shared" si="75"/>
        <v>1</v>
      </c>
      <c r="F470" s="133"/>
      <c r="G470" s="123">
        <f t="shared" si="76"/>
        <v>1</v>
      </c>
      <c r="H470" s="133"/>
      <c r="I470" s="123">
        <f t="shared" si="77"/>
        <v>1</v>
      </c>
      <c r="J470" s="133"/>
      <c r="K470" s="123">
        <f t="shared" si="78"/>
        <v>1</v>
      </c>
      <c r="L470" s="133"/>
      <c r="M470" s="123">
        <f t="shared" si="79"/>
        <v>1</v>
      </c>
      <c r="N470" s="133"/>
      <c r="O470" s="123">
        <f t="shared" si="80"/>
        <v>1</v>
      </c>
      <c r="P470" s="133"/>
      <c r="Q470" s="123">
        <f t="shared" si="81"/>
        <v>1</v>
      </c>
      <c r="R470" s="187">
        <f t="shared" si="82"/>
        <v>0</v>
      </c>
      <c r="S470" s="122">
        <f t="shared" si="84"/>
        <v>0</v>
      </c>
    </row>
    <row r="471" spans="1:19">
      <c r="A471" s="131"/>
      <c r="B471" s="132"/>
      <c r="C471" s="123">
        <f t="shared" si="74"/>
        <v>1</v>
      </c>
      <c r="D471" s="133"/>
      <c r="E471" s="123">
        <f t="shared" si="75"/>
        <v>1</v>
      </c>
      <c r="F471" s="133"/>
      <c r="G471" s="123">
        <f t="shared" si="76"/>
        <v>1</v>
      </c>
      <c r="H471" s="133"/>
      <c r="I471" s="123">
        <f t="shared" si="77"/>
        <v>1</v>
      </c>
      <c r="J471" s="133"/>
      <c r="K471" s="123">
        <f t="shared" si="78"/>
        <v>1</v>
      </c>
      <c r="L471" s="133"/>
      <c r="M471" s="123">
        <f t="shared" si="79"/>
        <v>1</v>
      </c>
      <c r="N471" s="133"/>
      <c r="O471" s="123">
        <f t="shared" si="80"/>
        <v>1</v>
      </c>
      <c r="P471" s="133"/>
      <c r="Q471" s="123">
        <f t="shared" si="81"/>
        <v>1</v>
      </c>
      <c r="R471" s="187">
        <f t="shared" si="82"/>
        <v>0</v>
      </c>
      <c r="S471" s="122">
        <f t="shared" si="84"/>
        <v>0</v>
      </c>
    </row>
    <row r="472" spans="1:19">
      <c r="A472" s="131"/>
      <c r="B472" s="132"/>
      <c r="C472" s="123">
        <f t="shared" si="74"/>
        <v>1</v>
      </c>
      <c r="D472" s="133"/>
      <c r="E472" s="123">
        <f t="shared" si="75"/>
        <v>1</v>
      </c>
      <c r="F472" s="133"/>
      <c r="G472" s="123">
        <f t="shared" si="76"/>
        <v>1</v>
      </c>
      <c r="H472" s="133"/>
      <c r="I472" s="123">
        <f t="shared" si="77"/>
        <v>1</v>
      </c>
      <c r="J472" s="133"/>
      <c r="K472" s="123">
        <f t="shared" si="78"/>
        <v>1</v>
      </c>
      <c r="L472" s="133"/>
      <c r="M472" s="123">
        <f t="shared" si="79"/>
        <v>1</v>
      </c>
      <c r="N472" s="133"/>
      <c r="O472" s="123">
        <f t="shared" si="80"/>
        <v>1</v>
      </c>
      <c r="P472" s="133"/>
      <c r="Q472" s="123">
        <f t="shared" si="81"/>
        <v>1</v>
      </c>
      <c r="R472" s="187">
        <f t="shared" si="82"/>
        <v>0</v>
      </c>
      <c r="S472" s="122">
        <f t="shared" si="84"/>
        <v>0</v>
      </c>
    </row>
    <row r="473" spans="1:19">
      <c r="A473" s="131"/>
      <c r="B473" s="132"/>
      <c r="C473" s="123">
        <f t="shared" si="74"/>
        <v>1</v>
      </c>
      <c r="D473" s="133"/>
      <c r="E473" s="123">
        <f t="shared" si="75"/>
        <v>1</v>
      </c>
      <c r="F473" s="133"/>
      <c r="G473" s="123">
        <f t="shared" si="76"/>
        <v>1</v>
      </c>
      <c r="H473" s="133"/>
      <c r="I473" s="123">
        <f t="shared" si="77"/>
        <v>1</v>
      </c>
      <c r="J473" s="133"/>
      <c r="K473" s="123">
        <f t="shared" si="78"/>
        <v>1</v>
      </c>
      <c r="L473" s="133"/>
      <c r="M473" s="123">
        <f t="shared" si="79"/>
        <v>1</v>
      </c>
      <c r="N473" s="133"/>
      <c r="O473" s="123">
        <f t="shared" si="80"/>
        <v>1</v>
      </c>
      <c r="P473" s="133"/>
      <c r="Q473" s="123">
        <f t="shared" si="81"/>
        <v>1</v>
      </c>
      <c r="R473" s="187">
        <f t="shared" si="82"/>
        <v>0</v>
      </c>
      <c r="S473" s="122">
        <f t="shared" si="84"/>
        <v>0</v>
      </c>
    </row>
    <row r="474" spans="1:19">
      <c r="A474" s="131"/>
      <c r="B474" s="132"/>
      <c r="C474" s="123">
        <f t="shared" ref="C474:C524" si="85">IF(B474="",1,(LOOKUP(B474,$3:$3,$4:$4)-LOOKUP($B$24,$3:$3,$4:$4)+100)/100)</f>
        <v>1</v>
      </c>
      <c r="D474" s="133"/>
      <c r="E474" s="123">
        <f t="shared" ref="E474:E524" si="86">(SUMIF($5:$5,D474,$6:$6)-SUMIF($5:$5,$D$24,$6:$6)+100)/100</f>
        <v>1</v>
      </c>
      <c r="F474" s="133"/>
      <c r="G474" s="123">
        <f t="shared" ref="G474:G524" si="87">(SUMIF($7:$7,F474,$8:$8)-SUMIF($7:$7,$F$24,$8:$8)+100)/100</f>
        <v>1</v>
      </c>
      <c r="H474" s="133"/>
      <c r="I474" s="123">
        <f t="shared" ref="I474:I524" si="88">(SUMIF($9:$9,H474,$10:$10)-SUMIF($9:$9,$H$24,$10:$10)+100)/100</f>
        <v>1</v>
      </c>
      <c r="J474" s="133"/>
      <c r="K474" s="123">
        <f t="shared" ref="K474:K524" si="89">(SUMIF($11:$11,J474,$12:$12)-SUMIF($11:$11,$J$24,$12:$12)+100)/100</f>
        <v>1</v>
      </c>
      <c r="L474" s="133"/>
      <c r="M474" s="123">
        <f t="shared" ref="M474:M524" si="90">(SUMIF($13:$13,L474,$14:$14)-SUMIF($13:$13,$L$24,$14:$14)+100)/100</f>
        <v>1</v>
      </c>
      <c r="N474" s="133"/>
      <c r="O474" s="123">
        <f t="shared" ref="O474:O524" si="91">(SUMIF($15:$15,N474,$16:$16)-SUMIF($15:$15,$N$24,$16:$16)+100)/100</f>
        <v>1</v>
      </c>
      <c r="P474" s="133"/>
      <c r="Q474" s="123">
        <f t="shared" ref="Q474:Q524" si="92">(SUMIF($17:$17,P474,$18:$18)-SUMIF($17:$17,$P$24,$18:$18)+100)/100</f>
        <v>1</v>
      </c>
      <c r="R474" s="187">
        <f t="shared" ref="R474:R524" si="93">IF(B474="",0,ROUND($R$24*C474*E474*G474*I474*K474*M474*O474*Q474,0))</f>
        <v>0</v>
      </c>
      <c r="S474" s="122">
        <f t="shared" si="84"/>
        <v>0</v>
      </c>
    </row>
    <row r="475" spans="1:19">
      <c r="A475" s="131"/>
      <c r="B475" s="132"/>
      <c r="C475" s="123">
        <f t="shared" si="85"/>
        <v>1</v>
      </c>
      <c r="D475" s="133"/>
      <c r="E475" s="123">
        <f t="shared" si="86"/>
        <v>1</v>
      </c>
      <c r="F475" s="133"/>
      <c r="G475" s="123">
        <f t="shared" si="87"/>
        <v>1</v>
      </c>
      <c r="H475" s="133"/>
      <c r="I475" s="123">
        <f t="shared" si="88"/>
        <v>1</v>
      </c>
      <c r="J475" s="133"/>
      <c r="K475" s="123">
        <f t="shared" si="89"/>
        <v>1</v>
      </c>
      <c r="L475" s="133"/>
      <c r="M475" s="123">
        <f t="shared" si="90"/>
        <v>1</v>
      </c>
      <c r="N475" s="133"/>
      <c r="O475" s="123">
        <f t="shared" si="91"/>
        <v>1</v>
      </c>
      <c r="P475" s="133"/>
      <c r="Q475" s="123">
        <f t="shared" si="92"/>
        <v>1</v>
      </c>
      <c r="R475" s="187">
        <f t="shared" si="93"/>
        <v>0</v>
      </c>
      <c r="S475" s="122">
        <f t="shared" si="84"/>
        <v>0</v>
      </c>
    </row>
    <row r="476" spans="1:19">
      <c r="A476" s="131"/>
      <c r="B476" s="132"/>
      <c r="C476" s="123">
        <f t="shared" si="85"/>
        <v>1</v>
      </c>
      <c r="D476" s="133"/>
      <c r="E476" s="123">
        <f t="shared" si="86"/>
        <v>1</v>
      </c>
      <c r="F476" s="133"/>
      <c r="G476" s="123">
        <f t="shared" si="87"/>
        <v>1</v>
      </c>
      <c r="H476" s="133"/>
      <c r="I476" s="123">
        <f t="shared" si="88"/>
        <v>1</v>
      </c>
      <c r="J476" s="133"/>
      <c r="K476" s="123">
        <f t="shared" si="89"/>
        <v>1</v>
      </c>
      <c r="L476" s="133"/>
      <c r="M476" s="123">
        <f t="shared" si="90"/>
        <v>1</v>
      </c>
      <c r="N476" s="133"/>
      <c r="O476" s="123">
        <f t="shared" si="91"/>
        <v>1</v>
      </c>
      <c r="P476" s="133"/>
      <c r="Q476" s="123">
        <f t="shared" si="92"/>
        <v>1</v>
      </c>
      <c r="R476" s="187">
        <f t="shared" si="93"/>
        <v>0</v>
      </c>
      <c r="S476" s="122">
        <f t="shared" si="84"/>
        <v>0</v>
      </c>
    </row>
    <row r="477" spans="1:19">
      <c r="A477" s="131"/>
      <c r="B477" s="132"/>
      <c r="C477" s="123">
        <f t="shared" si="85"/>
        <v>1</v>
      </c>
      <c r="D477" s="133"/>
      <c r="E477" s="123">
        <f t="shared" si="86"/>
        <v>1</v>
      </c>
      <c r="F477" s="133"/>
      <c r="G477" s="123">
        <f t="shared" si="87"/>
        <v>1</v>
      </c>
      <c r="H477" s="133"/>
      <c r="I477" s="123">
        <f t="shared" si="88"/>
        <v>1</v>
      </c>
      <c r="J477" s="133"/>
      <c r="K477" s="123">
        <f t="shared" si="89"/>
        <v>1</v>
      </c>
      <c r="L477" s="133"/>
      <c r="M477" s="123">
        <f t="shared" si="90"/>
        <v>1</v>
      </c>
      <c r="N477" s="133"/>
      <c r="O477" s="123">
        <f t="shared" si="91"/>
        <v>1</v>
      </c>
      <c r="P477" s="133"/>
      <c r="Q477" s="123">
        <f t="shared" si="92"/>
        <v>1</v>
      </c>
      <c r="R477" s="187">
        <f t="shared" si="93"/>
        <v>0</v>
      </c>
      <c r="S477" s="122">
        <f t="shared" si="84"/>
        <v>0</v>
      </c>
    </row>
    <row r="478" spans="1:19">
      <c r="A478" s="131"/>
      <c r="B478" s="132"/>
      <c r="C478" s="123">
        <f t="shared" si="85"/>
        <v>1</v>
      </c>
      <c r="D478" s="133"/>
      <c r="E478" s="123">
        <f t="shared" si="86"/>
        <v>1</v>
      </c>
      <c r="F478" s="133"/>
      <c r="G478" s="123">
        <f t="shared" si="87"/>
        <v>1</v>
      </c>
      <c r="H478" s="133"/>
      <c r="I478" s="123">
        <f t="shared" si="88"/>
        <v>1</v>
      </c>
      <c r="J478" s="133"/>
      <c r="K478" s="123">
        <f t="shared" si="89"/>
        <v>1</v>
      </c>
      <c r="L478" s="133"/>
      <c r="M478" s="123">
        <f t="shared" si="90"/>
        <v>1</v>
      </c>
      <c r="N478" s="133"/>
      <c r="O478" s="123">
        <f t="shared" si="91"/>
        <v>1</v>
      </c>
      <c r="P478" s="133"/>
      <c r="Q478" s="123">
        <f t="shared" si="92"/>
        <v>1</v>
      </c>
      <c r="R478" s="187">
        <f t="shared" si="93"/>
        <v>0</v>
      </c>
      <c r="S478" s="122">
        <f t="shared" si="84"/>
        <v>0</v>
      </c>
    </row>
    <row r="479" spans="1:19">
      <c r="A479" s="131"/>
      <c r="B479" s="132"/>
      <c r="C479" s="123">
        <f t="shared" si="85"/>
        <v>1</v>
      </c>
      <c r="D479" s="133"/>
      <c r="E479" s="123">
        <f t="shared" si="86"/>
        <v>1</v>
      </c>
      <c r="F479" s="133"/>
      <c r="G479" s="123">
        <f t="shared" si="87"/>
        <v>1</v>
      </c>
      <c r="H479" s="133"/>
      <c r="I479" s="123">
        <f t="shared" si="88"/>
        <v>1</v>
      </c>
      <c r="J479" s="133"/>
      <c r="K479" s="123">
        <f t="shared" si="89"/>
        <v>1</v>
      </c>
      <c r="L479" s="133"/>
      <c r="M479" s="123">
        <f t="shared" si="90"/>
        <v>1</v>
      </c>
      <c r="N479" s="133"/>
      <c r="O479" s="123">
        <f t="shared" si="91"/>
        <v>1</v>
      </c>
      <c r="P479" s="133"/>
      <c r="Q479" s="123">
        <f t="shared" si="92"/>
        <v>1</v>
      </c>
      <c r="R479" s="187">
        <f t="shared" si="93"/>
        <v>0</v>
      </c>
      <c r="S479" s="122">
        <f t="shared" si="84"/>
        <v>0</v>
      </c>
    </row>
    <row r="480" spans="1:19">
      <c r="A480" s="131"/>
      <c r="B480" s="132"/>
      <c r="C480" s="123">
        <f t="shared" si="85"/>
        <v>1</v>
      </c>
      <c r="D480" s="133"/>
      <c r="E480" s="123">
        <f t="shared" si="86"/>
        <v>1</v>
      </c>
      <c r="F480" s="133"/>
      <c r="G480" s="123">
        <f t="shared" si="87"/>
        <v>1</v>
      </c>
      <c r="H480" s="133"/>
      <c r="I480" s="123">
        <f t="shared" si="88"/>
        <v>1</v>
      </c>
      <c r="J480" s="133"/>
      <c r="K480" s="123">
        <f t="shared" si="89"/>
        <v>1</v>
      </c>
      <c r="L480" s="133"/>
      <c r="M480" s="123">
        <f t="shared" si="90"/>
        <v>1</v>
      </c>
      <c r="N480" s="133"/>
      <c r="O480" s="123">
        <f t="shared" si="91"/>
        <v>1</v>
      </c>
      <c r="P480" s="133"/>
      <c r="Q480" s="123">
        <f t="shared" si="92"/>
        <v>1</v>
      </c>
      <c r="R480" s="187">
        <f t="shared" si="93"/>
        <v>0</v>
      </c>
      <c r="S480" s="122">
        <f t="shared" si="84"/>
        <v>0</v>
      </c>
    </row>
    <row r="481" spans="1:19">
      <c r="A481" s="131"/>
      <c r="B481" s="132"/>
      <c r="C481" s="123">
        <f t="shared" si="85"/>
        <v>1</v>
      </c>
      <c r="D481" s="133"/>
      <c r="E481" s="123">
        <f t="shared" si="86"/>
        <v>1</v>
      </c>
      <c r="F481" s="133"/>
      <c r="G481" s="123">
        <f t="shared" si="87"/>
        <v>1</v>
      </c>
      <c r="H481" s="133"/>
      <c r="I481" s="123">
        <f t="shared" si="88"/>
        <v>1</v>
      </c>
      <c r="J481" s="133"/>
      <c r="K481" s="123">
        <f t="shared" si="89"/>
        <v>1</v>
      </c>
      <c r="L481" s="133"/>
      <c r="M481" s="123">
        <f t="shared" si="90"/>
        <v>1</v>
      </c>
      <c r="N481" s="133"/>
      <c r="O481" s="123">
        <f t="shared" si="91"/>
        <v>1</v>
      </c>
      <c r="P481" s="133"/>
      <c r="Q481" s="123">
        <f t="shared" si="92"/>
        <v>1</v>
      </c>
      <c r="R481" s="187">
        <f t="shared" si="93"/>
        <v>0</v>
      </c>
      <c r="S481" s="122">
        <f t="shared" si="84"/>
        <v>0</v>
      </c>
    </row>
    <row r="482" spans="1:19">
      <c r="A482" s="131"/>
      <c r="B482" s="132"/>
      <c r="C482" s="123">
        <f t="shared" si="85"/>
        <v>1</v>
      </c>
      <c r="D482" s="133"/>
      <c r="E482" s="123">
        <f t="shared" si="86"/>
        <v>1</v>
      </c>
      <c r="F482" s="133"/>
      <c r="G482" s="123">
        <f t="shared" si="87"/>
        <v>1</v>
      </c>
      <c r="H482" s="133"/>
      <c r="I482" s="123">
        <f t="shared" si="88"/>
        <v>1</v>
      </c>
      <c r="J482" s="133"/>
      <c r="K482" s="123">
        <f t="shared" si="89"/>
        <v>1</v>
      </c>
      <c r="L482" s="133"/>
      <c r="M482" s="123">
        <f t="shared" si="90"/>
        <v>1</v>
      </c>
      <c r="N482" s="133"/>
      <c r="O482" s="123">
        <f t="shared" si="91"/>
        <v>1</v>
      </c>
      <c r="P482" s="133"/>
      <c r="Q482" s="123">
        <f t="shared" si="92"/>
        <v>1</v>
      </c>
      <c r="R482" s="187">
        <f t="shared" si="93"/>
        <v>0</v>
      </c>
      <c r="S482" s="122">
        <f t="shared" si="84"/>
        <v>0</v>
      </c>
    </row>
    <row r="483" spans="1:19">
      <c r="A483" s="131"/>
      <c r="B483" s="132"/>
      <c r="C483" s="123">
        <f t="shared" si="85"/>
        <v>1</v>
      </c>
      <c r="D483" s="133"/>
      <c r="E483" s="123">
        <f t="shared" si="86"/>
        <v>1</v>
      </c>
      <c r="F483" s="133"/>
      <c r="G483" s="123">
        <f t="shared" si="87"/>
        <v>1</v>
      </c>
      <c r="H483" s="133"/>
      <c r="I483" s="123">
        <f t="shared" si="88"/>
        <v>1</v>
      </c>
      <c r="J483" s="133"/>
      <c r="K483" s="123">
        <f t="shared" si="89"/>
        <v>1</v>
      </c>
      <c r="L483" s="133"/>
      <c r="M483" s="123">
        <f t="shared" si="90"/>
        <v>1</v>
      </c>
      <c r="N483" s="133"/>
      <c r="O483" s="123">
        <f t="shared" si="91"/>
        <v>1</v>
      </c>
      <c r="P483" s="133"/>
      <c r="Q483" s="123">
        <f t="shared" si="92"/>
        <v>1</v>
      </c>
      <c r="R483" s="187">
        <f t="shared" si="93"/>
        <v>0</v>
      </c>
      <c r="S483" s="122">
        <f t="shared" si="84"/>
        <v>0</v>
      </c>
    </row>
    <row r="484" spans="1:19">
      <c r="A484" s="131"/>
      <c r="B484" s="132"/>
      <c r="C484" s="123">
        <f t="shared" si="85"/>
        <v>1</v>
      </c>
      <c r="D484" s="133"/>
      <c r="E484" s="123">
        <f t="shared" si="86"/>
        <v>1</v>
      </c>
      <c r="F484" s="133"/>
      <c r="G484" s="123">
        <f t="shared" si="87"/>
        <v>1</v>
      </c>
      <c r="H484" s="133"/>
      <c r="I484" s="123">
        <f t="shared" si="88"/>
        <v>1</v>
      </c>
      <c r="J484" s="133"/>
      <c r="K484" s="123">
        <f t="shared" si="89"/>
        <v>1</v>
      </c>
      <c r="L484" s="133"/>
      <c r="M484" s="123">
        <f t="shared" si="90"/>
        <v>1</v>
      </c>
      <c r="N484" s="133"/>
      <c r="O484" s="123">
        <f t="shared" si="91"/>
        <v>1</v>
      </c>
      <c r="P484" s="133"/>
      <c r="Q484" s="123">
        <f t="shared" si="92"/>
        <v>1</v>
      </c>
      <c r="R484" s="187">
        <f t="shared" si="93"/>
        <v>0</v>
      </c>
      <c r="S484" s="122">
        <f t="shared" si="84"/>
        <v>0</v>
      </c>
    </row>
    <row r="485" spans="1:19">
      <c r="A485" s="131"/>
      <c r="B485" s="132"/>
      <c r="C485" s="123">
        <f t="shared" si="85"/>
        <v>1</v>
      </c>
      <c r="D485" s="133"/>
      <c r="E485" s="123">
        <f t="shared" si="86"/>
        <v>1</v>
      </c>
      <c r="F485" s="133"/>
      <c r="G485" s="123">
        <f t="shared" si="87"/>
        <v>1</v>
      </c>
      <c r="H485" s="133"/>
      <c r="I485" s="123">
        <f t="shared" si="88"/>
        <v>1</v>
      </c>
      <c r="J485" s="133"/>
      <c r="K485" s="123">
        <f t="shared" si="89"/>
        <v>1</v>
      </c>
      <c r="L485" s="133"/>
      <c r="M485" s="123">
        <f t="shared" si="90"/>
        <v>1</v>
      </c>
      <c r="N485" s="133"/>
      <c r="O485" s="123">
        <f t="shared" si="91"/>
        <v>1</v>
      </c>
      <c r="P485" s="133"/>
      <c r="Q485" s="123">
        <f t="shared" si="92"/>
        <v>1</v>
      </c>
      <c r="R485" s="187">
        <f t="shared" si="93"/>
        <v>0</v>
      </c>
      <c r="S485" s="122">
        <f t="shared" si="84"/>
        <v>0</v>
      </c>
    </row>
    <row r="486" spans="1:19">
      <c r="A486" s="131"/>
      <c r="B486" s="132"/>
      <c r="C486" s="123">
        <f t="shared" si="85"/>
        <v>1</v>
      </c>
      <c r="D486" s="133"/>
      <c r="E486" s="123">
        <f t="shared" si="86"/>
        <v>1</v>
      </c>
      <c r="F486" s="133"/>
      <c r="G486" s="123">
        <f t="shared" si="87"/>
        <v>1</v>
      </c>
      <c r="H486" s="133"/>
      <c r="I486" s="123">
        <f t="shared" si="88"/>
        <v>1</v>
      </c>
      <c r="J486" s="133"/>
      <c r="K486" s="123">
        <f t="shared" si="89"/>
        <v>1</v>
      </c>
      <c r="L486" s="133"/>
      <c r="M486" s="123">
        <f t="shared" si="90"/>
        <v>1</v>
      </c>
      <c r="N486" s="133"/>
      <c r="O486" s="123">
        <f t="shared" si="91"/>
        <v>1</v>
      </c>
      <c r="P486" s="133"/>
      <c r="Q486" s="123">
        <f t="shared" si="92"/>
        <v>1</v>
      </c>
      <c r="R486" s="187">
        <f t="shared" si="93"/>
        <v>0</v>
      </c>
      <c r="S486" s="122">
        <f t="shared" si="84"/>
        <v>0</v>
      </c>
    </row>
    <row r="487" spans="1:19">
      <c r="A487" s="131"/>
      <c r="B487" s="132"/>
      <c r="C487" s="123">
        <f t="shared" si="85"/>
        <v>1</v>
      </c>
      <c r="D487" s="133"/>
      <c r="E487" s="123">
        <f t="shared" si="86"/>
        <v>1</v>
      </c>
      <c r="F487" s="133"/>
      <c r="G487" s="123">
        <f t="shared" si="87"/>
        <v>1</v>
      </c>
      <c r="H487" s="133"/>
      <c r="I487" s="123">
        <f t="shared" si="88"/>
        <v>1</v>
      </c>
      <c r="J487" s="133"/>
      <c r="K487" s="123">
        <f t="shared" si="89"/>
        <v>1</v>
      </c>
      <c r="L487" s="133"/>
      <c r="M487" s="123">
        <f t="shared" si="90"/>
        <v>1</v>
      </c>
      <c r="N487" s="133"/>
      <c r="O487" s="123">
        <f t="shared" si="91"/>
        <v>1</v>
      </c>
      <c r="P487" s="133"/>
      <c r="Q487" s="123">
        <f t="shared" si="92"/>
        <v>1</v>
      </c>
      <c r="R487" s="187">
        <f t="shared" si="93"/>
        <v>0</v>
      </c>
      <c r="S487" s="122">
        <f t="shared" si="84"/>
        <v>0</v>
      </c>
    </row>
    <row r="488" spans="1:19">
      <c r="A488" s="131"/>
      <c r="B488" s="132"/>
      <c r="C488" s="123">
        <f t="shared" si="85"/>
        <v>1</v>
      </c>
      <c r="D488" s="133"/>
      <c r="E488" s="123">
        <f t="shared" si="86"/>
        <v>1</v>
      </c>
      <c r="F488" s="133"/>
      <c r="G488" s="123">
        <f t="shared" si="87"/>
        <v>1</v>
      </c>
      <c r="H488" s="133"/>
      <c r="I488" s="123">
        <f t="shared" si="88"/>
        <v>1</v>
      </c>
      <c r="J488" s="133"/>
      <c r="K488" s="123">
        <f t="shared" si="89"/>
        <v>1</v>
      </c>
      <c r="L488" s="133"/>
      <c r="M488" s="123">
        <f t="shared" si="90"/>
        <v>1</v>
      </c>
      <c r="N488" s="133"/>
      <c r="O488" s="123">
        <f t="shared" si="91"/>
        <v>1</v>
      </c>
      <c r="P488" s="133"/>
      <c r="Q488" s="123">
        <f t="shared" si="92"/>
        <v>1</v>
      </c>
      <c r="R488" s="187">
        <f t="shared" si="93"/>
        <v>0</v>
      </c>
      <c r="S488" s="122">
        <f t="shared" si="84"/>
        <v>0</v>
      </c>
    </row>
    <row r="489" spans="1:19">
      <c r="A489" s="131"/>
      <c r="B489" s="132"/>
      <c r="C489" s="123">
        <f t="shared" si="85"/>
        <v>1</v>
      </c>
      <c r="D489" s="133"/>
      <c r="E489" s="123">
        <f t="shared" si="86"/>
        <v>1</v>
      </c>
      <c r="F489" s="133"/>
      <c r="G489" s="123">
        <f t="shared" si="87"/>
        <v>1</v>
      </c>
      <c r="H489" s="133"/>
      <c r="I489" s="123">
        <f t="shared" si="88"/>
        <v>1</v>
      </c>
      <c r="J489" s="133"/>
      <c r="K489" s="123">
        <f t="shared" si="89"/>
        <v>1</v>
      </c>
      <c r="L489" s="133"/>
      <c r="M489" s="123">
        <f t="shared" si="90"/>
        <v>1</v>
      </c>
      <c r="N489" s="133"/>
      <c r="O489" s="123">
        <f t="shared" si="91"/>
        <v>1</v>
      </c>
      <c r="P489" s="133"/>
      <c r="Q489" s="123">
        <f t="shared" si="92"/>
        <v>1</v>
      </c>
      <c r="R489" s="187">
        <f t="shared" si="93"/>
        <v>0</v>
      </c>
      <c r="S489" s="122">
        <f t="shared" si="84"/>
        <v>0</v>
      </c>
    </row>
    <row r="490" spans="1:19">
      <c r="A490" s="131"/>
      <c r="B490" s="132"/>
      <c r="C490" s="123">
        <f t="shared" si="85"/>
        <v>1</v>
      </c>
      <c r="D490" s="133"/>
      <c r="E490" s="123">
        <f t="shared" si="86"/>
        <v>1</v>
      </c>
      <c r="F490" s="133"/>
      <c r="G490" s="123">
        <f t="shared" si="87"/>
        <v>1</v>
      </c>
      <c r="H490" s="133"/>
      <c r="I490" s="123">
        <f t="shared" si="88"/>
        <v>1</v>
      </c>
      <c r="J490" s="133"/>
      <c r="K490" s="123">
        <f t="shared" si="89"/>
        <v>1</v>
      </c>
      <c r="L490" s="133"/>
      <c r="M490" s="123">
        <f t="shared" si="90"/>
        <v>1</v>
      </c>
      <c r="N490" s="133"/>
      <c r="O490" s="123">
        <f t="shared" si="91"/>
        <v>1</v>
      </c>
      <c r="P490" s="133"/>
      <c r="Q490" s="123">
        <f t="shared" si="92"/>
        <v>1</v>
      </c>
      <c r="R490" s="187">
        <f t="shared" si="93"/>
        <v>0</v>
      </c>
      <c r="S490" s="122">
        <f t="shared" si="84"/>
        <v>0</v>
      </c>
    </row>
    <row r="491" spans="1:19">
      <c r="A491" s="131"/>
      <c r="B491" s="132"/>
      <c r="C491" s="123">
        <f t="shared" si="85"/>
        <v>1</v>
      </c>
      <c r="D491" s="133"/>
      <c r="E491" s="123">
        <f t="shared" si="86"/>
        <v>1</v>
      </c>
      <c r="F491" s="133"/>
      <c r="G491" s="123">
        <f t="shared" si="87"/>
        <v>1</v>
      </c>
      <c r="H491" s="133"/>
      <c r="I491" s="123">
        <f t="shared" si="88"/>
        <v>1</v>
      </c>
      <c r="J491" s="133"/>
      <c r="K491" s="123">
        <f t="shared" si="89"/>
        <v>1</v>
      </c>
      <c r="L491" s="133"/>
      <c r="M491" s="123">
        <f t="shared" si="90"/>
        <v>1</v>
      </c>
      <c r="N491" s="133"/>
      <c r="O491" s="123">
        <f t="shared" si="91"/>
        <v>1</v>
      </c>
      <c r="P491" s="133"/>
      <c r="Q491" s="123">
        <f t="shared" si="92"/>
        <v>1</v>
      </c>
      <c r="R491" s="187">
        <f t="shared" si="93"/>
        <v>0</v>
      </c>
      <c r="S491" s="122">
        <f t="shared" si="84"/>
        <v>0</v>
      </c>
    </row>
    <row r="492" spans="1:19">
      <c r="A492" s="131"/>
      <c r="B492" s="132"/>
      <c r="C492" s="123">
        <f t="shared" si="85"/>
        <v>1</v>
      </c>
      <c r="D492" s="133"/>
      <c r="E492" s="123">
        <f t="shared" si="86"/>
        <v>1</v>
      </c>
      <c r="F492" s="133"/>
      <c r="G492" s="123">
        <f t="shared" si="87"/>
        <v>1</v>
      </c>
      <c r="H492" s="133"/>
      <c r="I492" s="123">
        <f t="shared" si="88"/>
        <v>1</v>
      </c>
      <c r="J492" s="133"/>
      <c r="K492" s="123">
        <f t="shared" si="89"/>
        <v>1</v>
      </c>
      <c r="L492" s="133"/>
      <c r="M492" s="123">
        <f t="shared" si="90"/>
        <v>1</v>
      </c>
      <c r="N492" s="133"/>
      <c r="O492" s="123">
        <f t="shared" si="91"/>
        <v>1</v>
      </c>
      <c r="P492" s="133"/>
      <c r="Q492" s="123">
        <f t="shared" si="92"/>
        <v>1</v>
      </c>
      <c r="R492" s="187">
        <f t="shared" si="93"/>
        <v>0</v>
      </c>
      <c r="S492" s="122">
        <f t="shared" si="84"/>
        <v>0</v>
      </c>
    </row>
    <row r="493" spans="1:19">
      <c r="A493" s="131"/>
      <c r="B493" s="132"/>
      <c r="C493" s="123">
        <f t="shared" si="85"/>
        <v>1</v>
      </c>
      <c r="D493" s="133"/>
      <c r="E493" s="123">
        <f t="shared" si="86"/>
        <v>1</v>
      </c>
      <c r="F493" s="133"/>
      <c r="G493" s="123">
        <f t="shared" si="87"/>
        <v>1</v>
      </c>
      <c r="H493" s="133"/>
      <c r="I493" s="123">
        <f t="shared" si="88"/>
        <v>1</v>
      </c>
      <c r="J493" s="133"/>
      <c r="K493" s="123">
        <f t="shared" si="89"/>
        <v>1</v>
      </c>
      <c r="L493" s="133"/>
      <c r="M493" s="123">
        <f t="shared" si="90"/>
        <v>1</v>
      </c>
      <c r="N493" s="133"/>
      <c r="O493" s="123">
        <f t="shared" si="91"/>
        <v>1</v>
      </c>
      <c r="P493" s="133"/>
      <c r="Q493" s="123">
        <f t="shared" si="92"/>
        <v>1</v>
      </c>
      <c r="R493" s="187">
        <f t="shared" si="93"/>
        <v>0</v>
      </c>
      <c r="S493" s="122">
        <f t="shared" si="84"/>
        <v>0</v>
      </c>
    </row>
    <row r="494" spans="1:19">
      <c r="A494" s="131"/>
      <c r="B494" s="132"/>
      <c r="C494" s="123">
        <f t="shared" si="85"/>
        <v>1</v>
      </c>
      <c r="D494" s="133"/>
      <c r="E494" s="123">
        <f t="shared" si="86"/>
        <v>1</v>
      </c>
      <c r="F494" s="133"/>
      <c r="G494" s="123">
        <f t="shared" si="87"/>
        <v>1</v>
      </c>
      <c r="H494" s="133"/>
      <c r="I494" s="123">
        <f t="shared" si="88"/>
        <v>1</v>
      </c>
      <c r="J494" s="133"/>
      <c r="K494" s="123">
        <f t="shared" si="89"/>
        <v>1</v>
      </c>
      <c r="L494" s="133"/>
      <c r="M494" s="123">
        <f t="shared" si="90"/>
        <v>1</v>
      </c>
      <c r="N494" s="133"/>
      <c r="O494" s="123">
        <f t="shared" si="91"/>
        <v>1</v>
      </c>
      <c r="P494" s="133"/>
      <c r="Q494" s="123">
        <f t="shared" si="92"/>
        <v>1</v>
      </c>
      <c r="R494" s="187">
        <f t="shared" si="93"/>
        <v>0</v>
      </c>
      <c r="S494" s="122">
        <f t="shared" si="84"/>
        <v>0</v>
      </c>
    </row>
    <row r="495" spans="1:19">
      <c r="A495" s="131"/>
      <c r="B495" s="132"/>
      <c r="C495" s="123">
        <f t="shared" si="85"/>
        <v>1</v>
      </c>
      <c r="D495" s="133"/>
      <c r="E495" s="123">
        <f t="shared" si="86"/>
        <v>1</v>
      </c>
      <c r="F495" s="133"/>
      <c r="G495" s="123">
        <f t="shared" si="87"/>
        <v>1</v>
      </c>
      <c r="H495" s="133"/>
      <c r="I495" s="123">
        <f t="shared" si="88"/>
        <v>1</v>
      </c>
      <c r="J495" s="133"/>
      <c r="K495" s="123">
        <f t="shared" si="89"/>
        <v>1</v>
      </c>
      <c r="L495" s="133"/>
      <c r="M495" s="123">
        <f t="shared" si="90"/>
        <v>1</v>
      </c>
      <c r="N495" s="133"/>
      <c r="O495" s="123">
        <f t="shared" si="91"/>
        <v>1</v>
      </c>
      <c r="P495" s="133"/>
      <c r="Q495" s="123">
        <f t="shared" si="92"/>
        <v>1</v>
      </c>
      <c r="R495" s="187">
        <f t="shared" si="93"/>
        <v>0</v>
      </c>
      <c r="S495" s="122">
        <f t="shared" si="84"/>
        <v>0</v>
      </c>
    </row>
    <row r="496" spans="1:19">
      <c r="A496" s="131"/>
      <c r="B496" s="132"/>
      <c r="C496" s="123">
        <f t="shared" si="85"/>
        <v>1</v>
      </c>
      <c r="D496" s="133"/>
      <c r="E496" s="123">
        <f t="shared" si="86"/>
        <v>1</v>
      </c>
      <c r="F496" s="133"/>
      <c r="G496" s="123">
        <f t="shared" si="87"/>
        <v>1</v>
      </c>
      <c r="H496" s="133"/>
      <c r="I496" s="123">
        <f t="shared" si="88"/>
        <v>1</v>
      </c>
      <c r="J496" s="133"/>
      <c r="K496" s="123">
        <f t="shared" si="89"/>
        <v>1</v>
      </c>
      <c r="L496" s="133"/>
      <c r="M496" s="123">
        <f t="shared" si="90"/>
        <v>1</v>
      </c>
      <c r="N496" s="133"/>
      <c r="O496" s="123">
        <f t="shared" si="91"/>
        <v>1</v>
      </c>
      <c r="P496" s="133"/>
      <c r="Q496" s="123">
        <f t="shared" si="92"/>
        <v>1</v>
      </c>
      <c r="R496" s="187">
        <f t="shared" si="93"/>
        <v>0</v>
      </c>
      <c r="S496" s="122">
        <f t="shared" si="84"/>
        <v>0</v>
      </c>
    </row>
    <row r="497" spans="1:19">
      <c r="A497" s="131"/>
      <c r="B497" s="132"/>
      <c r="C497" s="123">
        <f t="shared" si="85"/>
        <v>1</v>
      </c>
      <c r="D497" s="133"/>
      <c r="E497" s="123">
        <f t="shared" si="86"/>
        <v>1</v>
      </c>
      <c r="F497" s="133"/>
      <c r="G497" s="123">
        <f t="shared" si="87"/>
        <v>1</v>
      </c>
      <c r="H497" s="133"/>
      <c r="I497" s="123">
        <f t="shared" si="88"/>
        <v>1</v>
      </c>
      <c r="J497" s="133"/>
      <c r="K497" s="123">
        <f t="shared" si="89"/>
        <v>1</v>
      </c>
      <c r="L497" s="133"/>
      <c r="M497" s="123">
        <f t="shared" si="90"/>
        <v>1</v>
      </c>
      <c r="N497" s="133"/>
      <c r="O497" s="123">
        <f t="shared" si="91"/>
        <v>1</v>
      </c>
      <c r="P497" s="133"/>
      <c r="Q497" s="123">
        <f t="shared" si="92"/>
        <v>1</v>
      </c>
      <c r="R497" s="187">
        <f t="shared" si="93"/>
        <v>0</v>
      </c>
      <c r="S497" s="122">
        <f t="shared" si="84"/>
        <v>0</v>
      </c>
    </row>
    <row r="498" spans="1:19">
      <c r="A498" s="131"/>
      <c r="B498" s="132"/>
      <c r="C498" s="123">
        <f t="shared" si="85"/>
        <v>1</v>
      </c>
      <c r="D498" s="133"/>
      <c r="E498" s="123">
        <f t="shared" si="86"/>
        <v>1</v>
      </c>
      <c r="F498" s="133"/>
      <c r="G498" s="123">
        <f t="shared" si="87"/>
        <v>1</v>
      </c>
      <c r="H498" s="133"/>
      <c r="I498" s="123">
        <f t="shared" si="88"/>
        <v>1</v>
      </c>
      <c r="J498" s="133"/>
      <c r="K498" s="123">
        <f t="shared" si="89"/>
        <v>1</v>
      </c>
      <c r="L498" s="133"/>
      <c r="M498" s="123">
        <f t="shared" si="90"/>
        <v>1</v>
      </c>
      <c r="N498" s="133"/>
      <c r="O498" s="123">
        <f t="shared" si="91"/>
        <v>1</v>
      </c>
      <c r="P498" s="133"/>
      <c r="Q498" s="123">
        <f t="shared" si="92"/>
        <v>1</v>
      </c>
      <c r="R498" s="187">
        <f t="shared" si="93"/>
        <v>0</v>
      </c>
      <c r="S498" s="122">
        <f t="shared" ref="S498:S524" si="94">ROUND(R498*B498/10000,0)</f>
        <v>0</v>
      </c>
    </row>
    <row r="499" spans="1:19">
      <c r="A499" s="131"/>
      <c r="B499" s="132"/>
      <c r="C499" s="123">
        <f t="shared" si="85"/>
        <v>1</v>
      </c>
      <c r="D499" s="133"/>
      <c r="E499" s="123">
        <f t="shared" si="86"/>
        <v>1</v>
      </c>
      <c r="F499" s="133"/>
      <c r="G499" s="123">
        <f t="shared" si="87"/>
        <v>1</v>
      </c>
      <c r="H499" s="133"/>
      <c r="I499" s="123">
        <f t="shared" si="88"/>
        <v>1</v>
      </c>
      <c r="J499" s="133"/>
      <c r="K499" s="123">
        <f t="shared" si="89"/>
        <v>1</v>
      </c>
      <c r="L499" s="133"/>
      <c r="M499" s="123">
        <f t="shared" si="90"/>
        <v>1</v>
      </c>
      <c r="N499" s="133"/>
      <c r="O499" s="123">
        <f t="shared" si="91"/>
        <v>1</v>
      </c>
      <c r="P499" s="133"/>
      <c r="Q499" s="123">
        <f t="shared" si="92"/>
        <v>1</v>
      </c>
      <c r="R499" s="187">
        <f t="shared" si="93"/>
        <v>0</v>
      </c>
      <c r="S499" s="122">
        <f t="shared" si="94"/>
        <v>0</v>
      </c>
    </row>
    <row r="500" spans="1:19">
      <c r="A500" s="131"/>
      <c r="B500" s="132"/>
      <c r="C500" s="123">
        <f t="shared" si="85"/>
        <v>1</v>
      </c>
      <c r="D500" s="133"/>
      <c r="E500" s="123">
        <f t="shared" si="86"/>
        <v>1</v>
      </c>
      <c r="F500" s="133"/>
      <c r="G500" s="123">
        <f t="shared" si="87"/>
        <v>1</v>
      </c>
      <c r="H500" s="133"/>
      <c r="I500" s="123">
        <f t="shared" si="88"/>
        <v>1</v>
      </c>
      <c r="J500" s="133"/>
      <c r="K500" s="123">
        <f t="shared" si="89"/>
        <v>1</v>
      </c>
      <c r="L500" s="133"/>
      <c r="M500" s="123">
        <f t="shared" si="90"/>
        <v>1</v>
      </c>
      <c r="N500" s="133"/>
      <c r="O500" s="123">
        <f t="shared" si="91"/>
        <v>1</v>
      </c>
      <c r="P500" s="133"/>
      <c r="Q500" s="123">
        <f t="shared" si="92"/>
        <v>1</v>
      </c>
      <c r="R500" s="187">
        <f t="shared" si="93"/>
        <v>0</v>
      </c>
      <c r="S500" s="122">
        <f t="shared" si="94"/>
        <v>0</v>
      </c>
    </row>
    <row r="501" spans="1:19">
      <c r="A501" s="131"/>
      <c r="B501" s="132"/>
      <c r="C501" s="123">
        <f t="shared" si="85"/>
        <v>1</v>
      </c>
      <c r="D501" s="133"/>
      <c r="E501" s="123">
        <f t="shared" si="86"/>
        <v>1</v>
      </c>
      <c r="F501" s="133"/>
      <c r="G501" s="123">
        <f t="shared" si="87"/>
        <v>1</v>
      </c>
      <c r="H501" s="133"/>
      <c r="I501" s="123">
        <f t="shared" si="88"/>
        <v>1</v>
      </c>
      <c r="J501" s="133"/>
      <c r="K501" s="123">
        <f t="shared" si="89"/>
        <v>1</v>
      </c>
      <c r="L501" s="133"/>
      <c r="M501" s="123">
        <f t="shared" si="90"/>
        <v>1</v>
      </c>
      <c r="N501" s="133"/>
      <c r="O501" s="123">
        <f t="shared" si="91"/>
        <v>1</v>
      </c>
      <c r="P501" s="133"/>
      <c r="Q501" s="123">
        <f t="shared" si="92"/>
        <v>1</v>
      </c>
      <c r="R501" s="187">
        <f t="shared" si="93"/>
        <v>0</v>
      </c>
      <c r="S501" s="122">
        <f t="shared" si="94"/>
        <v>0</v>
      </c>
    </row>
    <row r="502" spans="1:19">
      <c r="A502" s="131"/>
      <c r="B502" s="132"/>
      <c r="C502" s="123">
        <f t="shared" si="85"/>
        <v>1</v>
      </c>
      <c r="D502" s="133"/>
      <c r="E502" s="123">
        <f t="shared" si="86"/>
        <v>1</v>
      </c>
      <c r="F502" s="133"/>
      <c r="G502" s="123">
        <f t="shared" si="87"/>
        <v>1</v>
      </c>
      <c r="H502" s="133"/>
      <c r="I502" s="123">
        <f t="shared" si="88"/>
        <v>1</v>
      </c>
      <c r="J502" s="133"/>
      <c r="K502" s="123">
        <f t="shared" si="89"/>
        <v>1</v>
      </c>
      <c r="L502" s="133"/>
      <c r="M502" s="123">
        <f t="shared" si="90"/>
        <v>1</v>
      </c>
      <c r="N502" s="133"/>
      <c r="O502" s="123">
        <f t="shared" si="91"/>
        <v>1</v>
      </c>
      <c r="P502" s="133"/>
      <c r="Q502" s="123">
        <f t="shared" si="92"/>
        <v>1</v>
      </c>
      <c r="R502" s="187">
        <f t="shared" si="93"/>
        <v>0</v>
      </c>
      <c r="S502" s="122">
        <f t="shared" si="94"/>
        <v>0</v>
      </c>
    </row>
    <row r="503" spans="1:19">
      <c r="A503" s="131"/>
      <c r="B503" s="132"/>
      <c r="C503" s="123">
        <f t="shared" si="85"/>
        <v>1</v>
      </c>
      <c r="D503" s="133"/>
      <c r="E503" s="123">
        <f t="shared" si="86"/>
        <v>1</v>
      </c>
      <c r="F503" s="133"/>
      <c r="G503" s="123">
        <f t="shared" si="87"/>
        <v>1</v>
      </c>
      <c r="H503" s="133"/>
      <c r="I503" s="123">
        <f t="shared" si="88"/>
        <v>1</v>
      </c>
      <c r="J503" s="133"/>
      <c r="K503" s="123">
        <f t="shared" si="89"/>
        <v>1</v>
      </c>
      <c r="L503" s="133"/>
      <c r="M503" s="123">
        <f t="shared" si="90"/>
        <v>1</v>
      </c>
      <c r="N503" s="133"/>
      <c r="O503" s="123">
        <f t="shared" si="91"/>
        <v>1</v>
      </c>
      <c r="P503" s="133"/>
      <c r="Q503" s="123">
        <f t="shared" si="92"/>
        <v>1</v>
      </c>
      <c r="R503" s="187">
        <f t="shared" si="93"/>
        <v>0</v>
      </c>
      <c r="S503" s="122">
        <f t="shared" si="94"/>
        <v>0</v>
      </c>
    </row>
    <row r="504" spans="1:19">
      <c r="A504" s="131"/>
      <c r="B504" s="132"/>
      <c r="C504" s="123">
        <f t="shared" si="85"/>
        <v>1</v>
      </c>
      <c r="D504" s="133"/>
      <c r="E504" s="123">
        <f t="shared" si="86"/>
        <v>1</v>
      </c>
      <c r="F504" s="133"/>
      <c r="G504" s="123">
        <f t="shared" si="87"/>
        <v>1</v>
      </c>
      <c r="H504" s="133"/>
      <c r="I504" s="123">
        <f t="shared" si="88"/>
        <v>1</v>
      </c>
      <c r="J504" s="133"/>
      <c r="K504" s="123">
        <f t="shared" si="89"/>
        <v>1</v>
      </c>
      <c r="L504" s="133"/>
      <c r="M504" s="123">
        <f t="shared" si="90"/>
        <v>1</v>
      </c>
      <c r="N504" s="133"/>
      <c r="O504" s="123">
        <f t="shared" si="91"/>
        <v>1</v>
      </c>
      <c r="P504" s="133"/>
      <c r="Q504" s="123">
        <f t="shared" si="92"/>
        <v>1</v>
      </c>
      <c r="R504" s="187">
        <f t="shared" si="93"/>
        <v>0</v>
      </c>
      <c r="S504" s="122">
        <f t="shared" si="94"/>
        <v>0</v>
      </c>
    </row>
    <row r="505" spans="1:19">
      <c r="A505" s="131"/>
      <c r="B505" s="132"/>
      <c r="C505" s="123">
        <f t="shared" si="85"/>
        <v>1</v>
      </c>
      <c r="D505" s="133"/>
      <c r="E505" s="123">
        <f t="shared" si="86"/>
        <v>1</v>
      </c>
      <c r="F505" s="133"/>
      <c r="G505" s="123">
        <f t="shared" si="87"/>
        <v>1</v>
      </c>
      <c r="H505" s="133"/>
      <c r="I505" s="123">
        <f t="shared" si="88"/>
        <v>1</v>
      </c>
      <c r="J505" s="133"/>
      <c r="K505" s="123">
        <f t="shared" si="89"/>
        <v>1</v>
      </c>
      <c r="L505" s="133"/>
      <c r="M505" s="123">
        <f t="shared" si="90"/>
        <v>1</v>
      </c>
      <c r="N505" s="133"/>
      <c r="O505" s="123">
        <f t="shared" si="91"/>
        <v>1</v>
      </c>
      <c r="P505" s="133"/>
      <c r="Q505" s="123">
        <f t="shared" si="92"/>
        <v>1</v>
      </c>
      <c r="R505" s="187">
        <f t="shared" si="93"/>
        <v>0</v>
      </c>
      <c r="S505" s="122">
        <f t="shared" si="94"/>
        <v>0</v>
      </c>
    </row>
    <row r="506" spans="1:19">
      <c r="A506" s="131"/>
      <c r="B506" s="132"/>
      <c r="C506" s="123">
        <f t="shared" si="85"/>
        <v>1</v>
      </c>
      <c r="D506" s="133"/>
      <c r="E506" s="123">
        <f t="shared" si="86"/>
        <v>1</v>
      </c>
      <c r="F506" s="133"/>
      <c r="G506" s="123">
        <f t="shared" si="87"/>
        <v>1</v>
      </c>
      <c r="H506" s="133"/>
      <c r="I506" s="123">
        <f t="shared" si="88"/>
        <v>1</v>
      </c>
      <c r="J506" s="133"/>
      <c r="K506" s="123">
        <f t="shared" si="89"/>
        <v>1</v>
      </c>
      <c r="L506" s="133"/>
      <c r="M506" s="123">
        <f t="shared" si="90"/>
        <v>1</v>
      </c>
      <c r="N506" s="133"/>
      <c r="O506" s="123">
        <f t="shared" si="91"/>
        <v>1</v>
      </c>
      <c r="P506" s="133"/>
      <c r="Q506" s="123">
        <f t="shared" si="92"/>
        <v>1</v>
      </c>
      <c r="R506" s="187">
        <f t="shared" si="93"/>
        <v>0</v>
      </c>
      <c r="S506" s="122">
        <f t="shared" si="94"/>
        <v>0</v>
      </c>
    </row>
    <row r="507" spans="1:19">
      <c r="A507" s="131"/>
      <c r="B507" s="132"/>
      <c r="C507" s="123">
        <f t="shared" si="85"/>
        <v>1</v>
      </c>
      <c r="D507" s="133"/>
      <c r="E507" s="123">
        <f t="shared" si="86"/>
        <v>1</v>
      </c>
      <c r="F507" s="133"/>
      <c r="G507" s="123">
        <f t="shared" si="87"/>
        <v>1</v>
      </c>
      <c r="H507" s="133"/>
      <c r="I507" s="123">
        <f t="shared" si="88"/>
        <v>1</v>
      </c>
      <c r="J507" s="133"/>
      <c r="K507" s="123">
        <f t="shared" si="89"/>
        <v>1</v>
      </c>
      <c r="L507" s="133"/>
      <c r="M507" s="123">
        <f t="shared" si="90"/>
        <v>1</v>
      </c>
      <c r="N507" s="133"/>
      <c r="O507" s="123">
        <f t="shared" si="91"/>
        <v>1</v>
      </c>
      <c r="P507" s="133"/>
      <c r="Q507" s="123">
        <f t="shared" si="92"/>
        <v>1</v>
      </c>
      <c r="R507" s="187">
        <f t="shared" si="93"/>
        <v>0</v>
      </c>
      <c r="S507" s="122">
        <f t="shared" si="94"/>
        <v>0</v>
      </c>
    </row>
    <row r="508" spans="1:19">
      <c r="A508" s="131"/>
      <c r="B508" s="132"/>
      <c r="C508" s="123">
        <f t="shared" si="85"/>
        <v>1</v>
      </c>
      <c r="D508" s="133"/>
      <c r="E508" s="123">
        <f t="shared" si="86"/>
        <v>1</v>
      </c>
      <c r="F508" s="133"/>
      <c r="G508" s="123">
        <f t="shared" si="87"/>
        <v>1</v>
      </c>
      <c r="H508" s="133"/>
      <c r="I508" s="123">
        <f t="shared" si="88"/>
        <v>1</v>
      </c>
      <c r="J508" s="133"/>
      <c r="K508" s="123">
        <f t="shared" si="89"/>
        <v>1</v>
      </c>
      <c r="L508" s="133"/>
      <c r="M508" s="123">
        <f t="shared" si="90"/>
        <v>1</v>
      </c>
      <c r="N508" s="133"/>
      <c r="O508" s="123">
        <f t="shared" si="91"/>
        <v>1</v>
      </c>
      <c r="P508" s="133"/>
      <c r="Q508" s="123">
        <f t="shared" si="92"/>
        <v>1</v>
      </c>
      <c r="R508" s="187">
        <f t="shared" si="93"/>
        <v>0</v>
      </c>
      <c r="S508" s="122">
        <f t="shared" si="94"/>
        <v>0</v>
      </c>
    </row>
    <row r="509" spans="1:19">
      <c r="A509" s="131"/>
      <c r="B509" s="132"/>
      <c r="C509" s="123">
        <f t="shared" si="85"/>
        <v>1</v>
      </c>
      <c r="D509" s="133"/>
      <c r="E509" s="123">
        <f t="shared" si="86"/>
        <v>1</v>
      </c>
      <c r="F509" s="133"/>
      <c r="G509" s="123">
        <f t="shared" si="87"/>
        <v>1</v>
      </c>
      <c r="H509" s="133"/>
      <c r="I509" s="123">
        <f t="shared" si="88"/>
        <v>1</v>
      </c>
      <c r="J509" s="133"/>
      <c r="K509" s="123">
        <f t="shared" si="89"/>
        <v>1</v>
      </c>
      <c r="L509" s="133"/>
      <c r="M509" s="123">
        <f t="shared" si="90"/>
        <v>1</v>
      </c>
      <c r="N509" s="133"/>
      <c r="O509" s="123">
        <f t="shared" si="91"/>
        <v>1</v>
      </c>
      <c r="P509" s="133"/>
      <c r="Q509" s="123">
        <f t="shared" si="92"/>
        <v>1</v>
      </c>
      <c r="R509" s="187">
        <f t="shared" si="93"/>
        <v>0</v>
      </c>
      <c r="S509" s="122">
        <f t="shared" si="94"/>
        <v>0</v>
      </c>
    </row>
    <row r="510" spans="1:19">
      <c r="A510" s="131"/>
      <c r="B510" s="132"/>
      <c r="C510" s="123">
        <f t="shared" si="85"/>
        <v>1</v>
      </c>
      <c r="D510" s="133"/>
      <c r="E510" s="123">
        <f t="shared" si="86"/>
        <v>1</v>
      </c>
      <c r="F510" s="133"/>
      <c r="G510" s="123">
        <f t="shared" si="87"/>
        <v>1</v>
      </c>
      <c r="H510" s="133"/>
      <c r="I510" s="123">
        <f t="shared" si="88"/>
        <v>1</v>
      </c>
      <c r="J510" s="133"/>
      <c r="K510" s="123">
        <f t="shared" si="89"/>
        <v>1</v>
      </c>
      <c r="L510" s="133"/>
      <c r="M510" s="123">
        <f t="shared" si="90"/>
        <v>1</v>
      </c>
      <c r="N510" s="133"/>
      <c r="O510" s="123">
        <f t="shared" si="91"/>
        <v>1</v>
      </c>
      <c r="P510" s="133"/>
      <c r="Q510" s="123">
        <f t="shared" si="92"/>
        <v>1</v>
      </c>
      <c r="R510" s="187">
        <f t="shared" si="93"/>
        <v>0</v>
      </c>
      <c r="S510" s="122">
        <f t="shared" si="94"/>
        <v>0</v>
      </c>
    </row>
    <row r="511" spans="1:19">
      <c r="A511" s="131"/>
      <c r="B511" s="132"/>
      <c r="C511" s="123">
        <f t="shared" si="85"/>
        <v>1</v>
      </c>
      <c r="D511" s="133"/>
      <c r="E511" s="123">
        <f t="shared" si="86"/>
        <v>1</v>
      </c>
      <c r="F511" s="133"/>
      <c r="G511" s="123">
        <f t="shared" si="87"/>
        <v>1</v>
      </c>
      <c r="H511" s="133"/>
      <c r="I511" s="123">
        <f t="shared" si="88"/>
        <v>1</v>
      </c>
      <c r="J511" s="133"/>
      <c r="K511" s="123">
        <f t="shared" si="89"/>
        <v>1</v>
      </c>
      <c r="L511" s="133"/>
      <c r="M511" s="123">
        <f t="shared" si="90"/>
        <v>1</v>
      </c>
      <c r="N511" s="133"/>
      <c r="O511" s="123">
        <f t="shared" si="91"/>
        <v>1</v>
      </c>
      <c r="P511" s="133"/>
      <c r="Q511" s="123">
        <f t="shared" si="92"/>
        <v>1</v>
      </c>
      <c r="R511" s="187">
        <f t="shared" si="93"/>
        <v>0</v>
      </c>
      <c r="S511" s="122">
        <f t="shared" si="94"/>
        <v>0</v>
      </c>
    </row>
    <row r="512" spans="1:19">
      <c r="A512" s="131"/>
      <c r="B512" s="132"/>
      <c r="C512" s="123">
        <f t="shared" si="85"/>
        <v>1</v>
      </c>
      <c r="D512" s="133"/>
      <c r="E512" s="123">
        <f t="shared" si="86"/>
        <v>1</v>
      </c>
      <c r="F512" s="133"/>
      <c r="G512" s="123">
        <f t="shared" si="87"/>
        <v>1</v>
      </c>
      <c r="H512" s="133"/>
      <c r="I512" s="123">
        <f t="shared" si="88"/>
        <v>1</v>
      </c>
      <c r="J512" s="133"/>
      <c r="K512" s="123">
        <f t="shared" si="89"/>
        <v>1</v>
      </c>
      <c r="L512" s="133"/>
      <c r="M512" s="123">
        <f t="shared" si="90"/>
        <v>1</v>
      </c>
      <c r="N512" s="133"/>
      <c r="O512" s="123">
        <f t="shared" si="91"/>
        <v>1</v>
      </c>
      <c r="P512" s="133"/>
      <c r="Q512" s="123">
        <f t="shared" si="92"/>
        <v>1</v>
      </c>
      <c r="R512" s="187">
        <f t="shared" si="93"/>
        <v>0</v>
      </c>
      <c r="S512" s="122">
        <f t="shared" si="94"/>
        <v>0</v>
      </c>
    </row>
    <row r="513" spans="1:19">
      <c r="A513" s="131"/>
      <c r="B513" s="132"/>
      <c r="C513" s="123">
        <f t="shared" si="85"/>
        <v>1</v>
      </c>
      <c r="D513" s="133"/>
      <c r="E513" s="123">
        <f t="shared" si="86"/>
        <v>1</v>
      </c>
      <c r="F513" s="133"/>
      <c r="G513" s="123">
        <f t="shared" si="87"/>
        <v>1</v>
      </c>
      <c r="H513" s="133"/>
      <c r="I513" s="123">
        <f t="shared" si="88"/>
        <v>1</v>
      </c>
      <c r="J513" s="133"/>
      <c r="K513" s="123">
        <f t="shared" si="89"/>
        <v>1</v>
      </c>
      <c r="L513" s="133"/>
      <c r="M513" s="123">
        <f t="shared" si="90"/>
        <v>1</v>
      </c>
      <c r="N513" s="133"/>
      <c r="O513" s="123">
        <f t="shared" si="91"/>
        <v>1</v>
      </c>
      <c r="P513" s="133"/>
      <c r="Q513" s="123">
        <f t="shared" si="92"/>
        <v>1</v>
      </c>
      <c r="R513" s="187">
        <f t="shared" si="93"/>
        <v>0</v>
      </c>
      <c r="S513" s="122">
        <f t="shared" si="94"/>
        <v>0</v>
      </c>
    </row>
    <row r="514" spans="1:19">
      <c r="A514" s="131"/>
      <c r="B514" s="132"/>
      <c r="C514" s="123">
        <f t="shared" si="85"/>
        <v>1</v>
      </c>
      <c r="D514" s="133"/>
      <c r="E514" s="123">
        <f t="shared" si="86"/>
        <v>1</v>
      </c>
      <c r="F514" s="133"/>
      <c r="G514" s="123">
        <f t="shared" si="87"/>
        <v>1</v>
      </c>
      <c r="H514" s="133"/>
      <c r="I514" s="123">
        <f t="shared" si="88"/>
        <v>1</v>
      </c>
      <c r="J514" s="133"/>
      <c r="K514" s="123">
        <f t="shared" si="89"/>
        <v>1</v>
      </c>
      <c r="L514" s="133"/>
      <c r="M514" s="123">
        <f t="shared" si="90"/>
        <v>1</v>
      </c>
      <c r="N514" s="133"/>
      <c r="O514" s="123">
        <f t="shared" si="91"/>
        <v>1</v>
      </c>
      <c r="P514" s="133"/>
      <c r="Q514" s="123">
        <f t="shared" si="92"/>
        <v>1</v>
      </c>
      <c r="R514" s="187">
        <f t="shared" si="93"/>
        <v>0</v>
      </c>
      <c r="S514" s="122">
        <f t="shared" si="94"/>
        <v>0</v>
      </c>
    </row>
    <row r="515" spans="1:19">
      <c r="A515" s="131"/>
      <c r="B515" s="132"/>
      <c r="C515" s="123">
        <f t="shared" si="85"/>
        <v>1</v>
      </c>
      <c r="D515" s="133"/>
      <c r="E515" s="123">
        <f t="shared" si="86"/>
        <v>1</v>
      </c>
      <c r="F515" s="133"/>
      <c r="G515" s="123">
        <f t="shared" si="87"/>
        <v>1</v>
      </c>
      <c r="H515" s="133"/>
      <c r="I515" s="123">
        <f t="shared" si="88"/>
        <v>1</v>
      </c>
      <c r="J515" s="133"/>
      <c r="K515" s="123">
        <f t="shared" si="89"/>
        <v>1</v>
      </c>
      <c r="L515" s="133"/>
      <c r="M515" s="123">
        <f t="shared" si="90"/>
        <v>1</v>
      </c>
      <c r="N515" s="133"/>
      <c r="O515" s="123">
        <f t="shared" si="91"/>
        <v>1</v>
      </c>
      <c r="P515" s="133"/>
      <c r="Q515" s="123">
        <f t="shared" si="92"/>
        <v>1</v>
      </c>
      <c r="R515" s="187">
        <f t="shared" si="93"/>
        <v>0</v>
      </c>
      <c r="S515" s="122">
        <f t="shared" si="94"/>
        <v>0</v>
      </c>
    </row>
    <row r="516" spans="1:19">
      <c r="A516" s="131"/>
      <c r="B516" s="132"/>
      <c r="C516" s="123">
        <f t="shared" si="85"/>
        <v>1</v>
      </c>
      <c r="D516" s="133"/>
      <c r="E516" s="123">
        <f t="shared" si="86"/>
        <v>1</v>
      </c>
      <c r="F516" s="133"/>
      <c r="G516" s="123">
        <f t="shared" si="87"/>
        <v>1</v>
      </c>
      <c r="H516" s="133"/>
      <c r="I516" s="123">
        <f t="shared" si="88"/>
        <v>1</v>
      </c>
      <c r="J516" s="133"/>
      <c r="K516" s="123">
        <f t="shared" si="89"/>
        <v>1</v>
      </c>
      <c r="L516" s="133"/>
      <c r="M516" s="123">
        <f t="shared" si="90"/>
        <v>1</v>
      </c>
      <c r="N516" s="133"/>
      <c r="O516" s="123">
        <f t="shared" si="91"/>
        <v>1</v>
      </c>
      <c r="P516" s="133"/>
      <c r="Q516" s="123">
        <f t="shared" si="92"/>
        <v>1</v>
      </c>
      <c r="R516" s="187">
        <f t="shared" si="93"/>
        <v>0</v>
      </c>
      <c r="S516" s="122">
        <f t="shared" si="94"/>
        <v>0</v>
      </c>
    </row>
    <row r="517" spans="1:19">
      <c r="A517" s="131"/>
      <c r="B517" s="132"/>
      <c r="C517" s="123">
        <f t="shared" si="85"/>
        <v>1</v>
      </c>
      <c r="D517" s="133"/>
      <c r="E517" s="123">
        <f t="shared" si="86"/>
        <v>1</v>
      </c>
      <c r="F517" s="133"/>
      <c r="G517" s="123">
        <f t="shared" si="87"/>
        <v>1</v>
      </c>
      <c r="H517" s="133"/>
      <c r="I517" s="123">
        <f t="shared" si="88"/>
        <v>1</v>
      </c>
      <c r="J517" s="133"/>
      <c r="K517" s="123">
        <f t="shared" si="89"/>
        <v>1</v>
      </c>
      <c r="L517" s="133"/>
      <c r="M517" s="123">
        <f t="shared" si="90"/>
        <v>1</v>
      </c>
      <c r="N517" s="133"/>
      <c r="O517" s="123">
        <f t="shared" si="91"/>
        <v>1</v>
      </c>
      <c r="P517" s="133"/>
      <c r="Q517" s="123">
        <f t="shared" si="92"/>
        <v>1</v>
      </c>
      <c r="R517" s="187">
        <f t="shared" si="93"/>
        <v>0</v>
      </c>
      <c r="S517" s="122">
        <f t="shared" si="94"/>
        <v>0</v>
      </c>
    </row>
    <row r="518" spans="1:19">
      <c r="A518" s="131"/>
      <c r="B518" s="132"/>
      <c r="C518" s="123">
        <f t="shared" si="85"/>
        <v>1</v>
      </c>
      <c r="D518" s="133"/>
      <c r="E518" s="123">
        <f t="shared" si="86"/>
        <v>1</v>
      </c>
      <c r="F518" s="133"/>
      <c r="G518" s="123">
        <f t="shared" si="87"/>
        <v>1</v>
      </c>
      <c r="H518" s="133"/>
      <c r="I518" s="123">
        <f t="shared" si="88"/>
        <v>1</v>
      </c>
      <c r="J518" s="133"/>
      <c r="K518" s="123">
        <f t="shared" si="89"/>
        <v>1</v>
      </c>
      <c r="L518" s="133"/>
      <c r="M518" s="123">
        <f t="shared" si="90"/>
        <v>1</v>
      </c>
      <c r="N518" s="133"/>
      <c r="O518" s="123">
        <f t="shared" si="91"/>
        <v>1</v>
      </c>
      <c r="P518" s="133"/>
      <c r="Q518" s="123">
        <f t="shared" si="92"/>
        <v>1</v>
      </c>
      <c r="R518" s="187">
        <f t="shared" si="93"/>
        <v>0</v>
      </c>
      <c r="S518" s="122">
        <f t="shared" si="94"/>
        <v>0</v>
      </c>
    </row>
    <row r="519" spans="1:19">
      <c r="A519" s="131"/>
      <c r="B519" s="132"/>
      <c r="C519" s="123">
        <f t="shared" si="85"/>
        <v>1</v>
      </c>
      <c r="D519" s="133"/>
      <c r="E519" s="123">
        <f t="shared" si="86"/>
        <v>1</v>
      </c>
      <c r="F519" s="133"/>
      <c r="G519" s="123">
        <f t="shared" si="87"/>
        <v>1</v>
      </c>
      <c r="H519" s="133"/>
      <c r="I519" s="123">
        <f t="shared" si="88"/>
        <v>1</v>
      </c>
      <c r="J519" s="133"/>
      <c r="K519" s="123">
        <f t="shared" si="89"/>
        <v>1</v>
      </c>
      <c r="L519" s="133"/>
      <c r="M519" s="123">
        <f t="shared" si="90"/>
        <v>1</v>
      </c>
      <c r="N519" s="133"/>
      <c r="O519" s="123">
        <f t="shared" si="91"/>
        <v>1</v>
      </c>
      <c r="P519" s="133"/>
      <c r="Q519" s="123">
        <f t="shared" si="92"/>
        <v>1</v>
      </c>
      <c r="R519" s="187">
        <f t="shared" si="93"/>
        <v>0</v>
      </c>
      <c r="S519" s="122">
        <f t="shared" si="94"/>
        <v>0</v>
      </c>
    </row>
    <row r="520" spans="1:19">
      <c r="A520" s="131"/>
      <c r="B520" s="132"/>
      <c r="C520" s="123">
        <f t="shared" si="85"/>
        <v>1</v>
      </c>
      <c r="D520" s="133"/>
      <c r="E520" s="123">
        <f t="shared" si="86"/>
        <v>1</v>
      </c>
      <c r="F520" s="133"/>
      <c r="G520" s="123">
        <f t="shared" si="87"/>
        <v>1</v>
      </c>
      <c r="H520" s="133"/>
      <c r="I520" s="123">
        <f t="shared" si="88"/>
        <v>1</v>
      </c>
      <c r="J520" s="133"/>
      <c r="K520" s="123">
        <f t="shared" si="89"/>
        <v>1</v>
      </c>
      <c r="L520" s="133"/>
      <c r="M520" s="123">
        <f t="shared" si="90"/>
        <v>1</v>
      </c>
      <c r="N520" s="133"/>
      <c r="O520" s="123">
        <f t="shared" si="91"/>
        <v>1</v>
      </c>
      <c r="P520" s="133"/>
      <c r="Q520" s="123">
        <f t="shared" si="92"/>
        <v>1</v>
      </c>
      <c r="R520" s="187">
        <f t="shared" si="93"/>
        <v>0</v>
      </c>
      <c r="S520" s="122">
        <f t="shared" si="94"/>
        <v>0</v>
      </c>
    </row>
    <row r="521" spans="1:19">
      <c r="A521" s="131"/>
      <c r="B521" s="132"/>
      <c r="C521" s="123">
        <f t="shared" si="85"/>
        <v>1</v>
      </c>
      <c r="D521" s="133"/>
      <c r="E521" s="123">
        <f t="shared" si="86"/>
        <v>1</v>
      </c>
      <c r="F521" s="133"/>
      <c r="G521" s="123">
        <f t="shared" si="87"/>
        <v>1</v>
      </c>
      <c r="H521" s="133"/>
      <c r="I521" s="123">
        <f t="shared" si="88"/>
        <v>1</v>
      </c>
      <c r="J521" s="133"/>
      <c r="K521" s="123">
        <f t="shared" si="89"/>
        <v>1</v>
      </c>
      <c r="L521" s="133"/>
      <c r="M521" s="123">
        <f t="shared" si="90"/>
        <v>1</v>
      </c>
      <c r="N521" s="133"/>
      <c r="O521" s="123">
        <f t="shared" si="91"/>
        <v>1</v>
      </c>
      <c r="P521" s="133"/>
      <c r="Q521" s="123">
        <f t="shared" si="92"/>
        <v>1</v>
      </c>
      <c r="R521" s="187">
        <f t="shared" si="93"/>
        <v>0</v>
      </c>
      <c r="S521" s="122">
        <f t="shared" si="94"/>
        <v>0</v>
      </c>
    </row>
    <row r="522" spans="1:19">
      <c r="A522" s="131"/>
      <c r="B522" s="132"/>
      <c r="C522" s="123">
        <f t="shared" si="85"/>
        <v>1</v>
      </c>
      <c r="D522" s="133"/>
      <c r="E522" s="123">
        <f t="shared" si="86"/>
        <v>1</v>
      </c>
      <c r="F522" s="133"/>
      <c r="G522" s="123">
        <f t="shared" si="87"/>
        <v>1</v>
      </c>
      <c r="H522" s="133"/>
      <c r="I522" s="123">
        <f t="shared" si="88"/>
        <v>1</v>
      </c>
      <c r="J522" s="133"/>
      <c r="K522" s="123">
        <f t="shared" si="89"/>
        <v>1</v>
      </c>
      <c r="L522" s="133"/>
      <c r="M522" s="123">
        <f t="shared" si="90"/>
        <v>1</v>
      </c>
      <c r="N522" s="133"/>
      <c r="O522" s="123">
        <f t="shared" si="91"/>
        <v>1</v>
      </c>
      <c r="P522" s="133"/>
      <c r="Q522" s="123">
        <f t="shared" si="92"/>
        <v>1</v>
      </c>
      <c r="R522" s="187">
        <f t="shared" si="93"/>
        <v>0</v>
      </c>
      <c r="S522" s="122">
        <f t="shared" si="94"/>
        <v>0</v>
      </c>
    </row>
    <row r="523" spans="1:19">
      <c r="A523" s="131"/>
      <c r="B523" s="132"/>
      <c r="C523" s="123">
        <f t="shared" si="85"/>
        <v>1</v>
      </c>
      <c r="D523" s="133"/>
      <c r="E523" s="123">
        <f t="shared" si="86"/>
        <v>1</v>
      </c>
      <c r="F523" s="133"/>
      <c r="G523" s="123">
        <f t="shared" si="87"/>
        <v>1</v>
      </c>
      <c r="H523" s="133"/>
      <c r="I523" s="123">
        <f t="shared" si="88"/>
        <v>1</v>
      </c>
      <c r="J523" s="133"/>
      <c r="K523" s="123">
        <f t="shared" si="89"/>
        <v>1</v>
      </c>
      <c r="L523" s="133"/>
      <c r="M523" s="123">
        <f t="shared" si="90"/>
        <v>1</v>
      </c>
      <c r="N523" s="133"/>
      <c r="O523" s="123">
        <f t="shared" si="91"/>
        <v>1</v>
      </c>
      <c r="P523" s="133"/>
      <c r="Q523" s="123">
        <f t="shared" si="92"/>
        <v>1</v>
      </c>
      <c r="R523" s="187">
        <f t="shared" si="93"/>
        <v>0</v>
      </c>
      <c r="S523" s="122">
        <f t="shared" si="94"/>
        <v>0</v>
      </c>
    </row>
    <row r="524" spans="1:19">
      <c r="A524" s="131"/>
      <c r="B524" s="132"/>
      <c r="C524" s="123">
        <f t="shared" si="85"/>
        <v>1</v>
      </c>
      <c r="D524" s="133"/>
      <c r="E524" s="123">
        <f t="shared" si="86"/>
        <v>1</v>
      </c>
      <c r="F524" s="133"/>
      <c r="G524" s="123">
        <f t="shared" si="87"/>
        <v>1</v>
      </c>
      <c r="H524" s="133"/>
      <c r="I524" s="123">
        <f t="shared" si="88"/>
        <v>1</v>
      </c>
      <c r="J524" s="133"/>
      <c r="K524" s="123">
        <f t="shared" si="89"/>
        <v>1</v>
      </c>
      <c r="L524" s="133"/>
      <c r="M524" s="123">
        <f t="shared" si="90"/>
        <v>1</v>
      </c>
      <c r="N524" s="133"/>
      <c r="O524" s="123">
        <f t="shared" si="91"/>
        <v>1</v>
      </c>
      <c r="P524" s="133"/>
      <c r="Q524" s="123">
        <f t="shared" si="92"/>
        <v>1</v>
      </c>
      <c r="R524" s="187">
        <f t="shared" si="93"/>
        <v>0</v>
      </c>
      <c r="S524" s="122">
        <f t="shared" si="94"/>
        <v>0</v>
      </c>
    </row>
    <row r="525" spans="1:19">
      <c r="A525" s="69"/>
      <c r="B525" s="193"/>
      <c r="C525" s="193"/>
      <c r="D525" s="193"/>
      <c r="E525" s="193"/>
      <c r="F525" s="193"/>
      <c r="G525" s="193"/>
      <c r="H525" s="193"/>
      <c r="I525" s="193"/>
      <c r="J525" s="193"/>
      <c r="K525" s="193"/>
      <c r="L525" s="193"/>
      <c r="M525" s="193"/>
      <c r="N525" s="193"/>
      <c r="O525" s="193"/>
      <c r="P525" s="193"/>
      <c r="Q525" s="193"/>
      <c r="R525" s="194"/>
      <c r="S525" s="69"/>
    </row>
    <row r="526" spans="1:19">
      <c r="A526" s="69"/>
      <c r="B526" s="193"/>
      <c r="C526" s="193"/>
      <c r="D526" s="193"/>
      <c r="E526" s="193"/>
      <c r="F526" s="193"/>
      <c r="G526" s="193"/>
      <c r="H526" s="193"/>
      <c r="I526" s="193"/>
      <c r="J526" s="193"/>
      <c r="K526" s="193"/>
      <c r="L526" s="193"/>
      <c r="M526" s="193"/>
      <c r="N526" s="193"/>
      <c r="O526" s="193"/>
      <c r="P526" s="193"/>
      <c r="Q526" s="193"/>
      <c r="R526" s="194"/>
      <c r="S526" s="69"/>
    </row>
    <row r="527" spans="1:19">
      <c r="A527" s="69"/>
      <c r="B527" s="193"/>
      <c r="C527" s="193"/>
      <c r="D527" s="193"/>
      <c r="E527" s="193"/>
      <c r="F527" s="193"/>
      <c r="G527" s="193"/>
      <c r="H527" s="193"/>
      <c r="I527" s="193"/>
      <c r="J527" s="193"/>
      <c r="K527" s="193"/>
      <c r="L527" s="193"/>
      <c r="M527" s="193"/>
      <c r="N527" s="193"/>
      <c r="O527" s="193"/>
      <c r="P527" s="193"/>
      <c r="Q527" s="193"/>
      <c r="R527" s="194"/>
      <c r="S527" s="69"/>
    </row>
    <row r="528" spans="1:19">
      <c r="A528" s="69"/>
      <c r="B528" s="193"/>
      <c r="C528" s="193"/>
      <c r="D528" s="193"/>
      <c r="E528" s="193"/>
      <c r="F528" s="193"/>
      <c r="G528" s="193"/>
      <c r="H528" s="193"/>
      <c r="I528" s="193"/>
      <c r="J528" s="193"/>
      <c r="K528" s="193"/>
      <c r="L528" s="193"/>
      <c r="M528" s="193"/>
      <c r="N528" s="193"/>
      <c r="O528" s="193"/>
      <c r="P528" s="193"/>
      <c r="Q528" s="193"/>
      <c r="R528" s="194"/>
      <c r="S528" s="69"/>
    </row>
    <row r="529" spans="1:19">
      <c r="A529" s="69"/>
      <c r="B529" s="193"/>
      <c r="C529" s="193"/>
      <c r="D529" s="193"/>
      <c r="E529" s="193"/>
      <c r="F529" s="193"/>
      <c r="G529" s="193"/>
      <c r="H529" s="193"/>
      <c r="I529" s="193"/>
      <c r="J529" s="193"/>
      <c r="K529" s="193"/>
      <c r="L529" s="193"/>
      <c r="M529" s="193"/>
      <c r="N529" s="193"/>
      <c r="O529" s="193"/>
      <c r="P529" s="193"/>
      <c r="Q529" s="193"/>
      <c r="R529" s="194"/>
      <c r="S529" s="69"/>
    </row>
    <row r="530" spans="1:19">
      <c r="A530" s="69"/>
      <c r="B530" s="193"/>
      <c r="C530" s="193"/>
      <c r="D530" s="193"/>
      <c r="E530" s="193"/>
      <c r="F530" s="193"/>
      <c r="G530" s="193"/>
      <c r="H530" s="193"/>
      <c r="I530" s="193"/>
      <c r="J530" s="193"/>
      <c r="K530" s="193"/>
      <c r="L530" s="193"/>
      <c r="M530" s="193"/>
      <c r="N530" s="193"/>
      <c r="O530" s="193"/>
      <c r="P530" s="193"/>
      <c r="Q530" s="193"/>
      <c r="R530" s="194"/>
      <c r="S530" s="69"/>
    </row>
    <row r="531" spans="1:19">
      <c r="A531" s="69"/>
      <c r="B531" s="193"/>
      <c r="C531" s="193"/>
      <c r="D531" s="193"/>
      <c r="E531" s="193"/>
      <c r="F531" s="193"/>
      <c r="G531" s="193"/>
      <c r="H531" s="193"/>
      <c r="I531" s="193"/>
      <c r="J531" s="193"/>
      <c r="K531" s="193"/>
      <c r="L531" s="193"/>
      <c r="M531" s="193"/>
      <c r="N531" s="193"/>
      <c r="O531" s="193"/>
      <c r="P531" s="193"/>
      <c r="Q531" s="193"/>
      <c r="R531" s="194"/>
      <c r="S531" s="69"/>
    </row>
    <row r="532" spans="1:19">
      <c r="A532" s="69"/>
      <c r="B532" s="193"/>
      <c r="C532" s="193"/>
      <c r="D532" s="193"/>
      <c r="E532" s="193"/>
      <c r="F532" s="193"/>
      <c r="G532" s="193"/>
      <c r="H532" s="193"/>
      <c r="I532" s="193"/>
      <c r="J532" s="193"/>
      <c r="K532" s="193"/>
      <c r="L532" s="193"/>
      <c r="M532" s="193"/>
      <c r="N532" s="193"/>
      <c r="O532" s="193"/>
      <c r="P532" s="193"/>
      <c r="Q532" s="193"/>
      <c r="R532" s="194"/>
      <c r="S532" s="69"/>
    </row>
    <row r="533" spans="1:19">
      <c r="A533" s="69"/>
      <c r="B533" s="193"/>
      <c r="C533" s="193"/>
      <c r="D533" s="193"/>
      <c r="E533" s="193"/>
      <c r="F533" s="193"/>
      <c r="G533" s="193"/>
      <c r="H533" s="193"/>
      <c r="I533" s="193"/>
      <c r="J533" s="193"/>
      <c r="K533" s="193"/>
      <c r="L533" s="193"/>
      <c r="M533" s="193"/>
      <c r="N533" s="193"/>
      <c r="O533" s="193"/>
      <c r="P533" s="193"/>
      <c r="Q533" s="193"/>
      <c r="R533" s="194"/>
      <c r="S533" s="69"/>
    </row>
    <row r="534" spans="1:19">
      <c r="A534" s="69"/>
      <c r="B534" s="193"/>
      <c r="C534" s="193"/>
      <c r="D534" s="193"/>
      <c r="E534" s="193"/>
      <c r="F534" s="193"/>
      <c r="G534" s="193"/>
      <c r="H534" s="193"/>
      <c r="I534" s="193"/>
      <c r="J534" s="193"/>
      <c r="K534" s="193"/>
      <c r="L534" s="193"/>
      <c r="M534" s="193"/>
      <c r="N534" s="193"/>
      <c r="O534" s="193"/>
      <c r="P534" s="193"/>
      <c r="Q534" s="193"/>
      <c r="R534" s="194"/>
      <c r="S534" s="69"/>
    </row>
    <row r="535" spans="1:19">
      <c r="A535" s="69"/>
      <c r="B535" s="193"/>
      <c r="C535" s="193"/>
      <c r="D535" s="193"/>
      <c r="E535" s="193"/>
      <c r="F535" s="193"/>
      <c r="G535" s="193"/>
      <c r="H535" s="193"/>
      <c r="I535" s="193"/>
      <c r="J535" s="193"/>
      <c r="K535" s="193"/>
      <c r="L535" s="193"/>
      <c r="M535" s="193"/>
      <c r="N535" s="193"/>
      <c r="O535" s="193"/>
      <c r="P535" s="193"/>
      <c r="Q535" s="193"/>
      <c r="R535" s="194"/>
      <c r="S535" s="69"/>
    </row>
    <row r="536" spans="1:19">
      <c r="A536" s="69"/>
      <c r="B536" s="193"/>
      <c r="C536" s="193"/>
      <c r="D536" s="193"/>
      <c r="E536" s="193"/>
      <c r="F536" s="193"/>
      <c r="G536" s="193"/>
      <c r="H536" s="193"/>
      <c r="I536" s="193"/>
      <c r="J536" s="193"/>
      <c r="K536" s="193"/>
      <c r="L536" s="193"/>
      <c r="M536" s="193"/>
      <c r="N536" s="193"/>
      <c r="O536" s="193"/>
      <c r="P536" s="193"/>
      <c r="Q536" s="193"/>
      <c r="R536" s="194"/>
      <c r="S536" s="69"/>
    </row>
    <row r="537" spans="1:19">
      <c r="A537" s="69"/>
      <c r="B537" s="193"/>
      <c r="C537" s="193"/>
      <c r="D537" s="193"/>
      <c r="E537" s="193"/>
      <c r="F537" s="193"/>
      <c r="G537" s="193"/>
      <c r="H537" s="193"/>
      <c r="I537" s="193"/>
      <c r="J537" s="193"/>
      <c r="K537" s="193"/>
      <c r="L537" s="193"/>
      <c r="M537" s="193"/>
      <c r="N537" s="193"/>
      <c r="O537" s="193"/>
      <c r="P537" s="193"/>
      <c r="Q537" s="193"/>
      <c r="R537" s="194"/>
      <c r="S537" s="69"/>
    </row>
    <row r="538" spans="1:19">
      <c r="A538" s="69"/>
      <c r="B538" s="193"/>
      <c r="C538" s="193"/>
      <c r="D538" s="193"/>
      <c r="E538" s="193"/>
      <c r="F538" s="193"/>
      <c r="G538" s="193"/>
      <c r="H538" s="193"/>
      <c r="I538" s="193"/>
      <c r="J538" s="193"/>
      <c r="K538" s="193"/>
      <c r="L538" s="193"/>
      <c r="M538" s="193"/>
      <c r="N538" s="193"/>
      <c r="O538" s="193"/>
      <c r="P538" s="193"/>
      <c r="Q538" s="193"/>
      <c r="R538" s="194"/>
      <c r="S538" s="69"/>
    </row>
    <row r="539" spans="1:19">
      <c r="A539" s="69"/>
      <c r="B539" s="193"/>
      <c r="C539" s="193"/>
      <c r="D539" s="193"/>
      <c r="E539" s="193"/>
      <c r="F539" s="193"/>
      <c r="G539" s="193"/>
      <c r="H539" s="193"/>
      <c r="I539" s="193"/>
      <c r="J539" s="193"/>
      <c r="K539" s="193"/>
      <c r="L539" s="193"/>
      <c r="M539" s="193"/>
      <c r="N539" s="193"/>
      <c r="O539" s="193"/>
      <c r="P539" s="193"/>
      <c r="Q539" s="193"/>
      <c r="R539" s="194"/>
      <c r="S539" s="69"/>
    </row>
    <row r="540" spans="1:19">
      <c r="A540" s="69"/>
      <c r="B540" s="193"/>
      <c r="C540" s="193"/>
      <c r="D540" s="193"/>
      <c r="E540" s="193"/>
      <c r="F540" s="193"/>
      <c r="G540" s="193"/>
      <c r="H540" s="193"/>
      <c r="I540" s="193"/>
      <c r="J540" s="193"/>
      <c r="K540" s="193"/>
      <c r="L540" s="193"/>
      <c r="M540" s="193"/>
      <c r="N540" s="193"/>
      <c r="O540" s="193"/>
      <c r="P540" s="193"/>
      <c r="Q540" s="193"/>
      <c r="R540" s="194"/>
      <c r="S540" s="69"/>
    </row>
    <row r="541" spans="1:19">
      <c r="A541" s="69"/>
      <c r="B541" s="193"/>
      <c r="C541" s="193"/>
      <c r="D541" s="193"/>
      <c r="E541" s="193"/>
      <c r="F541" s="193"/>
      <c r="G541" s="193"/>
      <c r="H541" s="193"/>
      <c r="I541" s="193"/>
      <c r="J541" s="193"/>
      <c r="K541" s="193"/>
      <c r="L541" s="193"/>
      <c r="M541" s="193"/>
      <c r="N541" s="193"/>
      <c r="O541" s="193"/>
      <c r="P541" s="193"/>
      <c r="Q541" s="193"/>
      <c r="R541" s="194"/>
      <c r="S541" s="69"/>
    </row>
    <row r="542" spans="1:19">
      <c r="A542" s="69"/>
      <c r="B542" s="193"/>
      <c r="C542" s="193"/>
      <c r="D542" s="193"/>
      <c r="E542" s="193"/>
      <c r="F542" s="193"/>
      <c r="G542" s="193"/>
      <c r="H542" s="193"/>
      <c r="I542" s="193"/>
      <c r="J542" s="193"/>
      <c r="K542" s="193"/>
      <c r="L542" s="193"/>
      <c r="M542" s="193"/>
      <c r="N542" s="193"/>
      <c r="O542" s="193"/>
      <c r="P542" s="193"/>
      <c r="Q542" s="193"/>
      <c r="R542" s="194"/>
      <c r="S542" s="69"/>
    </row>
    <row r="543" spans="1:19">
      <c r="A543" s="69"/>
      <c r="B543" s="193"/>
      <c r="C543" s="193"/>
      <c r="D543" s="193"/>
      <c r="E543" s="193"/>
      <c r="F543" s="193"/>
      <c r="G543" s="193"/>
      <c r="H543" s="193"/>
      <c r="I543" s="193"/>
      <c r="J543" s="193"/>
      <c r="K543" s="193"/>
      <c r="L543" s="193"/>
      <c r="M543" s="193"/>
      <c r="N543" s="193"/>
      <c r="O543" s="193"/>
      <c r="P543" s="193"/>
      <c r="Q543" s="193"/>
      <c r="R543" s="194"/>
      <c r="S543" s="69"/>
    </row>
    <row r="544" spans="1:19">
      <c r="A544" s="69"/>
      <c r="B544" s="193"/>
      <c r="C544" s="193"/>
      <c r="D544" s="193"/>
      <c r="E544" s="193"/>
      <c r="F544" s="193"/>
      <c r="G544" s="193"/>
      <c r="H544" s="193"/>
      <c r="I544" s="193"/>
      <c r="J544" s="193"/>
      <c r="K544" s="193"/>
      <c r="L544" s="193"/>
      <c r="M544" s="193"/>
      <c r="N544" s="193"/>
      <c r="O544" s="193"/>
      <c r="P544" s="193"/>
      <c r="Q544" s="193"/>
      <c r="R544" s="194"/>
      <c r="S544" s="69"/>
    </row>
    <row r="545" spans="1:19">
      <c r="A545" s="69"/>
      <c r="B545" s="193"/>
      <c r="C545" s="193"/>
      <c r="D545" s="193"/>
      <c r="E545" s="193"/>
      <c r="F545" s="193"/>
      <c r="G545" s="193"/>
      <c r="H545" s="193"/>
      <c r="I545" s="193"/>
      <c r="J545" s="193"/>
      <c r="K545" s="193"/>
      <c r="L545" s="193"/>
      <c r="M545" s="193"/>
      <c r="N545" s="193"/>
      <c r="O545" s="193"/>
      <c r="P545" s="193"/>
      <c r="Q545" s="193"/>
      <c r="R545" s="194"/>
      <c r="S545" s="69"/>
    </row>
    <row r="546" spans="1:19">
      <c r="A546" s="69"/>
      <c r="B546" s="193"/>
      <c r="C546" s="193"/>
      <c r="D546" s="193"/>
      <c r="E546" s="193"/>
      <c r="F546" s="193"/>
      <c r="G546" s="193"/>
      <c r="H546" s="193"/>
      <c r="I546" s="193"/>
      <c r="J546" s="193"/>
      <c r="K546" s="193"/>
      <c r="L546" s="193"/>
      <c r="M546" s="193"/>
      <c r="N546" s="193"/>
      <c r="O546" s="193"/>
      <c r="P546" s="193"/>
      <c r="Q546" s="193"/>
      <c r="R546" s="194"/>
      <c r="S546" s="69"/>
    </row>
    <row r="547" spans="1:19">
      <c r="A547" s="69"/>
      <c r="B547" s="193"/>
      <c r="C547" s="193"/>
      <c r="D547" s="193"/>
      <c r="E547" s="193"/>
      <c r="F547" s="193"/>
      <c r="G547" s="193"/>
      <c r="H547" s="193"/>
      <c r="I547" s="193"/>
      <c r="J547" s="193"/>
      <c r="K547" s="193"/>
      <c r="L547" s="193"/>
      <c r="M547" s="193"/>
      <c r="N547" s="193"/>
      <c r="O547" s="193"/>
      <c r="P547" s="193"/>
      <c r="Q547" s="193"/>
      <c r="R547" s="194"/>
      <c r="S547" s="69"/>
    </row>
    <row r="548" spans="1:19">
      <c r="A548" s="69"/>
      <c r="B548" s="193"/>
      <c r="C548" s="193"/>
      <c r="D548" s="193"/>
      <c r="E548" s="193"/>
      <c r="F548" s="193"/>
      <c r="G548" s="193"/>
      <c r="H548" s="193"/>
      <c r="I548" s="193"/>
      <c r="J548" s="193"/>
      <c r="K548" s="193"/>
      <c r="L548" s="193"/>
      <c r="M548" s="193"/>
      <c r="N548" s="193"/>
      <c r="O548" s="193"/>
      <c r="P548" s="193"/>
      <c r="Q548" s="193"/>
      <c r="R548" s="194"/>
      <c r="S548" s="69"/>
    </row>
    <row r="549" spans="1:19">
      <c r="A549" s="69"/>
      <c r="B549" s="193"/>
      <c r="C549" s="193"/>
      <c r="D549" s="193"/>
      <c r="E549" s="193"/>
      <c r="F549" s="193"/>
      <c r="G549" s="193"/>
      <c r="H549" s="193"/>
      <c r="I549" s="193"/>
      <c r="J549" s="193"/>
      <c r="K549" s="193"/>
      <c r="L549" s="193"/>
      <c r="M549" s="193"/>
      <c r="N549" s="193"/>
      <c r="O549" s="193"/>
      <c r="P549" s="193"/>
      <c r="Q549" s="193"/>
      <c r="R549" s="194"/>
      <c r="S549" s="69"/>
    </row>
    <row r="550" spans="1:19">
      <c r="A550" s="69"/>
      <c r="B550" s="193"/>
      <c r="C550" s="193"/>
      <c r="D550" s="193"/>
      <c r="E550" s="193"/>
      <c r="F550" s="193"/>
      <c r="G550" s="193"/>
      <c r="H550" s="193"/>
      <c r="I550" s="193"/>
      <c r="J550" s="193"/>
      <c r="K550" s="193"/>
      <c r="L550" s="193"/>
      <c r="M550" s="193"/>
      <c r="N550" s="193"/>
      <c r="O550" s="193"/>
      <c r="P550" s="193"/>
      <c r="Q550" s="193"/>
      <c r="R550" s="194"/>
      <c r="S550" s="69"/>
    </row>
    <row r="551" spans="1:19">
      <c r="A551" s="69"/>
      <c r="B551" s="193"/>
      <c r="C551" s="193"/>
      <c r="D551" s="193"/>
      <c r="E551" s="193"/>
      <c r="F551" s="193"/>
      <c r="G551" s="193"/>
      <c r="H551" s="193"/>
      <c r="I551" s="193"/>
      <c r="J551" s="193"/>
      <c r="K551" s="193"/>
      <c r="L551" s="193"/>
      <c r="M551" s="193"/>
      <c r="N551" s="193"/>
      <c r="O551" s="193"/>
      <c r="P551" s="193"/>
      <c r="Q551" s="193"/>
      <c r="R551" s="194"/>
      <c r="S551" s="69"/>
    </row>
    <row r="552" spans="1:19">
      <c r="A552" s="69"/>
      <c r="B552" s="193"/>
      <c r="C552" s="193"/>
      <c r="D552" s="193"/>
      <c r="E552" s="193"/>
      <c r="F552" s="193"/>
      <c r="G552" s="193"/>
      <c r="H552" s="193"/>
      <c r="I552" s="193"/>
      <c r="J552" s="193"/>
      <c r="K552" s="193"/>
      <c r="L552" s="193"/>
      <c r="M552" s="193"/>
      <c r="N552" s="193"/>
      <c r="O552" s="193"/>
      <c r="P552" s="193"/>
      <c r="Q552" s="193"/>
      <c r="R552" s="194"/>
      <c r="S552" s="69"/>
    </row>
    <row r="553" spans="1:19">
      <c r="A553" s="69"/>
      <c r="B553" s="193"/>
      <c r="C553" s="193"/>
      <c r="D553" s="193"/>
      <c r="E553" s="193"/>
      <c r="F553" s="193"/>
      <c r="G553" s="193"/>
      <c r="H553" s="193"/>
      <c r="I553" s="193"/>
      <c r="J553" s="193"/>
      <c r="K553" s="193"/>
      <c r="L553" s="193"/>
      <c r="M553" s="193"/>
      <c r="N553" s="193"/>
      <c r="O553" s="193"/>
      <c r="P553" s="193"/>
      <c r="Q553" s="193"/>
      <c r="R553" s="194"/>
      <c r="S553" s="69"/>
    </row>
    <row r="554" spans="1:19">
      <c r="A554" s="69"/>
      <c r="B554" s="193"/>
      <c r="C554" s="193"/>
      <c r="D554" s="193"/>
      <c r="E554" s="193"/>
      <c r="F554" s="193"/>
      <c r="G554" s="193"/>
      <c r="H554" s="193"/>
      <c r="I554" s="193"/>
      <c r="J554" s="193"/>
      <c r="K554" s="193"/>
      <c r="L554" s="193"/>
      <c r="M554" s="193"/>
      <c r="N554" s="193"/>
      <c r="O554" s="193"/>
      <c r="P554" s="193"/>
      <c r="Q554" s="193"/>
      <c r="R554" s="194"/>
      <c r="S554" s="69"/>
    </row>
    <row r="555" spans="1:19">
      <c r="A555" s="69"/>
      <c r="B555" s="193"/>
      <c r="C555" s="193"/>
      <c r="D555" s="193"/>
      <c r="E555" s="193"/>
      <c r="F555" s="193"/>
      <c r="G555" s="193"/>
      <c r="H555" s="193"/>
      <c r="I555" s="193"/>
      <c r="J555" s="193"/>
      <c r="K555" s="193"/>
      <c r="L555" s="193"/>
      <c r="M555" s="193"/>
      <c r="N555" s="193"/>
      <c r="O555" s="193"/>
      <c r="P555" s="193"/>
      <c r="Q555" s="193"/>
      <c r="R555" s="194"/>
      <c r="S555" s="69"/>
    </row>
    <row r="556" spans="1:19">
      <c r="A556" s="69"/>
      <c r="B556" s="193"/>
      <c r="C556" s="193"/>
      <c r="D556" s="193"/>
      <c r="E556" s="193"/>
      <c r="F556" s="193"/>
      <c r="G556" s="193"/>
      <c r="H556" s="193"/>
      <c r="I556" s="193"/>
      <c r="J556" s="193"/>
      <c r="K556" s="193"/>
      <c r="L556" s="193"/>
      <c r="M556" s="193"/>
      <c r="N556" s="193"/>
      <c r="O556" s="193"/>
      <c r="P556" s="193"/>
      <c r="Q556" s="193"/>
      <c r="R556" s="194"/>
      <c r="S556" s="69"/>
    </row>
    <row r="557" spans="1:19">
      <c r="A557" s="69"/>
      <c r="B557" s="193"/>
      <c r="C557" s="193"/>
      <c r="D557" s="193"/>
      <c r="E557" s="193"/>
      <c r="F557" s="193"/>
      <c r="G557" s="193"/>
      <c r="H557" s="193"/>
      <c r="I557" s="193"/>
      <c r="J557" s="193"/>
      <c r="K557" s="193"/>
      <c r="L557" s="193"/>
      <c r="M557" s="193"/>
      <c r="N557" s="193"/>
      <c r="O557" s="193"/>
      <c r="P557" s="193"/>
      <c r="Q557" s="193"/>
      <c r="R557" s="194"/>
      <c r="S557" s="69"/>
    </row>
    <row r="558" spans="1:19">
      <c r="A558" s="69"/>
      <c r="B558" s="193"/>
      <c r="C558" s="193"/>
      <c r="D558" s="193"/>
      <c r="E558" s="193"/>
      <c r="F558" s="193"/>
      <c r="G558" s="193"/>
      <c r="H558" s="193"/>
      <c r="I558" s="193"/>
      <c r="J558" s="193"/>
      <c r="K558" s="193"/>
      <c r="L558" s="193"/>
      <c r="M558" s="193"/>
      <c r="N558" s="193"/>
      <c r="O558" s="193"/>
      <c r="P558" s="193"/>
      <c r="Q558" s="193"/>
      <c r="R558" s="194"/>
      <c r="S558" s="69"/>
    </row>
    <row r="559" spans="1:19">
      <c r="A559" s="69"/>
      <c r="B559" s="193"/>
      <c r="C559" s="193"/>
      <c r="D559" s="193"/>
      <c r="E559" s="193"/>
      <c r="F559" s="193"/>
      <c r="G559" s="193"/>
      <c r="H559" s="193"/>
      <c r="I559" s="193"/>
      <c r="J559" s="193"/>
      <c r="K559" s="193"/>
      <c r="L559" s="193"/>
      <c r="M559" s="193"/>
      <c r="N559" s="193"/>
      <c r="O559" s="193"/>
      <c r="P559" s="193"/>
      <c r="Q559" s="193"/>
      <c r="R559" s="194"/>
      <c r="S559" s="69"/>
    </row>
    <row r="560" spans="1:19">
      <c r="A560" s="69"/>
      <c r="B560" s="193"/>
      <c r="C560" s="193"/>
      <c r="D560" s="193"/>
      <c r="E560" s="193"/>
      <c r="F560" s="193"/>
      <c r="G560" s="193"/>
      <c r="H560" s="193"/>
      <c r="I560" s="193"/>
      <c r="J560" s="193"/>
      <c r="K560" s="193"/>
      <c r="L560" s="193"/>
      <c r="M560" s="193"/>
      <c r="N560" s="193"/>
      <c r="O560" s="193"/>
      <c r="P560" s="193"/>
      <c r="Q560" s="193"/>
      <c r="R560" s="194"/>
      <c r="S560" s="69"/>
    </row>
    <row r="561" spans="1:19">
      <c r="A561" s="69"/>
      <c r="B561" s="193"/>
      <c r="C561" s="193"/>
      <c r="D561" s="193"/>
      <c r="E561" s="193"/>
      <c r="F561" s="193"/>
      <c r="G561" s="193"/>
      <c r="H561" s="193"/>
      <c r="I561" s="193"/>
      <c r="J561" s="193"/>
      <c r="K561" s="193"/>
      <c r="L561" s="193"/>
      <c r="M561" s="193"/>
      <c r="N561" s="193"/>
      <c r="O561" s="193"/>
      <c r="P561" s="193"/>
      <c r="Q561" s="193"/>
      <c r="R561" s="194"/>
      <c r="S561" s="69"/>
    </row>
    <row r="562" spans="1:19">
      <c r="A562" s="69"/>
      <c r="B562" s="193"/>
      <c r="C562" s="193"/>
      <c r="D562" s="193"/>
      <c r="E562" s="193"/>
      <c r="F562" s="193"/>
      <c r="G562" s="193"/>
      <c r="H562" s="193"/>
      <c r="I562" s="193"/>
      <c r="J562" s="193"/>
      <c r="K562" s="193"/>
      <c r="L562" s="193"/>
      <c r="M562" s="193"/>
      <c r="N562" s="193"/>
      <c r="O562" s="193"/>
      <c r="P562" s="193"/>
      <c r="Q562" s="193"/>
      <c r="R562" s="194"/>
      <c r="S562" s="69"/>
    </row>
    <row r="563" spans="1:19">
      <c r="A563" s="69"/>
      <c r="B563" s="193"/>
      <c r="C563" s="193"/>
      <c r="D563" s="193"/>
      <c r="E563" s="193"/>
      <c r="F563" s="193"/>
      <c r="G563" s="193"/>
      <c r="H563" s="193"/>
      <c r="I563" s="193"/>
      <c r="J563" s="193"/>
      <c r="K563" s="193"/>
      <c r="L563" s="193"/>
      <c r="M563" s="193"/>
      <c r="N563" s="193"/>
      <c r="O563" s="193"/>
      <c r="P563" s="193"/>
      <c r="Q563" s="193"/>
      <c r="R563" s="194"/>
      <c r="S563" s="69"/>
    </row>
    <row r="564" spans="1:19">
      <c r="A564" s="69"/>
      <c r="B564" s="193"/>
      <c r="C564" s="193"/>
      <c r="D564" s="193"/>
      <c r="E564" s="193"/>
      <c r="F564" s="193"/>
      <c r="G564" s="193"/>
      <c r="H564" s="193"/>
      <c r="I564" s="193"/>
      <c r="J564" s="193"/>
      <c r="K564" s="193"/>
      <c r="L564" s="193"/>
      <c r="M564" s="193"/>
      <c r="N564" s="193"/>
      <c r="O564" s="193"/>
      <c r="P564" s="193"/>
      <c r="Q564" s="193"/>
      <c r="R564" s="194"/>
      <c r="S564" s="69"/>
    </row>
    <row r="565" spans="1:19">
      <c r="A565" s="69"/>
      <c r="B565" s="193"/>
      <c r="C565" s="193"/>
      <c r="D565" s="193"/>
      <c r="E565" s="193"/>
      <c r="F565" s="193"/>
      <c r="G565" s="193"/>
      <c r="H565" s="193"/>
      <c r="I565" s="193"/>
      <c r="J565" s="193"/>
      <c r="K565" s="193"/>
      <c r="L565" s="193"/>
      <c r="M565" s="193"/>
      <c r="N565" s="193"/>
      <c r="O565" s="193"/>
      <c r="P565" s="193"/>
      <c r="Q565" s="193"/>
      <c r="R565" s="194"/>
      <c r="S565" s="69"/>
    </row>
    <row r="566" spans="1:19">
      <c r="A566" s="69"/>
      <c r="B566" s="193"/>
      <c r="C566" s="193"/>
      <c r="D566" s="193"/>
      <c r="E566" s="193"/>
      <c r="F566" s="193"/>
      <c r="G566" s="193"/>
      <c r="H566" s="193"/>
      <c r="I566" s="193"/>
      <c r="J566" s="193"/>
      <c r="K566" s="193"/>
      <c r="L566" s="193"/>
      <c r="M566" s="193"/>
      <c r="N566" s="193"/>
      <c r="O566" s="193"/>
      <c r="P566" s="193"/>
      <c r="Q566" s="193"/>
      <c r="R566" s="194"/>
      <c r="S566" s="69"/>
    </row>
    <row r="567" spans="1:19">
      <c r="A567" s="69"/>
      <c r="B567" s="193"/>
      <c r="C567" s="193"/>
      <c r="D567" s="193"/>
      <c r="E567" s="193"/>
      <c r="F567" s="193"/>
      <c r="G567" s="193"/>
      <c r="H567" s="193"/>
      <c r="I567" s="193"/>
      <c r="J567" s="193"/>
      <c r="K567" s="193"/>
      <c r="L567" s="193"/>
      <c r="M567" s="193"/>
      <c r="N567" s="193"/>
      <c r="O567" s="193"/>
      <c r="P567" s="193"/>
      <c r="Q567" s="193"/>
      <c r="R567" s="194"/>
      <c r="S567" s="69"/>
    </row>
    <row r="568" spans="1:19">
      <c r="A568" s="69"/>
      <c r="B568" s="193"/>
      <c r="C568" s="193"/>
      <c r="D568" s="193"/>
      <c r="E568" s="193"/>
      <c r="F568" s="193"/>
      <c r="G568" s="193"/>
      <c r="H568" s="193"/>
      <c r="I568" s="193"/>
      <c r="J568" s="193"/>
      <c r="K568" s="193"/>
      <c r="L568" s="193"/>
      <c r="M568" s="193"/>
      <c r="N568" s="193"/>
      <c r="O568" s="193"/>
      <c r="P568" s="193"/>
      <c r="Q568" s="193"/>
      <c r="R568" s="194"/>
      <c r="S568" s="69"/>
    </row>
    <row r="569" spans="1:19">
      <c r="A569" s="69"/>
      <c r="B569" s="193"/>
      <c r="C569" s="193"/>
      <c r="D569" s="193"/>
      <c r="E569" s="193"/>
      <c r="F569" s="193"/>
      <c r="G569" s="193"/>
      <c r="H569" s="193"/>
      <c r="I569" s="193"/>
      <c r="J569" s="193"/>
      <c r="K569" s="193"/>
      <c r="L569" s="193"/>
      <c r="M569" s="193"/>
      <c r="N569" s="193"/>
      <c r="O569" s="193"/>
      <c r="P569" s="193"/>
      <c r="Q569" s="193"/>
      <c r="R569" s="194"/>
      <c r="S569" s="69"/>
    </row>
    <row r="570" spans="1:19">
      <c r="A570" s="69"/>
      <c r="B570" s="193"/>
      <c r="C570" s="193"/>
      <c r="D570" s="193"/>
      <c r="E570" s="193"/>
      <c r="F570" s="193"/>
      <c r="G570" s="193"/>
      <c r="H570" s="193"/>
      <c r="I570" s="193"/>
      <c r="J570" s="193"/>
      <c r="K570" s="193"/>
      <c r="L570" s="193"/>
      <c r="M570" s="193"/>
      <c r="N570" s="193"/>
      <c r="O570" s="193"/>
      <c r="P570" s="193"/>
      <c r="Q570" s="193"/>
      <c r="R570" s="194"/>
      <c r="S570" s="69"/>
    </row>
    <row r="571" spans="1:19">
      <c r="A571" s="69"/>
      <c r="B571" s="193"/>
      <c r="C571" s="193"/>
      <c r="D571" s="193"/>
      <c r="E571" s="193"/>
      <c r="F571" s="193"/>
      <c r="G571" s="193"/>
      <c r="H571" s="193"/>
      <c r="I571" s="193"/>
      <c r="J571" s="193"/>
      <c r="K571" s="193"/>
      <c r="L571" s="193"/>
      <c r="M571" s="193"/>
      <c r="N571" s="193"/>
      <c r="O571" s="193"/>
      <c r="P571" s="193"/>
      <c r="Q571" s="193"/>
      <c r="R571" s="194"/>
      <c r="S571" s="69"/>
    </row>
    <row r="572" spans="1:19">
      <c r="A572" s="69"/>
      <c r="B572" s="193"/>
      <c r="C572" s="193"/>
      <c r="D572" s="193"/>
      <c r="E572" s="193"/>
      <c r="F572" s="193"/>
      <c r="G572" s="193"/>
      <c r="H572" s="193"/>
      <c r="I572" s="193"/>
      <c r="J572" s="193"/>
      <c r="K572" s="193"/>
      <c r="L572" s="193"/>
      <c r="M572" s="193"/>
      <c r="N572" s="193"/>
      <c r="O572" s="193"/>
      <c r="P572" s="193"/>
      <c r="Q572" s="193"/>
      <c r="R572" s="194"/>
      <c r="S572" s="69"/>
    </row>
    <row r="573" spans="1:19">
      <c r="A573" s="69"/>
      <c r="B573" s="193"/>
      <c r="C573" s="193"/>
      <c r="D573" s="193"/>
      <c r="E573" s="193"/>
      <c r="F573" s="193"/>
      <c r="G573" s="193"/>
      <c r="H573" s="193"/>
      <c r="I573" s="193"/>
      <c r="J573" s="193"/>
      <c r="K573" s="193"/>
      <c r="L573" s="193"/>
      <c r="M573" s="193"/>
      <c r="N573" s="193"/>
      <c r="O573" s="193"/>
      <c r="P573" s="193"/>
      <c r="Q573" s="193"/>
      <c r="R573" s="194"/>
      <c r="S573" s="69"/>
    </row>
    <row r="574" spans="1:19">
      <c r="A574" s="69"/>
      <c r="B574" s="193"/>
      <c r="C574" s="193"/>
      <c r="D574" s="193"/>
      <c r="E574" s="193"/>
      <c r="F574" s="193"/>
      <c r="G574" s="193"/>
      <c r="H574" s="193"/>
      <c r="I574" s="193"/>
      <c r="J574" s="193"/>
      <c r="K574" s="193"/>
      <c r="L574" s="193"/>
      <c r="M574" s="193"/>
      <c r="N574" s="193"/>
      <c r="O574" s="193"/>
      <c r="P574" s="193"/>
      <c r="Q574" s="193"/>
      <c r="R574" s="194"/>
      <c r="S574" s="69"/>
    </row>
    <row r="575" spans="1:19">
      <c r="A575" s="69"/>
      <c r="B575" s="193"/>
      <c r="C575" s="193"/>
      <c r="D575" s="193"/>
      <c r="E575" s="193"/>
      <c r="F575" s="193"/>
      <c r="G575" s="193"/>
      <c r="H575" s="193"/>
      <c r="I575" s="193"/>
      <c r="J575" s="193"/>
      <c r="K575" s="193"/>
      <c r="L575" s="193"/>
      <c r="M575" s="193"/>
      <c r="N575" s="193"/>
      <c r="O575" s="193"/>
      <c r="P575" s="193"/>
      <c r="Q575" s="193"/>
      <c r="R575" s="194"/>
      <c r="S575" s="69"/>
    </row>
    <row r="576" spans="1:19">
      <c r="A576" s="69"/>
      <c r="B576" s="193"/>
      <c r="C576" s="193"/>
      <c r="D576" s="193"/>
      <c r="E576" s="193"/>
      <c r="F576" s="193"/>
      <c r="G576" s="193"/>
      <c r="H576" s="193"/>
      <c r="I576" s="193"/>
      <c r="J576" s="193"/>
      <c r="K576" s="193"/>
      <c r="L576" s="193"/>
      <c r="M576" s="193"/>
      <c r="N576" s="193"/>
      <c r="O576" s="193"/>
      <c r="P576" s="193"/>
      <c r="Q576" s="193"/>
      <c r="R576" s="194"/>
      <c r="S576" s="69"/>
    </row>
    <row r="577" spans="1:19">
      <c r="A577" s="69"/>
      <c r="B577" s="193"/>
      <c r="C577" s="193"/>
      <c r="D577" s="193"/>
      <c r="E577" s="193"/>
      <c r="F577" s="193"/>
      <c r="G577" s="193"/>
      <c r="H577" s="193"/>
      <c r="I577" s="193"/>
      <c r="J577" s="193"/>
      <c r="K577" s="193"/>
      <c r="L577" s="193"/>
      <c r="M577" s="193"/>
      <c r="N577" s="193"/>
      <c r="O577" s="193"/>
      <c r="P577" s="193"/>
      <c r="Q577" s="193"/>
      <c r="R577" s="194"/>
      <c r="S577" s="69"/>
    </row>
    <row r="578" spans="1:19">
      <c r="A578" s="69"/>
      <c r="B578" s="193"/>
      <c r="C578" s="193"/>
      <c r="D578" s="193"/>
      <c r="E578" s="193"/>
      <c r="F578" s="193"/>
      <c r="G578" s="193"/>
      <c r="H578" s="193"/>
      <c r="I578" s="193"/>
      <c r="J578" s="193"/>
      <c r="K578" s="193"/>
      <c r="L578" s="193"/>
      <c r="M578" s="193"/>
      <c r="N578" s="193"/>
      <c r="O578" s="193"/>
      <c r="P578" s="193"/>
      <c r="Q578" s="193"/>
      <c r="R578" s="194"/>
      <c r="S578" s="69"/>
    </row>
    <row r="579" spans="1:19">
      <c r="A579" s="69"/>
      <c r="B579" s="193"/>
      <c r="C579" s="193"/>
      <c r="D579" s="193"/>
      <c r="E579" s="193"/>
      <c r="F579" s="193"/>
      <c r="G579" s="193"/>
      <c r="H579" s="193"/>
      <c r="I579" s="193"/>
      <c r="J579" s="193"/>
      <c r="K579" s="193"/>
      <c r="L579" s="193"/>
      <c r="M579" s="193"/>
      <c r="N579" s="193"/>
      <c r="O579" s="193"/>
      <c r="P579" s="193"/>
      <c r="Q579" s="193"/>
      <c r="R579" s="194"/>
      <c r="S579" s="69"/>
    </row>
    <row r="580" spans="1:19">
      <c r="A580" s="69"/>
      <c r="B580" s="193"/>
      <c r="C580" s="193"/>
      <c r="D580" s="193"/>
      <c r="E580" s="193"/>
      <c r="F580" s="193"/>
      <c r="G580" s="193"/>
      <c r="H580" s="193"/>
      <c r="I580" s="193"/>
      <c r="J580" s="193"/>
      <c r="K580" s="193"/>
      <c r="L580" s="193"/>
      <c r="M580" s="193"/>
      <c r="N580" s="193"/>
      <c r="O580" s="193"/>
      <c r="P580" s="193"/>
      <c r="Q580" s="193"/>
      <c r="R580" s="194"/>
      <c r="S580" s="69"/>
    </row>
    <row r="581" spans="1:19">
      <c r="A581" s="69"/>
      <c r="B581" s="193"/>
      <c r="C581" s="193"/>
      <c r="D581" s="193"/>
      <c r="E581" s="193"/>
      <c r="F581" s="193"/>
      <c r="G581" s="193"/>
      <c r="H581" s="193"/>
      <c r="I581" s="193"/>
      <c r="J581" s="193"/>
      <c r="K581" s="193"/>
      <c r="L581" s="193"/>
      <c r="M581" s="193"/>
      <c r="N581" s="193"/>
      <c r="O581" s="193"/>
      <c r="P581" s="193"/>
      <c r="Q581" s="193"/>
      <c r="R581" s="194"/>
      <c r="S581" s="69"/>
    </row>
    <row r="582" spans="1:19">
      <c r="A582" s="69"/>
      <c r="B582" s="193"/>
      <c r="C582" s="193"/>
      <c r="D582" s="193"/>
      <c r="E582" s="193"/>
      <c r="F582" s="193"/>
      <c r="G582" s="193"/>
      <c r="H582" s="193"/>
      <c r="I582" s="193"/>
      <c r="J582" s="193"/>
      <c r="K582" s="193"/>
      <c r="L582" s="193"/>
      <c r="M582" s="193"/>
      <c r="N582" s="193"/>
      <c r="O582" s="193"/>
      <c r="P582" s="193"/>
      <c r="Q582" s="193"/>
      <c r="R582" s="194"/>
      <c r="S582" s="69"/>
    </row>
    <row r="583" spans="1:19">
      <c r="A583" s="69"/>
      <c r="B583" s="193"/>
      <c r="C583" s="193"/>
      <c r="D583" s="193"/>
      <c r="E583" s="193"/>
      <c r="F583" s="193"/>
      <c r="G583" s="193"/>
      <c r="H583" s="193"/>
      <c r="I583" s="193"/>
      <c r="J583" s="193"/>
      <c r="K583" s="193"/>
      <c r="L583" s="193"/>
      <c r="M583" s="193"/>
      <c r="N583" s="193"/>
      <c r="O583" s="193"/>
      <c r="P583" s="193"/>
      <c r="Q583" s="193"/>
      <c r="R583" s="194"/>
      <c r="S583" s="69"/>
    </row>
    <row r="584" spans="1:19">
      <c r="A584" s="69"/>
      <c r="B584" s="193"/>
      <c r="C584" s="193"/>
      <c r="D584" s="193"/>
      <c r="E584" s="193"/>
      <c r="F584" s="193"/>
      <c r="G584" s="193"/>
      <c r="H584" s="193"/>
      <c r="I584" s="193"/>
      <c r="J584" s="193"/>
      <c r="K584" s="193"/>
      <c r="L584" s="193"/>
      <c r="M584" s="193"/>
      <c r="N584" s="193"/>
      <c r="O584" s="193"/>
      <c r="P584" s="193"/>
      <c r="Q584" s="193"/>
      <c r="R584" s="194"/>
      <c r="S584" s="69"/>
    </row>
    <row r="585" spans="1:19">
      <c r="A585" s="69"/>
      <c r="B585" s="193"/>
      <c r="C585" s="193"/>
      <c r="D585" s="193"/>
      <c r="E585" s="193"/>
      <c r="F585" s="193"/>
      <c r="G585" s="193"/>
      <c r="H585" s="193"/>
      <c r="I585" s="193"/>
      <c r="J585" s="193"/>
      <c r="K585" s="193"/>
      <c r="L585" s="193"/>
      <c r="M585" s="193"/>
      <c r="N585" s="193"/>
      <c r="O585" s="193"/>
      <c r="P585" s="193"/>
      <c r="Q585" s="193"/>
      <c r="R585" s="194"/>
      <c r="S585" s="69"/>
    </row>
    <row r="586" spans="1:19">
      <c r="A586" s="69"/>
      <c r="B586" s="193"/>
      <c r="C586" s="193"/>
      <c r="D586" s="193"/>
      <c r="E586" s="193"/>
      <c r="F586" s="193"/>
      <c r="G586" s="193"/>
      <c r="H586" s="193"/>
      <c r="I586" s="193"/>
      <c r="J586" s="193"/>
      <c r="K586" s="193"/>
      <c r="L586" s="193"/>
      <c r="M586" s="193"/>
      <c r="N586" s="193"/>
      <c r="O586" s="193"/>
      <c r="P586" s="193"/>
      <c r="Q586" s="193"/>
      <c r="R586" s="194"/>
      <c r="S586" s="69"/>
    </row>
    <row r="587" spans="1:19">
      <c r="A587" s="69"/>
      <c r="B587" s="193"/>
      <c r="C587" s="193"/>
      <c r="D587" s="193"/>
      <c r="E587" s="193"/>
      <c r="F587" s="193"/>
      <c r="G587" s="193"/>
      <c r="H587" s="193"/>
      <c r="I587" s="193"/>
      <c r="J587" s="193"/>
      <c r="K587" s="193"/>
      <c r="L587" s="193"/>
      <c r="M587" s="193"/>
      <c r="N587" s="193"/>
      <c r="O587" s="193"/>
      <c r="P587" s="193"/>
      <c r="Q587" s="193"/>
      <c r="R587" s="194"/>
      <c r="S587" s="69"/>
    </row>
    <row r="588" spans="1:19">
      <c r="A588" s="69"/>
      <c r="B588" s="193"/>
      <c r="C588" s="193"/>
      <c r="D588" s="193"/>
      <c r="E588" s="193"/>
      <c r="F588" s="193"/>
      <c r="G588" s="193"/>
      <c r="H588" s="193"/>
      <c r="I588" s="193"/>
      <c r="J588" s="193"/>
      <c r="K588" s="193"/>
      <c r="L588" s="193"/>
      <c r="M588" s="193"/>
      <c r="N588" s="193"/>
      <c r="O588" s="193"/>
      <c r="P588" s="193"/>
      <c r="Q588" s="193"/>
      <c r="R588" s="194"/>
      <c r="S588" s="69"/>
    </row>
    <row r="589" spans="1:19">
      <c r="A589" s="69"/>
      <c r="B589" s="193"/>
      <c r="C589" s="193"/>
      <c r="D589" s="193"/>
      <c r="E589" s="193"/>
      <c r="F589" s="193"/>
      <c r="G589" s="193"/>
      <c r="H589" s="193"/>
      <c r="I589" s="193"/>
      <c r="J589" s="193"/>
      <c r="K589" s="193"/>
      <c r="L589" s="193"/>
      <c r="M589" s="193"/>
      <c r="N589" s="193"/>
      <c r="O589" s="193"/>
      <c r="P589" s="193"/>
      <c r="Q589" s="193"/>
      <c r="R589" s="194"/>
      <c r="S589" s="69"/>
    </row>
    <row r="590" spans="1:19">
      <c r="A590" s="69"/>
      <c r="B590" s="193"/>
      <c r="C590" s="193"/>
      <c r="D590" s="193"/>
      <c r="E590" s="193"/>
      <c r="F590" s="193"/>
      <c r="G590" s="193"/>
      <c r="H590" s="193"/>
      <c r="I590" s="193"/>
      <c r="J590" s="193"/>
      <c r="K590" s="193"/>
      <c r="L590" s="193"/>
      <c r="M590" s="193"/>
      <c r="N590" s="193"/>
      <c r="O590" s="193"/>
      <c r="P590" s="193"/>
      <c r="Q590" s="193"/>
      <c r="R590" s="194"/>
      <c r="S590" s="69"/>
    </row>
    <row r="591" spans="1:19">
      <c r="A591" s="69"/>
      <c r="B591" s="193"/>
      <c r="C591" s="193"/>
      <c r="D591" s="193"/>
      <c r="E591" s="193"/>
      <c r="F591" s="193"/>
      <c r="G591" s="193"/>
      <c r="H591" s="193"/>
      <c r="I591" s="193"/>
      <c r="J591" s="193"/>
      <c r="K591" s="193"/>
      <c r="L591" s="193"/>
      <c r="M591" s="193"/>
      <c r="N591" s="193"/>
      <c r="O591" s="193"/>
      <c r="P591" s="193"/>
      <c r="Q591" s="193"/>
      <c r="R591" s="194"/>
      <c r="S591" s="69"/>
    </row>
    <row r="592" spans="1:19">
      <c r="A592" s="69"/>
      <c r="B592" s="193"/>
      <c r="C592" s="193"/>
      <c r="D592" s="193"/>
      <c r="E592" s="193"/>
      <c r="F592" s="193"/>
      <c r="G592" s="193"/>
      <c r="H592" s="193"/>
      <c r="I592" s="193"/>
      <c r="J592" s="193"/>
      <c r="K592" s="193"/>
      <c r="L592" s="193"/>
      <c r="M592" s="193"/>
      <c r="N592" s="193"/>
      <c r="O592" s="193"/>
      <c r="P592" s="193"/>
      <c r="Q592" s="193"/>
      <c r="R592" s="194"/>
      <c r="S592" s="69"/>
    </row>
    <row r="593" spans="1:19">
      <c r="A593" s="69"/>
      <c r="B593" s="193"/>
      <c r="C593" s="193"/>
      <c r="D593" s="193"/>
      <c r="E593" s="193"/>
      <c r="F593" s="193"/>
      <c r="G593" s="193"/>
      <c r="H593" s="193"/>
      <c r="I593" s="193"/>
      <c r="J593" s="193"/>
      <c r="K593" s="193"/>
      <c r="L593" s="193"/>
      <c r="M593" s="193"/>
      <c r="N593" s="193"/>
      <c r="O593" s="193"/>
      <c r="P593" s="193"/>
      <c r="Q593" s="193"/>
      <c r="R593" s="194"/>
      <c r="S593" s="69"/>
    </row>
    <row r="594" spans="1:19">
      <c r="A594" s="69"/>
      <c r="B594" s="193"/>
      <c r="C594" s="193"/>
      <c r="D594" s="193"/>
      <c r="E594" s="193"/>
      <c r="F594" s="193"/>
      <c r="G594" s="193"/>
      <c r="H594" s="193"/>
      <c r="I594" s="193"/>
      <c r="J594" s="193"/>
      <c r="K594" s="193"/>
      <c r="L594" s="193"/>
      <c r="M594" s="193"/>
      <c r="N594" s="193"/>
      <c r="O594" s="193"/>
      <c r="P594" s="193"/>
      <c r="Q594" s="193"/>
      <c r="R594" s="194"/>
      <c r="S594" s="69"/>
    </row>
    <row r="595" spans="1:19">
      <c r="A595" s="69"/>
      <c r="B595" s="193"/>
      <c r="C595" s="193"/>
      <c r="D595" s="193"/>
      <c r="E595" s="193"/>
      <c r="F595" s="193"/>
      <c r="G595" s="193"/>
      <c r="H595" s="193"/>
      <c r="I595" s="193"/>
      <c r="J595" s="193"/>
      <c r="K595" s="193"/>
      <c r="L595" s="193"/>
      <c r="M595" s="193"/>
      <c r="N595" s="193"/>
      <c r="O595" s="193"/>
      <c r="P595" s="193"/>
      <c r="Q595" s="193"/>
      <c r="R595" s="194"/>
      <c r="S595" s="69"/>
    </row>
    <row r="596" spans="1:19">
      <c r="A596" s="69"/>
      <c r="B596" s="193"/>
      <c r="C596" s="193"/>
      <c r="D596" s="193"/>
      <c r="E596" s="193"/>
      <c r="F596" s="193"/>
      <c r="G596" s="193"/>
      <c r="H596" s="193"/>
      <c r="I596" s="193"/>
      <c r="J596" s="193"/>
      <c r="K596" s="193"/>
      <c r="L596" s="193"/>
      <c r="M596" s="193"/>
      <c r="N596" s="193"/>
      <c r="O596" s="193"/>
      <c r="P596" s="193"/>
      <c r="Q596" s="193"/>
      <c r="R596" s="194"/>
      <c r="S596" s="69"/>
    </row>
    <row r="597" spans="1:19">
      <c r="A597" s="69"/>
      <c r="B597" s="193"/>
      <c r="C597" s="193"/>
      <c r="D597" s="193"/>
      <c r="E597" s="193"/>
      <c r="F597" s="193"/>
      <c r="G597" s="193"/>
      <c r="H597" s="193"/>
      <c r="I597" s="193"/>
      <c r="J597" s="193"/>
      <c r="K597" s="193"/>
      <c r="L597" s="193"/>
      <c r="M597" s="193"/>
      <c r="N597" s="193"/>
      <c r="O597" s="193"/>
      <c r="P597" s="193"/>
      <c r="Q597" s="193"/>
      <c r="R597" s="194"/>
      <c r="S597" s="69"/>
    </row>
    <row r="598" spans="1:19">
      <c r="A598" s="69"/>
      <c r="B598" s="193"/>
      <c r="C598" s="193"/>
      <c r="D598" s="193"/>
      <c r="E598" s="193"/>
      <c r="F598" s="193"/>
      <c r="G598" s="193"/>
      <c r="H598" s="193"/>
      <c r="I598" s="193"/>
      <c r="J598" s="193"/>
      <c r="K598" s="193"/>
      <c r="L598" s="193"/>
      <c r="M598" s="193"/>
      <c r="N598" s="193"/>
      <c r="O598" s="193"/>
      <c r="P598" s="193"/>
      <c r="Q598" s="193"/>
      <c r="R598" s="194"/>
      <c r="S598" s="69"/>
    </row>
    <row r="599" spans="1:19">
      <c r="A599" s="69"/>
      <c r="B599" s="193"/>
      <c r="C599" s="193"/>
      <c r="D599" s="193"/>
      <c r="E599" s="193"/>
      <c r="F599" s="193"/>
      <c r="G599" s="193"/>
      <c r="H599" s="193"/>
      <c r="I599" s="193"/>
      <c r="J599" s="193"/>
      <c r="K599" s="193"/>
      <c r="L599" s="193"/>
      <c r="M599" s="193"/>
      <c r="N599" s="193"/>
      <c r="O599" s="193"/>
      <c r="P599" s="193"/>
      <c r="Q599" s="193"/>
      <c r="R599" s="194"/>
      <c r="S599" s="69"/>
    </row>
    <row r="600" spans="1:19">
      <c r="A600" s="69"/>
      <c r="B600" s="193"/>
      <c r="C600" s="193"/>
      <c r="D600" s="193"/>
      <c r="E600" s="193"/>
      <c r="F600" s="193"/>
      <c r="G600" s="193"/>
      <c r="H600" s="193"/>
      <c r="I600" s="193"/>
      <c r="J600" s="193"/>
      <c r="K600" s="193"/>
      <c r="L600" s="193"/>
      <c r="M600" s="193"/>
      <c r="N600" s="193"/>
      <c r="O600" s="193"/>
      <c r="P600" s="193"/>
      <c r="Q600" s="193"/>
      <c r="R600" s="194"/>
      <c r="S600" s="69"/>
    </row>
    <row r="601" spans="1:19">
      <c r="A601" s="69"/>
      <c r="B601" s="193"/>
      <c r="C601" s="193"/>
      <c r="D601" s="193"/>
      <c r="E601" s="193"/>
      <c r="F601" s="193"/>
      <c r="G601" s="193"/>
      <c r="H601" s="193"/>
      <c r="I601" s="193"/>
      <c r="J601" s="193"/>
      <c r="K601" s="193"/>
      <c r="L601" s="193"/>
      <c r="M601" s="193"/>
      <c r="N601" s="193"/>
      <c r="O601" s="193"/>
      <c r="P601" s="193"/>
      <c r="Q601" s="193"/>
      <c r="R601" s="194"/>
      <c r="S601" s="69"/>
    </row>
    <row r="602" spans="1:19">
      <c r="A602" s="69"/>
      <c r="B602" s="193"/>
      <c r="C602" s="193"/>
      <c r="D602" s="193"/>
      <c r="E602" s="193"/>
      <c r="F602" s="193"/>
      <c r="G602" s="193"/>
      <c r="H602" s="193"/>
      <c r="I602" s="193"/>
      <c r="J602" s="193"/>
      <c r="K602" s="193"/>
      <c r="L602" s="193"/>
      <c r="M602" s="193"/>
      <c r="N602" s="193"/>
      <c r="O602" s="193"/>
      <c r="P602" s="193"/>
      <c r="Q602" s="193"/>
      <c r="R602" s="194"/>
      <c r="S602" s="69"/>
    </row>
    <row r="603" spans="1:19">
      <c r="A603" s="69"/>
      <c r="B603" s="193"/>
      <c r="C603" s="193"/>
      <c r="D603" s="193"/>
      <c r="E603" s="193"/>
      <c r="F603" s="193"/>
      <c r="G603" s="193"/>
      <c r="H603" s="193"/>
      <c r="I603" s="193"/>
      <c r="J603" s="193"/>
      <c r="K603" s="193"/>
      <c r="L603" s="193"/>
      <c r="M603" s="193"/>
      <c r="N603" s="193"/>
      <c r="O603" s="193"/>
      <c r="P603" s="193"/>
      <c r="Q603" s="193"/>
      <c r="R603" s="194"/>
      <c r="S603" s="69"/>
    </row>
    <row r="604" spans="1:19">
      <c r="A604" s="69"/>
      <c r="B604" s="193"/>
      <c r="C604" s="193"/>
      <c r="D604" s="193"/>
      <c r="E604" s="193"/>
      <c r="F604" s="193"/>
      <c r="G604" s="193"/>
      <c r="H604" s="193"/>
      <c r="I604" s="193"/>
      <c r="J604" s="193"/>
      <c r="K604" s="193"/>
      <c r="L604" s="193"/>
      <c r="M604" s="193"/>
      <c r="N604" s="193"/>
      <c r="O604" s="193"/>
      <c r="P604" s="193"/>
      <c r="Q604" s="193"/>
      <c r="R604" s="194"/>
      <c r="S604" s="69"/>
    </row>
    <row r="605" spans="1:19">
      <c r="A605" s="69"/>
      <c r="B605" s="193"/>
      <c r="C605" s="193"/>
      <c r="D605" s="193"/>
      <c r="E605" s="193"/>
      <c r="F605" s="193"/>
      <c r="G605" s="193"/>
      <c r="H605" s="193"/>
      <c r="I605" s="193"/>
      <c r="J605" s="193"/>
      <c r="K605" s="193"/>
      <c r="L605" s="193"/>
      <c r="M605" s="193"/>
      <c r="N605" s="193"/>
      <c r="O605" s="193"/>
      <c r="P605" s="193"/>
      <c r="Q605" s="193"/>
      <c r="R605" s="194"/>
      <c r="S605" s="69"/>
    </row>
    <row r="606" spans="1:19">
      <c r="A606" s="69"/>
      <c r="B606" s="193"/>
      <c r="C606" s="193"/>
      <c r="D606" s="193"/>
      <c r="E606" s="193"/>
      <c r="F606" s="193"/>
      <c r="G606" s="193"/>
      <c r="H606" s="193"/>
      <c r="I606" s="193"/>
      <c r="J606" s="193"/>
      <c r="K606" s="193"/>
      <c r="L606" s="193"/>
      <c r="M606" s="193"/>
      <c r="N606" s="193"/>
      <c r="O606" s="193"/>
      <c r="P606" s="193"/>
      <c r="Q606" s="193"/>
      <c r="R606" s="194"/>
      <c r="S606" s="69"/>
    </row>
    <row r="607" spans="1:19">
      <c r="A607" s="69"/>
      <c r="B607" s="193"/>
      <c r="C607" s="193"/>
      <c r="D607" s="193"/>
      <c r="E607" s="193"/>
      <c r="F607" s="193"/>
      <c r="G607" s="193"/>
      <c r="H607" s="193"/>
      <c r="I607" s="193"/>
      <c r="J607" s="193"/>
      <c r="K607" s="193"/>
      <c r="L607" s="193"/>
      <c r="M607" s="193"/>
      <c r="N607" s="193"/>
      <c r="O607" s="193"/>
      <c r="P607" s="193"/>
      <c r="Q607" s="193"/>
      <c r="R607" s="194"/>
      <c r="S607" s="69"/>
    </row>
    <row r="608" spans="1:19">
      <c r="A608" s="69"/>
      <c r="B608" s="193"/>
      <c r="C608" s="193"/>
      <c r="D608" s="193"/>
      <c r="E608" s="193"/>
      <c r="F608" s="193"/>
      <c r="G608" s="193"/>
      <c r="H608" s="193"/>
      <c r="I608" s="193"/>
      <c r="J608" s="193"/>
      <c r="K608" s="193"/>
      <c r="L608" s="193"/>
      <c r="M608" s="193"/>
      <c r="N608" s="193"/>
      <c r="O608" s="193"/>
      <c r="P608" s="193"/>
      <c r="Q608" s="193"/>
      <c r="R608" s="194"/>
      <c r="S608" s="69"/>
    </row>
    <row r="609" spans="1:19">
      <c r="A609" s="69"/>
      <c r="B609" s="193"/>
      <c r="C609" s="193"/>
      <c r="D609" s="193"/>
      <c r="E609" s="193"/>
      <c r="F609" s="193"/>
      <c r="G609" s="193"/>
      <c r="H609" s="193"/>
      <c r="I609" s="193"/>
      <c r="J609" s="193"/>
      <c r="K609" s="193"/>
      <c r="L609" s="193"/>
      <c r="M609" s="193"/>
      <c r="N609" s="193"/>
      <c r="O609" s="193"/>
      <c r="P609" s="193"/>
      <c r="Q609" s="193"/>
      <c r="R609" s="194"/>
      <c r="S609" s="69"/>
    </row>
    <row r="610" spans="1:19">
      <c r="A610" s="69"/>
      <c r="B610" s="193"/>
      <c r="C610" s="193"/>
      <c r="D610" s="193"/>
      <c r="E610" s="193"/>
      <c r="F610" s="193"/>
      <c r="G610" s="193"/>
      <c r="H610" s="193"/>
      <c r="I610" s="193"/>
      <c r="J610" s="193"/>
      <c r="K610" s="193"/>
      <c r="L610" s="193"/>
      <c r="M610" s="193"/>
      <c r="N610" s="193"/>
      <c r="O610" s="193"/>
      <c r="P610" s="193"/>
      <c r="Q610" s="193"/>
      <c r="R610" s="194"/>
      <c r="S610" s="69"/>
    </row>
    <row r="611" spans="1:19">
      <c r="A611" s="69"/>
      <c r="B611" s="193"/>
      <c r="C611" s="193"/>
      <c r="D611" s="193"/>
      <c r="E611" s="193"/>
      <c r="F611" s="193"/>
      <c r="G611" s="193"/>
      <c r="H611" s="193"/>
      <c r="I611" s="193"/>
      <c r="J611" s="193"/>
      <c r="K611" s="193"/>
      <c r="L611" s="193"/>
      <c r="M611" s="193"/>
      <c r="N611" s="193"/>
      <c r="O611" s="193"/>
      <c r="P611" s="193"/>
      <c r="Q611" s="193"/>
      <c r="R611" s="194"/>
      <c r="S611" s="69"/>
    </row>
    <row r="612" spans="1:19">
      <c r="A612" s="69"/>
      <c r="B612" s="193"/>
      <c r="C612" s="193"/>
      <c r="D612" s="193"/>
      <c r="E612" s="193"/>
      <c r="F612" s="193"/>
      <c r="G612" s="193"/>
      <c r="H612" s="193"/>
      <c r="I612" s="193"/>
      <c r="J612" s="193"/>
      <c r="K612" s="193"/>
      <c r="L612" s="193"/>
      <c r="M612" s="193"/>
      <c r="N612" s="193"/>
      <c r="O612" s="193"/>
      <c r="P612" s="193"/>
      <c r="Q612" s="193"/>
      <c r="R612" s="194"/>
      <c r="S612" s="69"/>
    </row>
    <row r="613" spans="1:19">
      <c r="A613" s="69"/>
      <c r="B613" s="193"/>
      <c r="C613" s="193"/>
      <c r="D613" s="193"/>
      <c r="E613" s="193"/>
      <c r="F613" s="193"/>
      <c r="G613" s="193"/>
      <c r="H613" s="193"/>
      <c r="I613" s="193"/>
      <c r="J613" s="193"/>
      <c r="K613" s="193"/>
      <c r="L613" s="193"/>
      <c r="M613" s="193"/>
      <c r="N613" s="193"/>
      <c r="O613" s="193"/>
      <c r="P613" s="193"/>
      <c r="Q613" s="193"/>
      <c r="R613" s="194"/>
      <c r="S613" s="69"/>
    </row>
    <row r="614" spans="1:19">
      <c r="A614" s="69"/>
      <c r="B614" s="193"/>
      <c r="C614" s="193"/>
      <c r="D614" s="193"/>
      <c r="E614" s="193"/>
      <c r="F614" s="193"/>
      <c r="G614" s="193"/>
      <c r="H614" s="193"/>
      <c r="I614" s="193"/>
      <c r="J614" s="193"/>
      <c r="K614" s="193"/>
      <c r="L614" s="193"/>
      <c r="M614" s="193"/>
      <c r="N614" s="193"/>
      <c r="O614" s="193"/>
      <c r="P614" s="193"/>
      <c r="Q614" s="193"/>
      <c r="R614" s="194"/>
      <c r="S614" s="69"/>
    </row>
    <row r="615" spans="1:19">
      <c r="A615" s="69"/>
      <c r="B615" s="193"/>
      <c r="C615" s="193"/>
      <c r="D615" s="193"/>
      <c r="E615" s="193"/>
      <c r="F615" s="193"/>
      <c r="G615" s="193"/>
      <c r="H615" s="193"/>
      <c r="I615" s="193"/>
      <c r="J615" s="193"/>
      <c r="K615" s="193"/>
      <c r="L615" s="193"/>
      <c r="M615" s="193"/>
      <c r="N615" s="193"/>
      <c r="O615" s="193"/>
      <c r="P615" s="193"/>
      <c r="Q615" s="193"/>
      <c r="R615" s="194"/>
      <c r="S615" s="69"/>
    </row>
    <row r="616" spans="1:19">
      <c r="A616" s="69"/>
      <c r="B616" s="193"/>
      <c r="C616" s="193"/>
      <c r="D616" s="193"/>
      <c r="E616" s="193"/>
      <c r="F616" s="193"/>
      <c r="G616" s="193"/>
      <c r="H616" s="193"/>
      <c r="I616" s="193"/>
      <c r="J616" s="193"/>
      <c r="K616" s="193"/>
      <c r="L616" s="193"/>
      <c r="M616" s="193"/>
      <c r="N616" s="193"/>
      <c r="O616" s="193"/>
      <c r="P616" s="193"/>
      <c r="Q616" s="193"/>
      <c r="R616" s="194"/>
      <c r="S616" s="69"/>
    </row>
    <row r="617" spans="1:19">
      <c r="A617" s="69"/>
      <c r="B617" s="193"/>
      <c r="C617" s="193"/>
      <c r="D617" s="193"/>
      <c r="E617" s="193"/>
      <c r="F617" s="193"/>
      <c r="G617" s="193"/>
      <c r="H617" s="193"/>
      <c r="I617" s="193"/>
      <c r="J617" s="193"/>
      <c r="K617" s="193"/>
      <c r="L617" s="193"/>
      <c r="M617" s="193"/>
      <c r="N617" s="193"/>
      <c r="O617" s="193"/>
      <c r="P617" s="193"/>
      <c r="Q617" s="193"/>
      <c r="R617" s="194"/>
      <c r="S617" s="69"/>
    </row>
    <row r="618" spans="1:19">
      <c r="A618" s="69"/>
      <c r="B618" s="193"/>
      <c r="C618" s="193"/>
      <c r="D618" s="193"/>
      <c r="E618" s="193"/>
      <c r="F618" s="193"/>
      <c r="G618" s="193"/>
      <c r="H618" s="193"/>
      <c r="I618" s="193"/>
      <c r="J618" s="193"/>
      <c r="K618" s="193"/>
      <c r="L618" s="193"/>
      <c r="M618" s="193"/>
      <c r="N618" s="193"/>
      <c r="O618" s="193"/>
      <c r="P618" s="193"/>
      <c r="Q618" s="193"/>
      <c r="R618" s="194"/>
      <c r="S618" s="69"/>
    </row>
    <row r="619" spans="1:19">
      <c r="A619" s="69"/>
      <c r="B619" s="193"/>
      <c r="C619" s="193"/>
      <c r="D619" s="193"/>
      <c r="E619" s="193"/>
      <c r="F619" s="193"/>
      <c r="G619" s="193"/>
      <c r="H619" s="193"/>
      <c r="I619" s="193"/>
      <c r="J619" s="193"/>
      <c r="K619" s="193"/>
      <c r="L619" s="193"/>
      <c r="M619" s="193"/>
      <c r="N619" s="193"/>
      <c r="O619" s="193"/>
      <c r="P619" s="193"/>
      <c r="Q619" s="193"/>
      <c r="R619" s="194"/>
      <c r="S619" s="69"/>
    </row>
    <row r="620" spans="1:19">
      <c r="A620" s="69"/>
      <c r="B620" s="193"/>
      <c r="C620" s="193"/>
      <c r="D620" s="193"/>
      <c r="E620" s="193"/>
      <c r="F620" s="193"/>
      <c r="G620" s="193"/>
      <c r="H620" s="193"/>
      <c r="I620" s="193"/>
      <c r="J620" s="193"/>
      <c r="K620" s="193"/>
      <c r="L620" s="193"/>
      <c r="M620" s="193"/>
      <c r="N620" s="193"/>
      <c r="O620" s="193"/>
      <c r="P620" s="193"/>
      <c r="Q620" s="193"/>
      <c r="R620" s="194"/>
      <c r="S620" s="69"/>
    </row>
    <row r="621" spans="1:19">
      <c r="A621" s="69"/>
      <c r="B621" s="193"/>
      <c r="C621" s="193"/>
      <c r="D621" s="193"/>
      <c r="E621" s="193"/>
      <c r="F621" s="193"/>
      <c r="G621" s="193"/>
      <c r="H621" s="193"/>
      <c r="I621" s="193"/>
      <c r="J621" s="193"/>
      <c r="K621" s="193"/>
      <c r="L621" s="193"/>
      <c r="M621" s="193"/>
      <c r="N621" s="193"/>
      <c r="O621" s="193"/>
      <c r="P621" s="193"/>
      <c r="Q621" s="193"/>
      <c r="R621" s="194"/>
      <c r="S621" s="69"/>
    </row>
    <row r="622" spans="1:19">
      <c r="A622" s="69"/>
      <c r="B622" s="193"/>
      <c r="C622" s="193"/>
      <c r="D622" s="193"/>
      <c r="E622" s="193"/>
      <c r="F622" s="193"/>
      <c r="G622" s="193"/>
      <c r="H622" s="193"/>
      <c r="I622" s="193"/>
      <c r="J622" s="193"/>
      <c r="K622" s="193"/>
      <c r="L622" s="193"/>
      <c r="M622" s="193"/>
      <c r="N622" s="193"/>
      <c r="O622" s="193"/>
      <c r="P622" s="193"/>
      <c r="Q622" s="193"/>
      <c r="R622" s="194"/>
      <c r="S622" s="69"/>
    </row>
    <row r="623" spans="1:19">
      <c r="A623" s="69"/>
      <c r="B623" s="193"/>
      <c r="C623" s="193"/>
      <c r="D623" s="193"/>
      <c r="E623" s="193"/>
      <c r="F623" s="193"/>
      <c r="G623" s="193"/>
      <c r="H623" s="193"/>
      <c r="I623" s="193"/>
      <c r="J623" s="193"/>
      <c r="K623" s="193"/>
      <c r="L623" s="193"/>
      <c r="M623" s="193"/>
      <c r="N623" s="193"/>
      <c r="O623" s="193"/>
      <c r="P623" s="193"/>
      <c r="Q623" s="193"/>
      <c r="R623" s="194"/>
      <c r="S623" s="69"/>
    </row>
    <row r="624" spans="1:19">
      <c r="A624" s="69"/>
      <c r="B624" s="193"/>
      <c r="C624" s="193"/>
      <c r="D624" s="193"/>
      <c r="E624" s="193"/>
      <c r="F624" s="193"/>
      <c r="G624" s="193"/>
      <c r="H624" s="193"/>
      <c r="I624" s="193"/>
      <c r="J624" s="193"/>
      <c r="K624" s="193"/>
      <c r="L624" s="193"/>
      <c r="M624" s="193"/>
      <c r="N624" s="193"/>
      <c r="O624" s="193"/>
      <c r="P624" s="193"/>
      <c r="Q624" s="193"/>
      <c r="R624" s="194"/>
      <c r="S624" s="69"/>
    </row>
    <row r="625" spans="1:19">
      <c r="A625" s="69"/>
      <c r="B625" s="193"/>
      <c r="C625" s="193"/>
      <c r="D625" s="193"/>
      <c r="E625" s="193"/>
      <c r="F625" s="193"/>
      <c r="G625" s="193"/>
      <c r="H625" s="193"/>
      <c r="I625" s="193"/>
      <c r="J625" s="193"/>
      <c r="K625" s="193"/>
      <c r="L625" s="193"/>
      <c r="M625" s="193"/>
      <c r="N625" s="193"/>
      <c r="O625" s="193"/>
      <c r="P625" s="193"/>
      <c r="Q625" s="193"/>
      <c r="R625" s="194"/>
      <c r="S625" s="69"/>
    </row>
    <row r="626" spans="1:19">
      <c r="A626" s="69"/>
      <c r="B626" s="193"/>
      <c r="C626" s="193"/>
      <c r="D626" s="193"/>
      <c r="E626" s="193"/>
      <c r="F626" s="193"/>
      <c r="G626" s="193"/>
      <c r="H626" s="193"/>
      <c r="I626" s="193"/>
      <c r="J626" s="193"/>
      <c r="K626" s="193"/>
      <c r="L626" s="193"/>
      <c r="M626" s="193"/>
      <c r="N626" s="193"/>
      <c r="O626" s="193"/>
      <c r="P626" s="193"/>
      <c r="Q626" s="193"/>
      <c r="R626" s="194"/>
      <c r="S626" s="69"/>
    </row>
    <row r="627" spans="1:19">
      <c r="A627" s="69"/>
      <c r="B627" s="193"/>
      <c r="C627" s="193"/>
      <c r="D627" s="193"/>
      <c r="E627" s="193"/>
      <c r="F627" s="193"/>
      <c r="G627" s="193"/>
      <c r="H627" s="193"/>
      <c r="I627" s="193"/>
      <c r="J627" s="193"/>
      <c r="K627" s="193"/>
      <c r="L627" s="193"/>
      <c r="M627" s="193"/>
      <c r="N627" s="193"/>
      <c r="O627" s="193"/>
      <c r="P627" s="193"/>
      <c r="Q627" s="193"/>
      <c r="R627" s="194"/>
      <c r="S627" s="69"/>
    </row>
    <row r="628" spans="1:19">
      <c r="A628" s="69"/>
      <c r="B628" s="193"/>
      <c r="C628" s="193"/>
      <c r="D628" s="193"/>
      <c r="E628" s="193"/>
      <c r="F628" s="193"/>
      <c r="G628" s="193"/>
      <c r="H628" s="193"/>
      <c r="I628" s="193"/>
      <c r="J628" s="193"/>
      <c r="K628" s="193"/>
      <c r="L628" s="193"/>
      <c r="M628" s="193"/>
      <c r="N628" s="193"/>
      <c r="O628" s="193"/>
      <c r="P628" s="193"/>
      <c r="Q628" s="193"/>
      <c r="R628" s="194"/>
      <c r="S628" s="69"/>
    </row>
    <row r="629" spans="1:19">
      <c r="A629" s="69"/>
      <c r="B629" s="193"/>
      <c r="C629" s="193"/>
      <c r="D629" s="193"/>
      <c r="E629" s="193"/>
      <c r="F629" s="193"/>
      <c r="G629" s="193"/>
      <c r="H629" s="193"/>
      <c r="I629" s="193"/>
      <c r="J629" s="193"/>
      <c r="K629" s="193"/>
      <c r="L629" s="193"/>
      <c r="M629" s="193"/>
      <c r="N629" s="193"/>
      <c r="O629" s="193"/>
      <c r="P629" s="193"/>
      <c r="Q629" s="193"/>
      <c r="R629" s="194"/>
      <c r="S629" s="69"/>
    </row>
    <row r="630" spans="1:19">
      <c r="A630" s="69"/>
      <c r="B630" s="193"/>
      <c r="C630" s="193"/>
      <c r="D630" s="193"/>
      <c r="E630" s="193"/>
      <c r="F630" s="193"/>
      <c r="G630" s="193"/>
      <c r="H630" s="193"/>
      <c r="I630" s="193"/>
      <c r="J630" s="193"/>
      <c r="K630" s="193"/>
      <c r="L630" s="193"/>
      <c r="M630" s="193"/>
      <c r="N630" s="193"/>
      <c r="O630" s="193"/>
      <c r="P630" s="193"/>
      <c r="Q630" s="193"/>
      <c r="R630" s="194"/>
      <c r="S630" s="69"/>
    </row>
    <row r="631" spans="1:19">
      <c r="A631" s="69"/>
      <c r="B631" s="193"/>
      <c r="C631" s="193"/>
      <c r="D631" s="193"/>
      <c r="E631" s="193"/>
      <c r="F631" s="193"/>
      <c r="G631" s="193"/>
      <c r="H631" s="193"/>
      <c r="I631" s="193"/>
      <c r="J631" s="193"/>
      <c r="K631" s="193"/>
      <c r="L631" s="193"/>
      <c r="M631" s="193"/>
      <c r="N631" s="193"/>
      <c r="O631" s="193"/>
      <c r="P631" s="193"/>
      <c r="Q631" s="193"/>
      <c r="R631" s="194"/>
      <c r="S631" s="69"/>
    </row>
    <row r="632" spans="1:19">
      <c r="A632" s="69"/>
      <c r="B632" s="193"/>
      <c r="C632" s="193"/>
      <c r="D632" s="193"/>
      <c r="E632" s="193"/>
      <c r="F632" s="193"/>
      <c r="G632" s="193"/>
      <c r="H632" s="193"/>
      <c r="I632" s="193"/>
      <c r="J632" s="193"/>
      <c r="K632" s="193"/>
      <c r="L632" s="193"/>
      <c r="M632" s="193"/>
      <c r="N632" s="193"/>
      <c r="O632" s="193"/>
      <c r="P632" s="193"/>
      <c r="Q632" s="193"/>
      <c r="R632" s="194"/>
      <c r="S632" s="69"/>
    </row>
    <row r="633" spans="1:19">
      <c r="A633" s="69"/>
      <c r="B633" s="193"/>
      <c r="C633" s="193"/>
      <c r="D633" s="193"/>
      <c r="E633" s="193"/>
      <c r="F633" s="193"/>
      <c r="G633" s="193"/>
      <c r="H633" s="193"/>
      <c r="I633" s="193"/>
      <c r="J633" s="193"/>
      <c r="K633" s="193"/>
      <c r="L633" s="193"/>
      <c r="M633" s="193"/>
      <c r="N633" s="193"/>
      <c r="O633" s="193"/>
      <c r="P633" s="193"/>
      <c r="Q633" s="193"/>
      <c r="R633" s="194"/>
      <c r="S633" s="69"/>
    </row>
    <row r="634" spans="1:19">
      <c r="A634" s="69"/>
      <c r="B634" s="193"/>
      <c r="C634" s="193"/>
      <c r="D634" s="193"/>
      <c r="E634" s="193"/>
      <c r="F634" s="193"/>
      <c r="G634" s="193"/>
      <c r="H634" s="193"/>
      <c r="I634" s="193"/>
      <c r="J634" s="193"/>
      <c r="K634" s="193"/>
      <c r="L634" s="193"/>
      <c r="M634" s="193"/>
      <c r="N634" s="193"/>
      <c r="O634" s="193"/>
      <c r="P634" s="193"/>
      <c r="Q634" s="193"/>
      <c r="R634" s="194"/>
      <c r="S634" s="69"/>
    </row>
    <row r="635" spans="1:19">
      <c r="A635" s="69"/>
      <c r="B635" s="193"/>
      <c r="C635" s="193"/>
      <c r="D635" s="193"/>
      <c r="E635" s="193"/>
      <c r="F635" s="193"/>
      <c r="G635" s="193"/>
      <c r="H635" s="193"/>
      <c r="I635" s="193"/>
      <c r="J635" s="193"/>
      <c r="K635" s="193"/>
      <c r="L635" s="193"/>
      <c r="M635" s="193"/>
      <c r="N635" s="193"/>
      <c r="O635" s="193"/>
      <c r="P635" s="193"/>
      <c r="Q635" s="193"/>
      <c r="R635" s="194"/>
      <c r="S635" s="69"/>
    </row>
    <row r="636" spans="1:19">
      <c r="A636" s="69"/>
      <c r="B636" s="193"/>
      <c r="C636" s="193"/>
      <c r="D636" s="193"/>
      <c r="E636" s="193"/>
      <c r="F636" s="193"/>
      <c r="G636" s="193"/>
      <c r="H636" s="193"/>
      <c r="I636" s="193"/>
      <c r="J636" s="193"/>
      <c r="K636" s="193"/>
      <c r="L636" s="193"/>
      <c r="M636" s="193"/>
      <c r="N636" s="193"/>
      <c r="O636" s="193"/>
      <c r="P636" s="193"/>
      <c r="Q636" s="193"/>
      <c r="R636" s="194"/>
      <c r="S636" s="69"/>
    </row>
    <row r="637" spans="1:19">
      <c r="A637" s="69"/>
      <c r="B637" s="193"/>
      <c r="C637" s="193"/>
      <c r="D637" s="193"/>
      <c r="E637" s="193"/>
      <c r="F637" s="193"/>
      <c r="G637" s="193"/>
      <c r="H637" s="193"/>
      <c r="I637" s="193"/>
      <c r="J637" s="193"/>
      <c r="K637" s="193"/>
      <c r="L637" s="193"/>
      <c r="M637" s="193"/>
      <c r="N637" s="193"/>
      <c r="O637" s="193"/>
      <c r="P637" s="193"/>
      <c r="Q637" s="193"/>
      <c r="R637" s="194"/>
      <c r="S637" s="69"/>
    </row>
    <row r="638" spans="1:19">
      <c r="A638" s="69"/>
      <c r="B638" s="193"/>
      <c r="C638" s="193"/>
      <c r="D638" s="193"/>
      <c r="E638" s="193"/>
      <c r="F638" s="193"/>
      <c r="G638" s="193"/>
      <c r="H638" s="193"/>
      <c r="I638" s="193"/>
      <c r="J638" s="193"/>
      <c r="K638" s="193"/>
      <c r="L638" s="193"/>
      <c r="M638" s="193"/>
      <c r="N638" s="193"/>
      <c r="O638" s="193"/>
      <c r="P638" s="193"/>
      <c r="Q638" s="193"/>
      <c r="R638" s="194"/>
      <c r="S638" s="69"/>
    </row>
    <row r="639" spans="1:19">
      <c r="A639" s="69"/>
      <c r="B639" s="193"/>
      <c r="C639" s="193"/>
      <c r="D639" s="193"/>
      <c r="E639" s="193"/>
      <c r="F639" s="193"/>
      <c r="G639" s="193"/>
      <c r="H639" s="193"/>
      <c r="I639" s="193"/>
      <c r="J639" s="193"/>
      <c r="K639" s="193"/>
      <c r="L639" s="193"/>
      <c r="M639" s="193"/>
      <c r="N639" s="193"/>
      <c r="O639" s="193"/>
      <c r="P639" s="193"/>
      <c r="Q639" s="193"/>
      <c r="R639" s="194"/>
      <c r="S639" s="69"/>
    </row>
    <row r="640" spans="1:19">
      <c r="A640" s="69"/>
      <c r="B640" s="193"/>
      <c r="C640" s="193"/>
      <c r="D640" s="193"/>
      <c r="E640" s="193"/>
      <c r="F640" s="193"/>
      <c r="G640" s="193"/>
      <c r="H640" s="193"/>
      <c r="I640" s="193"/>
      <c r="J640" s="193"/>
      <c r="K640" s="193"/>
      <c r="L640" s="193"/>
      <c r="M640" s="193"/>
      <c r="N640" s="193"/>
      <c r="O640" s="193"/>
      <c r="P640" s="193"/>
      <c r="Q640" s="193"/>
      <c r="R640" s="194"/>
      <c r="S640" s="69"/>
    </row>
    <row r="641" spans="1:19">
      <c r="A641" s="69"/>
      <c r="B641" s="193"/>
      <c r="C641" s="193"/>
      <c r="D641" s="193"/>
      <c r="E641" s="193"/>
      <c r="F641" s="193"/>
      <c r="G641" s="193"/>
      <c r="H641" s="193"/>
      <c r="I641" s="193"/>
      <c r="J641" s="193"/>
      <c r="K641" s="193"/>
      <c r="L641" s="193"/>
      <c r="M641" s="193"/>
      <c r="N641" s="193"/>
      <c r="O641" s="193"/>
      <c r="P641" s="193"/>
      <c r="Q641" s="193"/>
      <c r="R641" s="194"/>
      <c r="S641" s="69"/>
    </row>
    <row r="642" spans="1:19">
      <c r="A642" s="69"/>
      <c r="B642" s="193"/>
      <c r="C642" s="193"/>
      <c r="D642" s="193"/>
      <c r="E642" s="193"/>
      <c r="F642" s="193"/>
      <c r="G642" s="193"/>
      <c r="H642" s="193"/>
      <c r="I642" s="193"/>
      <c r="J642" s="193"/>
      <c r="K642" s="193"/>
      <c r="L642" s="193"/>
      <c r="M642" s="193"/>
      <c r="N642" s="193"/>
      <c r="O642" s="193"/>
      <c r="P642" s="193"/>
      <c r="Q642" s="193"/>
      <c r="R642" s="194"/>
      <c r="S642" s="69"/>
    </row>
    <row r="643" spans="1:19">
      <c r="A643" s="69"/>
      <c r="B643" s="193"/>
      <c r="C643" s="193"/>
      <c r="D643" s="193"/>
      <c r="E643" s="193"/>
      <c r="F643" s="193"/>
      <c r="G643" s="193"/>
      <c r="H643" s="193"/>
      <c r="I643" s="193"/>
      <c r="J643" s="193"/>
      <c r="K643" s="193"/>
      <c r="L643" s="193"/>
      <c r="M643" s="193"/>
      <c r="N643" s="193"/>
      <c r="O643" s="193"/>
      <c r="P643" s="193"/>
      <c r="Q643" s="193"/>
      <c r="R643" s="194"/>
      <c r="S643" s="69"/>
    </row>
    <row r="644" spans="1:19">
      <c r="A644" s="69"/>
      <c r="B644" s="193"/>
      <c r="C644" s="193"/>
      <c r="D644" s="193"/>
      <c r="E644" s="193"/>
      <c r="F644" s="193"/>
      <c r="G644" s="193"/>
      <c r="H644" s="193"/>
      <c r="I644" s="193"/>
      <c r="J644" s="193"/>
      <c r="K644" s="193"/>
      <c r="L644" s="193"/>
      <c r="M644" s="193"/>
      <c r="N644" s="193"/>
      <c r="O644" s="193"/>
      <c r="P644" s="193"/>
      <c r="Q644" s="193"/>
      <c r="R644" s="194"/>
      <c r="S644" s="69"/>
    </row>
    <row r="645" spans="1:19">
      <c r="A645" s="69"/>
      <c r="B645" s="193"/>
      <c r="C645" s="193"/>
      <c r="D645" s="193"/>
      <c r="E645" s="193"/>
      <c r="F645" s="193"/>
      <c r="G645" s="193"/>
      <c r="H645" s="193"/>
      <c r="I645" s="193"/>
      <c r="J645" s="193"/>
      <c r="K645" s="193"/>
      <c r="L645" s="193"/>
      <c r="M645" s="193"/>
      <c r="N645" s="193"/>
      <c r="O645" s="193"/>
      <c r="P645" s="193"/>
      <c r="Q645" s="193"/>
      <c r="R645" s="194"/>
      <c r="S645" s="69"/>
    </row>
    <row r="646" spans="1:19">
      <c r="A646" s="69"/>
      <c r="B646" s="193"/>
      <c r="C646" s="193"/>
      <c r="D646" s="193"/>
      <c r="E646" s="193"/>
      <c r="F646" s="193"/>
      <c r="G646" s="193"/>
      <c r="H646" s="193"/>
      <c r="I646" s="193"/>
      <c r="J646" s="193"/>
      <c r="K646" s="193"/>
      <c r="L646" s="193"/>
      <c r="M646" s="193"/>
      <c r="N646" s="193"/>
      <c r="O646" s="193"/>
      <c r="P646" s="193"/>
      <c r="Q646" s="193"/>
      <c r="R646" s="194"/>
      <c r="S646" s="69"/>
    </row>
    <row r="647" spans="1:19">
      <c r="A647" s="69"/>
      <c r="B647" s="193"/>
      <c r="C647" s="193"/>
      <c r="D647" s="193"/>
      <c r="E647" s="193"/>
      <c r="F647" s="193"/>
      <c r="G647" s="193"/>
      <c r="H647" s="193"/>
      <c r="I647" s="193"/>
      <c r="J647" s="193"/>
      <c r="K647" s="193"/>
      <c r="L647" s="193"/>
      <c r="M647" s="193"/>
      <c r="N647" s="193"/>
      <c r="O647" s="193"/>
      <c r="P647" s="193"/>
      <c r="Q647" s="193"/>
      <c r="R647" s="194"/>
      <c r="S647" s="69"/>
    </row>
    <row r="648" spans="1:19">
      <c r="A648" s="69"/>
      <c r="B648" s="193"/>
      <c r="C648" s="193"/>
      <c r="D648" s="193"/>
      <c r="E648" s="193"/>
      <c r="F648" s="193"/>
      <c r="G648" s="193"/>
      <c r="H648" s="193"/>
      <c r="I648" s="193"/>
      <c r="J648" s="193"/>
      <c r="K648" s="193"/>
      <c r="L648" s="193"/>
      <c r="M648" s="193"/>
      <c r="N648" s="193"/>
      <c r="O648" s="193"/>
      <c r="P648" s="193"/>
      <c r="Q648" s="193"/>
      <c r="R648" s="194"/>
      <c r="S648" s="69"/>
    </row>
    <row r="649" spans="1:19">
      <c r="A649" s="69"/>
      <c r="B649" s="193"/>
      <c r="C649" s="193"/>
      <c r="D649" s="193"/>
      <c r="E649" s="193"/>
      <c r="F649" s="193"/>
      <c r="G649" s="193"/>
      <c r="H649" s="193"/>
      <c r="I649" s="193"/>
      <c r="J649" s="193"/>
      <c r="K649" s="193"/>
      <c r="L649" s="193"/>
      <c r="M649" s="193"/>
      <c r="N649" s="193"/>
      <c r="O649" s="193"/>
      <c r="P649" s="193"/>
      <c r="Q649" s="193"/>
      <c r="R649" s="194"/>
      <c r="S649" s="69"/>
    </row>
    <row r="650" spans="1:19">
      <c r="A650" s="69"/>
      <c r="B650" s="193"/>
      <c r="C650" s="193"/>
      <c r="D650" s="193"/>
      <c r="E650" s="193"/>
      <c r="F650" s="193"/>
      <c r="G650" s="193"/>
      <c r="H650" s="193"/>
      <c r="I650" s="193"/>
      <c r="J650" s="193"/>
      <c r="K650" s="193"/>
      <c r="L650" s="193"/>
      <c r="M650" s="193"/>
      <c r="N650" s="193"/>
      <c r="O650" s="193"/>
      <c r="P650" s="193"/>
      <c r="Q650" s="193"/>
      <c r="R650" s="194"/>
      <c r="S650" s="69"/>
    </row>
    <row r="651" spans="1:19">
      <c r="A651" s="69"/>
      <c r="B651" s="193"/>
      <c r="C651" s="193"/>
      <c r="D651" s="193"/>
      <c r="E651" s="193"/>
      <c r="F651" s="193"/>
      <c r="G651" s="193"/>
      <c r="H651" s="193"/>
      <c r="I651" s="193"/>
      <c r="J651" s="193"/>
      <c r="K651" s="193"/>
      <c r="L651" s="193"/>
      <c r="M651" s="193"/>
      <c r="N651" s="193"/>
      <c r="O651" s="193"/>
      <c r="P651" s="193"/>
      <c r="Q651" s="193"/>
      <c r="R651" s="194"/>
      <c r="S651" s="69"/>
    </row>
    <row r="652" spans="1:19">
      <c r="A652" s="69"/>
      <c r="B652" s="193"/>
      <c r="C652" s="193"/>
      <c r="D652" s="193"/>
      <c r="E652" s="193"/>
      <c r="F652" s="193"/>
      <c r="G652" s="193"/>
      <c r="H652" s="193"/>
      <c r="I652" s="193"/>
      <c r="J652" s="193"/>
      <c r="K652" s="193"/>
      <c r="L652" s="193"/>
      <c r="M652" s="193"/>
      <c r="N652" s="193"/>
      <c r="O652" s="193"/>
      <c r="P652" s="193"/>
      <c r="Q652" s="193"/>
      <c r="R652" s="194"/>
      <c r="S652" s="69"/>
    </row>
    <row r="653" spans="1:19">
      <c r="A653" s="69"/>
      <c r="B653" s="193"/>
      <c r="C653" s="193"/>
      <c r="D653" s="193"/>
      <c r="E653" s="193"/>
      <c r="F653" s="193"/>
      <c r="G653" s="193"/>
      <c r="H653" s="193"/>
      <c r="I653" s="193"/>
      <c r="J653" s="193"/>
      <c r="K653" s="193"/>
      <c r="L653" s="193"/>
      <c r="M653" s="193"/>
      <c r="N653" s="193"/>
      <c r="O653" s="193"/>
      <c r="P653" s="193"/>
      <c r="Q653" s="193"/>
      <c r="R653" s="194"/>
      <c r="S653" s="69"/>
    </row>
    <row r="654" spans="1:19">
      <c r="A654" s="69"/>
      <c r="B654" s="193"/>
      <c r="C654" s="193"/>
      <c r="D654" s="193"/>
      <c r="E654" s="193"/>
      <c r="F654" s="193"/>
      <c r="G654" s="193"/>
      <c r="H654" s="193"/>
      <c r="I654" s="193"/>
      <c r="J654" s="193"/>
      <c r="K654" s="193"/>
      <c r="L654" s="193"/>
      <c r="M654" s="193"/>
      <c r="N654" s="193"/>
      <c r="O654" s="193"/>
      <c r="P654" s="193"/>
      <c r="Q654" s="193"/>
      <c r="R654" s="194"/>
      <c r="S654" s="69"/>
    </row>
    <row r="655" spans="1:19">
      <c r="A655" s="69"/>
      <c r="B655" s="193"/>
      <c r="C655" s="193"/>
      <c r="D655" s="193"/>
      <c r="E655" s="193"/>
      <c r="F655" s="193"/>
      <c r="G655" s="193"/>
      <c r="H655" s="193"/>
      <c r="I655" s="193"/>
      <c r="J655" s="193"/>
      <c r="K655" s="193"/>
      <c r="L655" s="193"/>
      <c r="M655" s="193"/>
      <c r="N655" s="193"/>
      <c r="O655" s="193"/>
      <c r="P655" s="193"/>
      <c r="Q655" s="193"/>
      <c r="R655" s="194"/>
      <c r="S655" s="69"/>
    </row>
    <row r="656" spans="1:19">
      <c r="A656" s="69"/>
      <c r="B656" s="193"/>
      <c r="C656" s="193"/>
      <c r="D656" s="193"/>
      <c r="E656" s="193"/>
      <c r="F656" s="193"/>
      <c r="G656" s="193"/>
      <c r="H656" s="193"/>
      <c r="I656" s="193"/>
      <c r="J656" s="193"/>
      <c r="K656" s="193"/>
      <c r="L656" s="193"/>
      <c r="M656" s="193"/>
      <c r="N656" s="193"/>
      <c r="O656" s="193"/>
      <c r="P656" s="193"/>
      <c r="Q656" s="193"/>
      <c r="R656" s="194"/>
      <c r="S656" s="69"/>
    </row>
    <row r="657" spans="1:19">
      <c r="A657" s="69"/>
      <c r="B657" s="193"/>
      <c r="C657" s="193"/>
      <c r="D657" s="193"/>
      <c r="E657" s="193"/>
      <c r="F657" s="193"/>
      <c r="G657" s="193"/>
      <c r="H657" s="193"/>
      <c r="I657" s="193"/>
      <c r="J657" s="193"/>
      <c r="K657" s="193"/>
      <c r="L657" s="193"/>
      <c r="M657" s="193"/>
      <c r="N657" s="193"/>
      <c r="O657" s="193"/>
      <c r="P657" s="193"/>
      <c r="Q657" s="193"/>
      <c r="R657" s="194"/>
      <c r="S657" s="69"/>
    </row>
    <row r="658" spans="1:19">
      <c r="A658" s="69"/>
      <c r="B658" s="193"/>
      <c r="C658" s="193"/>
      <c r="D658" s="193"/>
      <c r="E658" s="193"/>
      <c r="F658" s="193"/>
      <c r="G658" s="193"/>
      <c r="H658" s="193"/>
      <c r="I658" s="193"/>
      <c r="J658" s="193"/>
      <c r="K658" s="193"/>
      <c r="L658" s="193"/>
      <c r="M658" s="193"/>
      <c r="N658" s="193"/>
      <c r="O658" s="193"/>
      <c r="P658" s="193"/>
      <c r="Q658" s="193"/>
      <c r="R658" s="194"/>
      <c r="S658" s="69"/>
    </row>
    <row r="659" spans="1:19">
      <c r="A659" s="69"/>
      <c r="B659" s="193"/>
      <c r="C659" s="193"/>
      <c r="D659" s="193"/>
      <c r="E659" s="193"/>
      <c r="F659" s="193"/>
      <c r="G659" s="193"/>
      <c r="H659" s="193"/>
      <c r="I659" s="193"/>
      <c r="J659" s="193"/>
      <c r="K659" s="193"/>
      <c r="L659" s="193"/>
      <c r="M659" s="193"/>
      <c r="N659" s="193"/>
      <c r="O659" s="193"/>
      <c r="P659" s="193"/>
      <c r="Q659" s="193"/>
      <c r="R659" s="194"/>
      <c r="S659" s="69"/>
    </row>
    <row r="660" spans="1:19">
      <c r="A660" s="69"/>
      <c r="B660" s="193"/>
      <c r="C660" s="193"/>
      <c r="D660" s="193"/>
      <c r="E660" s="193"/>
      <c r="F660" s="193"/>
      <c r="G660" s="193"/>
      <c r="H660" s="193"/>
      <c r="I660" s="193"/>
      <c r="J660" s="193"/>
      <c r="K660" s="193"/>
      <c r="L660" s="193"/>
      <c r="M660" s="193"/>
      <c r="N660" s="193"/>
      <c r="O660" s="193"/>
      <c r="P660" s="193"/>
      <c r="Q660" s="193"/>
      <c r="R660" s="194"/>
      <c r="S660" s="69"/>
    </row>
    <row r="661" spans="1:19">
      <c r="A661" s="69"/>
      <c r="B661" s="193"/>
      <c r="C661" s="193"/>
      <c r="D661" s="193"/>
      <c r="E661" s="193"/>
      <c r="F661" s="193"/>
      <c r="G661" s="193"/>
      <c r="H661" s="193"/>
      <c r="I661" s="193"/>
      <c r="J661" s="193"/>
      <c r="K661" s="193"/>
      <c r="L661" s="193"/>
      <c r="M661" s="193"/>
      <c r="N661" s="193"/>
      <c r="O661" s="193"/>
      <c r="P661" s="193"/>
      <c r="Q661" s="193"/>
      <c r="R661" s="194"/>
      <c r="S661" s="69"/>
    </row>
    <row r="662" spans="1:19">
      <c r="A662" s="69"/>
      <c r="B662" s="193"/>
      <c r="C662" s="193"/>
      <c r="D662" s="193"/>
      <c r="E662" s="193"/>
      <c r="F662" s="193"/>
      <c r="G662" s="193"/>
      <c r="H662" s="193"/>
      <c r="I662" s="193"/>
      <c r="J662" s="193"/>
      <c r="K662" s="193"/>
      <c r="L662" s="193"/>
      <c r="M662" s="193"/>
      <c r="N662" s="193"/>
      <c r="O662" s="193"/>
      <c r="P662" s="193"/>
      <c r="Q662" s="193"/>
      <c r="R662" s="194"/>
      <c r="S662" s="69"/>
    </row>
    <row r="663" spans="1:19">
      <c r="A663" s="69"/>
      <c r="B663" s="193"/>
      <c r="C663" s="193"/>
      <c r="D663" s="193"/>
      <c r="E663" s="193"/>
      <c r="F663" s="193"/>
      <c r="G663" s="193"/>
      <c r="H663" s="193"/>
      <c r="I663" s="193"/>
      <c r="J663" s="193"/>
      <c r="K663" s="193"/>
      <c r="L663" s="193"/>
      <c r="M663" s="193"/>
      <c r="N663" s="193"/>
      <c r="O663" s="193"/>
      <c r="P663" s="193"/>
      <c r="Q663" s="193"/>
      <c r="R663" s="194"/>
      <c r="S663" s="69"/>
    </row>
    <row r="664" spans="1:19">
      <c r="A664" s="69"/>
      <c r="B664" s="193"/>
      <c r="C664" s="193"/>
      <c r="D664" s="193"/>
      <c r="E664" s="193"/>
      <c r="F664" s="193"/>
      <c r="G664" s="193"/>
      <c r="H664" s="193"/>
      <c r="I664" s="193"/>
      <c r="J664" s="193"/>
      <c r="K664" s="193"/>
      <c r="L664" s="193"/>
      <c r="M664" s="193"/>
      <c r="N664" s="193"/>
      <c r="O664" s="193"/>
      <c r="P664" s="193"/>
      <c r="Q664" s="193"/>
      <c r="R664" s="194"/>
      <c r="S664" s="69"/>
    </row>
    <row r="665" spans="1:19">
      <c r="A665" s="69"/>
      <c r="B665" s="193"/>
      <c r="C665" s="193"/>
      <c r="D665" s="193"/>
      <c r="E665" s="193"/>
      <c r="F665" s="193"/>
      <c r="G665" s="193"/>
      <c r="H665" s="193"/>
      <c r="I665" s="193"/>
      <c r="J665" s="193"/>
      <c r="K665" s="193"/>
      <c r="L665" s="193"/>
      <c r="M665" s="193"/>
      <c r="N665" s="193"/>
      <c r="O665" s="193"/>
      <c r="P665" s="193"/>
      <c r="Q665" s="193"/>
      <c r="R665" s="194"/>
      <c r="S665" s="69"/>
    </row>
    <row r="666" spans="1:19">
      <c r="A666" s="69"/>
      <c r="B666" s="193"/>
      <c r="C666" s="193"/>
      <c r="D666" s="193"/>
      <c r="E666" s="193"/>
      <c r="F666" s="193"/>
      <c r="G666" s="193"/>
      <c r="H666" s="193"/>
      <c r="I666" s="193"/>
      <c r="J666" s="193"/>
      <c r="K666" s="193"/>
      <c r="L666" s="193"/>
      <c r="M666" s="193"/>
      <c r="N666" s="193"/>
      <c r="O666" s="193"/>
      <c r="P666" s="193"/>
      <c r="Q666" s="193"/>
      <c r="R666" s="194"/>
      <c r="S666" s="69"/>
    </row>
    <row r="667" spans="1:19">
      <c r="A667" s="69"/>
      <c r="B667" s="193"/>
      <c r="C667" s="193"/>
      <c r="D667" s="193"/>
      <c r="E667" s="193"/>
      <c r="F667" s="193"/>
      <c r="G667" s="193"/>
      <c r="H667" s="193"/>
      <c r="I667" s="193"/>
      <c r="J667" s="193"/>
      <c r="K667" s="193"/>
      <c r="L667" s="193"/>
      <c r="M667" s="193"/>
      <c r="N667" s="193"/>
      <c r="O667" s="193"/>
      <c r="P667" s="193"/>
      <c r="Q667" s="193"/>
      <c r="R667" s="194"/>
      <c r="S667" s="69"/>
    </row>
    <row r="668" spans="1:19">
      <c r="A668" s="69"/>
      <c r="B668" s="193"/>
      <c r="C668" s="193"/>
      <c r="D668" s="193"/>
      <c r="E668" s="193"/>
      <c r="F668" s="193"/>
      <c r="G668" s="193"/>
      <c r="H668" s="193"/>
      <c r="I668" s="193"/>
      <c r="J668" s="193"/>
      <c r="K668" s="193"/>
      <c r="L668" s="193"/>
      <c r="M668" s="193"/>
      <c r="N668" s="193"/>
      <c r="O668" s="193"/>
      <c r="P668" s="193"/>
      <c r="Q668" s="193"/>
      <c r="R668" s="194"/>
      <c r="S668" s="69"/>
    </row>
    <row r="669" spans="1:19">
      <c r="A669" s="69"/>
      <c r="B669" s="193"/>
      <c r="C669" s="193"/>
      <c r="D669" s="193"/>
      <c r="E669" s="193"/>
      <c r="F669" s="193"/>
      <c r="G669" s="193"/>
      <c r="H669" s="193"/>
      <c r="I669" s="193"/>
      <c r="J669" s="193"/>
      <c r="K669" s="193"/>
      <c r="L669" s="193"/>
      <c r="M669" s="193"/>
      <c r="N669" s="193"/>
      <c r="O669" s="193"/>
      <c r="P669" s="193"/>
      <c r="Q669" s="193"/>
      <c r="R669" s="194"/>
      <c r="S669" s="69"/>
    </row>
    <row r="670" spans="1:19">
      <c r="A670" s="69"/>
      <c r="B670" s="193"/>
      <c r="C670" s="193"/>
      <c r="D670" s="193"/>
      <c r="E670" s="193"/>
      <c r="F670" s="193"/>
      <c r="G670" s="193"/>
      <c r="H670" s="193"/>
      <c r="I670" s="193"/>
      <c r="J670" s="193"/>
      <c r="K670" s="193"/>
      <c r="L670" s="193"/>
      <c r="M670" s="193"/>
      <c r="N670" s="193"/>
      <c r="O670" s="193"/>
      <c r="P670" s="193"/>
      <c r="Q670" s="193"/>
      <c r="R670" s="194"/>
      <c r="S670" s="69"/>
    </row>
    <row r="671" spans="1:19">
      <c r="A671" s="69"/>
      <c r="B671" s="193"/>
      <c r="C671" s="193"/>
      <c r="D671" s="193"/>
      <c r="E671" s="193"/>
      <c r="F671" s="193"/>
      <c r="G671" s="193"/>
      <c r="H671" s="193"/>
      <c r="I671" s="193"/>
      <c r="J671" s="193"/>
      <c r="K671" s="193"/>
      <c r="L671" s="193"/>
      <c r="M671" s="193"/>
      <c r="N671" s="193"/>
      <c r="O671" s="193"/>
      <c r="P671" s="193"/>
      <c r="Q671" s="193"/>
      <c r="R671" s="194"/>
      <c r="S671" s="69"/>
    </row>
    <row r="672" spans="1:19">
      <c r="A672" s="69"/>
      <c r="B672" s="193"/>
      <c r="C672" s="193"/>
      <c r="D672" s="193"/>
      <c r="E672" s="193"/>
      <c r="F672" s="193"/>
      <c r="G672" s="193"/>
      <c r="H672" s="193"/>
      <c r="I672" s="193"/>
      <c r="J672" s="193"/>
      <c r="K672" s="193"/>
      <c r="L672" s="193"/>
      <c r="M672" s="193"/>
      <c r="N672" s="193"/>
      <c r="O672" s="193"/>
      <c r="P672" s="193"/>
      <c r="Q672" s="193"/>
      <c r="R672" s="194"/>
      <c r="S672" s="69"/>
    </row>
    <row r="673" spans="1:19">
      <c r="A673" s="69"/>
      <c r="B673" s="193"/>
      <c r="C673" s="193"/>
      <c r="D673" s="193"/>
      <c r="E673" s="193"/>
      <c r="F673" s="193"/>
      <c r="G673" s="193"/>
      <c r="H673" s="193"/>
      <c r="I673" s="193"/>
      <c r="J673" s="193"/>
      <c r="K673" s="193"/>
      <c r="L673" s="193"/>
      <c r="M673" s="193"/>
      <c r="N673" s="193"/>
      <c r="O673" s="193"/>
      <c r="P673" s="193"/>
      <c r="Q673" s="193"/>
      <c r="R673" s="194"/>
      <c r="S673" s="69"/>
    </row>
    <row r="674" spans="1:19">
      <c r="A674" s="69"/>
      <c r="B674" s="193"/>
      <c r="C674" s="193"/>
      <c r="D674" s="193"/>
      <c r="E674" s="193"/>
      <c r="F674" s="193"/>
      <c r="G674" s="193"/>
      <c r="H674" s="193"/>
      <c r="I674" s="193"/>
      <c r="J674" s="193"/>
      <c r="K674" s="193"/>
      <c r="L674" s="193"/>
      <c r="M674" s="193"/>
      <c r="N674" s="193"/>
      <c r="O674" s="193"/>
      <c r="P674" s="193"/>
      <c r="Q674" s="193"/>
      <c r="R674" s="194"/>
      <c r="S674" s="69"/>
    </row>
    <row r="675" spans="1:19">
      <c r="A675" s="69"/>
      <c r="B675" s="193"/>
      <c r="C675" s="193"/>
      <c r="D675" s="193"/>
      <c r="E675" s="193"/>
      <c r="F675" s="193"/>
      <c r="G675" s="193"/>
      <c r="H675" s="193"/>
      <c r="I675" s="193"/>
      <c r="J675" s="193"/>
      <c r="K675" s="193"/>
      <c r="L675" s="193"/>
      <c r="M675" s="193"/>
      <c r="N675" s="193"/>
      <c r="O675" s="193"/>
      <c r="P675" s="193"/>
      <c r="Q675" s="193"/>
      <c r="R675" s="194"/>
      <c r="S675" s="69"/>
    </row>
    <row r="676" spans="1:19">
      <c r="A676" s="69"/>
      <c r="B676" s="193"/>
      <c r="C676" s="193"/>
      <c r="D676" s="193"/>
      <c r="E676" s="193"/>
      <c r="F676" s="193"/>
      <c r="G676" s="193"/>
      <c r="H676" s="193"/>
      <c r="I676" s="193"/>
      <c r="J676" s="193"/>
      <c r="K676" s="193"/>
      <c r="L676" s="193"/>
      <c r="M676" s="193"/>
      <c r="N676" s="193"/>
      <c r="O676" s="193"/>
      <c r="P676" s="193"/>
      <c r="Q676" s="193"/>
      <c r="R676" s="194"/>
      <c r="S676" s="69"/>
    </row>
    <row r="677" spans="1:19">
      <c r="A677" s="69"/>
      <c r="B677" s="193"/>
      <c r="C677" s="193"/>
      <c r="D677" s="193"/>
      <c r="E677" s="193"/>
      <c r="F677" s="193"/>
      <c r="G677" s="193"/>
      <c r="H677" s="193"/>
      <c r="I677" s="193"/>
      <c r="J677" s="193"/>
      <c r="K677" s="193"/>
      <c r="L677" s="193"/>
      <c r="M677" s="193"/>
      <c r="N677" s="193"/>
      <c r="O677" s="193"/>
      <c r="P677" s="193"/>
      <c r="Q677" s="193"/>
      <c r="R677" s="194"/>
      <c r="S677" s="69"/>
    </row>
    <row r="678" spans="1:19">
      <c r="A678" s="69"/>
      <c r="B678" s="193"/>
      <c r="C678" s="193"/>
      <c r="D678" s="193"/>
      <c r="E678" s="193"/>
      <c r="F678" s="193"/>
      <c r="G678" s="193"/>
      <c r="H678" s="193"/>
      <c r="I678" s="193"/>
      <c r="J678" s="193"/>
      <c r="K678" s="193"/>
      <c r="L678" s="193"/>
      <c r="M678" s="193"/>
      <c r="N678" s="193"/>
      <c r="O678" s="193"/>
      <c r="P678" s="193"/>
      <c r="Q678" s="193"/>
      <c r="R678" s="194"/>
      <c r="S678" s="69"/>
    </row>
    <row r="679" spans="1:19">
      <c r="A679" s="69"/>
      <c r="B679" s="193"/>
      <c r="C679" s="193"/>
      <c r="D679" s="193"/>
      <c r="E679" s="193"/>
      <c r="F679" s="193"/>
      <c r="G679" s="193"/>
      <c r="H679" s="193"/>
      <c r="I679" s="193"/>
      <c r="J679" s="193"/>
      <c r="K679" s="193"/>
      <c r="L679" s="193"/>
      <c r="M679" s="193"/>
      <c r="N679" s="193"/>
      <c r="O679" s="193"/>
      <c r="P679" s="193"/>
      <c r="Q679" s="193"/>
      <c r="R679" s="194"/>
      <c r="S679" s="69"/>
    </row>
    <row r="680" spans="1:19">
      <c r="A680" s="69"/>
      <c r="B680" s="193"/>
      <c r="C680" s="193"/>
      <c r="D680" s="193"/>
      <c r="E680" s="193"/>
      <c r="F680" s="193"/>
      <c r="G680" s="193"/>
      <c r="H680" s="193"/>
      <c r="I680" s="193"/>
      <c r="J680" s="193"/>
      <c r="K680" s="193"/>
      <c r="L680" s="193"/>
      <c r="M680" s="193"/>
      <c r="N680" s="193"/>
      <c r="O680" s="193"/>
      <c r="P680" s="193"/>
      <c r="Q680" s="193"/>
      <c r="R680" s="194"/>
      <c r="S680" s="69"/>
    </row>
    <row r="681" spans="1:19">
      <c r="A681" s="69"/>
      <c r="B681" s="193"/>
      <c r="C681" s="193"/>
      <c r="D681" s="193"/>
      <c r="E681" s="193"/>
      <c r="F681" s="193"/>
      <c r="G681" s="193"/>
      <c r="H681" s="193"/>
      <c r="I681" s="193"/>
      <c r="J681" s="193"/>
      <c r="K681" s="193"/>
      <c r="L681" s="193"/>
      <c r="M681" s="193"/>
      <c r="N681" s="193"/>
      <c r="O681" s="193"/>
      <c r="P681" s="193"/>
      <c r="Q681" s="193"/>
      <c r="R681" s="194"/>
      <c r="S681" s="69"/>
    </row>
    <row r="682" spans="1:19">
      <c r="A682" s="69"/>
      <c r="B682" s="193"/>
      <c r="C682" s="193"/>
      <c r="D682" s="193"/>
      <c r="E682" s="193"/>
      <c r="F682" s="193"/>
      <c r="G682" s="193"/>
      <c r="H682" s="193"/>
      <c r="I682" s="193"/>
      <c r="J682" s="193"/>
      <c r="K682" s="193"/>
      <c r="L682" s="193"/>
      <c r="M682" s="193"/>
      <c r="N682" s="193"/>
      <c r="O682" s="193"/>
      <c r="P682" s="193"/>
      <c r="Q682" s="193"/>
      <c r="R682" s="194"/>
      <c r="S682" s="69"/>
    </row>
  </sheetData>
  <sheetProtection password="C66D" sheet="1" formatCells="0" formatColumns="0" formatRows="0" objects="1" scenarios="1"/>
  <mergeCells count="2">
    <mergeCell ref="C1:S1"/>
    <mergeCell ref="C22:Q22"/>
  </mergeCells>
  <conditionalFormatting sqref="C24:C524 E24:E524 G24:G524 I24:I524 K24:K524 M24:M524 O24:O524 Q24:Q524">
    <cfRule type="cellIs" priority="1" operator="notEqual">
      <formula>1</formula>
    </cfRule>
  </conditionalFormatting>
  <dataValidations count="8">
    <dataValidation type="list" allowBlank="1" showInputMessage="1" showErrorMessage="1" sqref="H24:H524">
      <formula1>一修多修正项4</formula1>
    </dataValidation>
    <dataValidation type="list" allowBlank="1" showInputMessage="1" showErrorMessage="1" sqref="B2 B23">
      <formula1>"建筑面积,土地面积"</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D31" sqref="D3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6">
      <c r="A1" s="6"/>
      <c r="B1" s="7" t="s">
        <v>2417</v>
      </c>
      <c r="C1" s="8">
        <f>项目基本情况!D3</f>
        <v>44519</v>
      </c>
      <c r="H1" s="9">
        <f>IF(C1&gt;C13,0,MATCH(C1,C$13:C$100,-1))+IF(SUMIF(C13:C100,C1,D13:D100)=0,13,12)</f>
        <v>13</v>
      </c>
      <c r="I1" s="9">
        <f ca="1">MATCH(C2,H3:H7,1)+IF(SUMIF(H3:H7,C2,I3:I7)=0,2,1)</f>
        <v>5</v>
      </c>
      <c r="J1" s="49">
        <f ca="1">MATCH(C3,H3:H7,1)+IF(SUMIF(H3:H7,C3,J3:J7)=0,2,1)</f>
        <v>2</v>
      </c>
      <c r="N1" s="9">
        <f>IF(C1&gt;M13,0,MATCH(C1,M$13:M$100,-1))+IF(SUMIF(M13:M100,C1,N13:N100)=0,13,12)</f>
        <v>13</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2" customFormat="1" ht="15" spans="1:257">
      <c r="A2" s="10"/>
      <c r="B2" s="11" t="s">
        <v>2418</v>
      </c>
      <c r="C2" s="12">
        <f>'数据-取费表'!B22</f>
        <v>1.5</v>
      </c>
      <c r="D2" s="7" t="s">
        <v>2419</v>
      </c>
      <c r="E2" s="13">
        <f ca="1">INDIRECT("I"&amp;$I$1)/100</f>
        <v>0.0475</v>
      </c>
      <c r="G2" s="10"/>
      <c r="H2" s="10"/>
      <c r="I2" s="10" t="s">
        <v>2419</v>
      </c>
      <c r="K2" s="10"/>
      <c r="L2" s="10"/>
      <c r="M2" s="10"/>
      <c r="N2" s="10" t="s">
        <v>2420</v>
      </c>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2" customFormat="1" spans="1:256">
      <c r="A3" s="3"/>
      <c r="B3" s="7" t="s">
        <v>2421</v>
      </c>
      <c r="C3" s="14">
        <f>'数据-取费表'!B19</f>
        <v>0</v>
      </c>
      <c r="D3" s="7" t="s">
        <v>2419</v>
      </c>
      <c r="E3" s="13">
        <f ca="1">INDIRECT("J"&amp;$J$1)/100</f>
        <v>0</v>
      </c>
      <c r="G3" s="15" t="s">
        <v>2422</v>
      </c>
      <c r="H3" s="16">
        <v>0</v>
      </c>
      <c r="I3" s="50">
        <f ca="1">INDIRECT("d"&amp;$H$1)</f>
        <v>4.35</v>
      </c>
      <c r="J3" s="50">
        <f ca="1">INDIRECT("d"&amp;$H$1)</f>
        <v>4.35</v>
      </c>
      <c r="K3" s="3"/>
      <c r="L3" s="3"/>
      <c r="M3" s="51">
        <v>0.5</v>
      </c>
      <c r="N3" s="52">
        <f ca="1">INDIRECT("p"&amp;$N$1)</f>
        <v>1.3</v>
      </c>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2" customFormat="1" spans="1:256">
      <c r="A4" s="3"/>
      <c r="B4" s="7" t="s">
        <v>2423</v>
      </c>
      <c r="C4" s="13">
        <f ca="1">N4/100</f>
        <v>0.015</v>
      </c>
      <c r="G4" s="17" t="s">
        <v>2424</v>
      </c>
      <c r="H4" s="18">
        <v>0.5</v>
      </c>
      <c r="I4" s="53">
        <f ca="1">INDIRECT("e"&amp;$H$1)</f>
        <v>4.35</v>
      </c>
      <c r="J4" s="53">
        <f ca="1">INDIRECT("e"&amp;$H$1)</f>
        <v>4.35</v>
      </c>
      <c r="K4" s="3"/>
      <c r="L4" s="3"/>
      <c r="M4" s="54">
        <v>1</v>
      </c>
      <c r="N4" s="55">
        <f ca="1">INDIRECT("q"&amp;$N$1)</f>
        <v>1.5</v>
      </c>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2" customFormat="1" spans="1:256">
      <c r="A5" s="3"/>
      <c r="G5" s="17" t="s">
        <v>2425</v>
      </c>
      <c r="H5" s="18">
        <v>1</v>
      </c>
      <c r="I5" s="53">
        <f ca="1">INDIRECT("f"&amp;$H$1)</f>
        <v>4.75</v>
      </c>
      <c r="J5" s="53">
        <f ca="1">INDIRECT("f"&amp;$H$1)</f>
        <v>4.75</v>
      </c>
      <c r="K5" s="3"/>
      <c r="L5" s="3"/>
      <c r="M5" s="54">
        <v>2</v>
      </c>
      <c r="N5" s="55">
        <f ca="1">INDIRECT("r"&amp;$N$1)</f>
        <v>2.1</v>
      </c>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2" customFormat="1" spans="1:256">
      <c r="A6" s="3"/>
      <c r="G6" s="17" t="s">
        <v>2426</v>
      </c>
      <c r="H6" s="18">
        <v>3</v>
      </c>
      <c r="I6" s="53">
        <f ca="1">INDIRECT("g"&amp;$H$1)</f>
        <v>4.75</v>
      </c>
      <c r="J6" s="53">
        <f ca="1">INDIRECT("g"&amp;$H$1)</f>
        <v>4.75</v>
      </c>
      <c r="K6" s="3"/>
      <c r="L6" s="3"/>
      <c r="M6" s="54">
        <v>3</v>
      </c>
      <c r="N6" s="55">
        <f ca="1">INDIRECT("s"&amp;$N$1)</f>
        <v>2.75</v>
      </c>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2" customFormat="1" ht="14.25" spans="1:256">
      <c r="A7" s="3"/>
      <c r="G7" s="19" t="s">
        <v>2427</v>
      </c>
      <c r="H7" s="20">
        <v>5</v>
      </c>
      <c r="I7" s="56">
        <f ca="1">INDIRECT("h"&amp;$H$1)</f>
        <v>4.9</v>
      </c>
      <c r="J7" s="56">
        <f ca="1">INDIRECT("h"&amp;$H$1)</f>
        <v>4.9</v>
      </c>
      <c r="K7" s="3"/>
      <c r="L7" s="3"/>
      <c r="M7" s="57">
        <v>5</v>
      </c>
      <c r="N7" s="58">
        <f ca="1">INDIRECT("t"&amp;$N$1)</f>
        <v>0</v>
      </c>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6">
      <c r="A8" s="21"/>
      <c r="B8" s="22"/>
      <c r="C8" s="23"/>
      <c r="D8" s="3"/>
      <c r="E8" s="3"/>
      <c r="F8" s="3"/>
      <c r="G8" s="3"/>
      <c r="H8" s="3"/>
      <c r="I8" s="3"/>
      <c r="J8" s="3"/>
      <c r="L8" s="3"/>
      <c r="M8" s="3"/>
      <c r="N8" s="3"/>
      <c r="O8" s="3"/>
      <c r="P8" s="3"/>
      <c r="Q8" s="3"/>
      <c r="R8" s="3"/>
      <c r="S8" s="3"/>
      <c r="T8" s="3"/>
      <c r="U8" s="3"/>
      <c r="V8" s="3"/>
      <c r="W8" s="3"/>
      <c r="X8" s="3"/>
      <c r="Y8" s="3"/>
      <c r="Z8" s="3"/>
    </row>
    <row r="9" ht="20.25" spans="1:257">
      <c r="A9" s="24"/>
      <c r="B9" s="25" t="s">
        <v>2428</v>
      </c>
      <c r="C9" s="26"/>
      <c r="D9" s="27"/>
      <c r="E9" s="27"/>
      <c r="F9" s="27"/>
      <c r="G9" s="27"/>
      <c r="H9" s="27"/>
      <c r="I9" s="27"/>
      <c r="J9" s="27"/>
      <c r="K9" s="27"/>
      <c r="L9" s="27"/>
      <c r="M9" s="27"/>
      <c r="N9" s="27"/>
      <c r="O9" s="27"/>
      <c r="P9" s="27"/>
      <c r="Q9" s="27"/>
      <c r="R9" s="27"/>
      <c r="S9" s="27"/>
      <c r="T9" s="27"/>
      <c r="U9" s="27"/>
      <c r="V9" s="27"/>
      <c r="W9" s="27"/>
      <c r="X9" s="27"/>
      <c r="Y9" s="27"/>
      <c r="Z9" s="27"/>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ht="22.5" spans="1:256">
      <c r="A10" s="28"/>
      <c r="B10" s="29" t="s">
        <v>2429</v>
      </c>
      <c r="C10" s="28"/>
      <c r="D10" s="28"/>
      <c r="E10" s="28"/>
      <c r="F10" s="28"/>
      <c r="G10" s="28"/>
      <c r="H10" s="28"/>
      <c r="I10" s="3"/>
      <c r="J10" s="3"/>
      <c r="K10" s="28"/>
      <c r="L10" s="29" t="s">
        <v>2430</v>
      </c>
      <c r="M10" s="28"/>
      <c r="N10" s="28"/>
      <c r="O10" s="28"/>
      <c r="P10" s="28"/>
      <c r="Q10" s="28"/>
      <c r="R10" s="28"/>
      <c r="S10" s="28"/>
      <c r="T10" s="28"/>
      <c r="U10" s="28"/>
      <c r="V10" s="28"/>
      <c r="W10" s="28"/>
      <c r="X10" s="28"/>
      <c r="Y10" s="28"/>
      <c r="Z10" s="28"/>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c r="A11" s="30"/>
      <c r="B11" s="31" t="s">
        <v>2431</v>
      </c>
      <c r="C11" s="32" t="s">
        <v>2432</v>
      </c>
      <c r="D11" s="33" t="s">
        <v>2433</v>
      </c>
      <c r="E11" s="34"/>
      <c r="F11" s="33" t="s">
        <v>2434</v>
      </c>
      <c r="G11" s="35"/>
      <c r="H11" s="34"/>
      <c r="I11" s="33" t="s">
        <v>2435</v>
      </c>
      <c r="J11" s="34"/>
      <c r="K11" s="30"/>
      <c r="L11" s="31" t="s">
        <v>2431</v>
      </c>
      <c r="M11" s="32" t="s">
        <v>2432</v>
      </c>
      <c r="N11" s="31" t="s">
        <v>2436</v>
      </c>
      <c r="O11" s="33" t="s">
        <v>2437</v>
      </c>
      <c r="P11" s="35"/>
      <c r="Q11" s="35"/>
      <c r="R11" s="35"/>
      <c r="S11" s="35"/>
      <c r="T11" s="34"/>
      <c r="U11" s="33" t="s">
        <v>2438</v>
      </c>
      <c r="V11" s="35"/>
      <c r="W11" s="34"/>
      <c r="X11" s="31" t="s">
        <v>2439</v>
      </c>
      <c r="Y11" s="31" t="s">
        <v>2440</v>
      </c>
      <c r="Z11" s="31" t="s">
        <v>2441</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c r="A12" s="36"/>
      <c r="B12" s="37"/>
      <c r="C12" s="38"/>
      <c r="D12" s="39" t="s">
        <v>2442</v>
      </c>
      <c r="E12" s="39" t="s">
        <v>2424</v>
      </c>
      <c r="F12" s="39" t="s">
        <v>2425</v>
      </c>
      <c r="G12" s="39" t="s">
        <v>2426</v>
      </c>
      <c r="H12" s="39" t="s">
        <v>2427</v>
      </c>
      <c r="I12" s="59" t="s">
        <v>2443</v>
      </c>
      <c r="J12" s="59" t="s">
        <v>2443</v>
      </c>
      <c r="K12" s="36"/>
      <c r="L12" s="37"/>
      <c r="M12" s="38"/>
      <c r="N12" s="37"/>
      <c r="O12" s="59" t="s">
        <v>2444</v>
      </c>
      <c r="P12" s="59">
        <v>0.5</v>
      </c>
      <c r="Q12" s="59">
        <v>1</v>
      </c>
      <c r="R12" s="59">
        <v>2</v>
      </c>
      <c r="S12" s="59">
        <v>3</v>
      </c>
      <c r="T12" s="59">
        <v>5</v>
      </c>
      <c r="U12" s="59">
        <v>1</v>
      </c>
      <c r="V12" s="59">
        <v>3</v>
      </c>
      <c r="W12" s="59">
        <v>5</v>
      </c>
      <c r="X12" s="37"/>
      <c r="Y12" s="37"/>
      <c r="Z12" s="37"/>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14.25" spans="1:257">
      <c r="A13" s="40"/>
      <c r="B13" s="41" t="s">
        <v>2445</v>
      </c>
      <c r="C13" s="42">
        <v>42301</v>
      </c>
      <c r="D13" s="43">
        <v>4.35</v>
      </c>
      <c r="E13" s="43">
        <v>4.35</v>
      </c>
      <c r="F13" s="43">
        <v>4.75</v>
      </c>
      <c r="G13" s="43">
        <v>4.75</v>
      </c>
      <c r="H13" s="43">
        <v>4.9</v>
      </c>
      <c r="I13" s="43">
        <v>2.75</v>
      </c>
      <c r="J13" s="43">
        <v>3.25</v>
      </c>
      <c r="K13" s="40"/>
      <c r="L13" s="41" t="s">
        <v>2445</v>
      </c>
      <c r="M13" s="60">
        <v>42301</v>
      </c>
      <c r="N13" s="43">
        <v>0.35</v>
      </c>
      <c r="O13" s="43">
        <v>1.1</v>
      </c>
      <c r="P13" s="43">
        <v>1.3</v>
      </c>
      <c r="Q13" s="43">
        <v>1.5</v>
      </c>
      <c r="R13" s="43">
        <v>2.1</v>
      </c>
      <c r="S13" s="43">
        <v>2.75</v>
      </c>
      <c r="T13" s="43"/>
      <c r="U13" s="43"/>
      <c r="V13" s="43"/>
      <c r="W13" s="43"/>
      <c r="X13" s="43"/>
      <c r="Y13" s="43"/>
      <c r="Z13" s="43"/>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8"/>
    </row>
    <row r="14" spans="2:26">
      <c r="B14" s="44"/>
      <c r="C14" s="45">
        <v>42242</v>
      </c>
      <c r="D14" s="44">
        <v>4.6</v>
      </c>
      <c r="E14" s="44">
        <v>4.6</v>
      </c>
      <c r="F14" s="44">
        <v>5</v>
      </c>
      <c r="G14" s="44">
        <v>5</v>
      </c>
      <c r="H14" s="44">
        <v>5.15</v>
      </c>
      <c r="I14" s="44">
        <v>2.75</v>
      </c>
      <c r="J14" s="44">
        <v>3.25</v>
      </c>
      <c r="L14" s="44"/>
      <c r="M14" s="45">
        <v>42242</v>
      </c>
      <c r="N14" s="44">
        <v>0.35</v>
      </c>
      <c r="O14" s="44">
        <v>1.35</v>
      </c>
      <c r="P14" s="44">
        <v>1.55</v>
      </c>
      <c r="Q14" s="44">
        <v>1.75</v>
      </c>
      <c r="R14" s="44">
        <v>2.35</v>
      </c>
      <c r="S14" s="44">
        <v>3</v>
      </c>
      <c r="T14" s="44"/>
      <c r="U14" s="44"/>
      <c r="V14" s="44"/>
      <c r="W14" s="44"/>
      <c r="X14" s="44"/>
      <c r="Y14" s="44"/>
      <c r="Z14" s="44"/>
    </row>
    <row r="15" spans="2:26">
      <c r="B15" s="44"/>
      <c r="C15" s="45">
        <v>42183</v>
      </c>
      <c r="D15" s="44">
        <v>4.85</v>
      </c>
      <c r="E15" s="44">
        <v>4.85</v>
      </c>
      <c r="F15" s="44">
        <v>5.25</v>
      </c>
      <c r="G15" s="44">
        <v>5.25</v>
      </c>
      <c r="H15" s="44">
        <v>5.4</v>
      </c>
      <c r="I15" s="44">
        <v>3</v>
      </c>
      <c r="J15" s="44">
        <v>3.5</v>
      </c>
      <c r="L15" s="44"/>
      <c r="M15" s="45">
        <v>42183</v>
      </c>
      <c r="N15" s="44">
        <v>0.35</v>
      </c>
      <c r="O15" s="44">
        <v>1.6</v>
      </c>
      <c r="P15" s="44">
        <v>1.8</v>
      </c>
      <c r="Q15" s="44">
        <v>2</v>
      </c>
      <c r="R15" s="44">
        <v>2.6</v>
      </c>
      <c r="S15" s="44">
        <v>3.25</v>
      </c>
      <c r="T15" s="44"/>
      <c r="U15" s="44"/>
      <c r="V15" s="44"/>
      <c r="W15" s="44"/>
      <c r="X15" s="44"/>
      <c r="Y15" s="44"/>
      <c r="Z15" s="44"/>
    </row>
    <row r="16" spans="2:26">
      <c r="B16" s="44"/>
      <c r="C16" s="45">
        <v>42135</v>
      </c>
      <c r="D16" s="44">
        <v>5.1</v>
      </c>
      <c r="E16" s="44">
        <v>5.1</v>
      </c>
      <c r="F16" s="44">
        <v>5.5</v>
      </c>
      <c r="G16" s="44">
        <v>5.5</v>
      </c>
      <c r="H16" s="44">
        <v>5.65</v>
      </c>
      <c r="I16" s="44">
        <v>3.25</v>
      </c>
      <c r="J16" s="44">
        <v>3.75</v>
      </c>
      <c r="L16" s="44"/>
      <c r="M16" s="45">
        <v>42135</v>
      </c>
      <c r="N16" s="44">
        <v>0.35</v>
      </c>
      <c r="O16" s="44">
        <v>1.85</v>
      </c>
      <c r="P16" s="44">
        <v>2.05</v>
      </c>
      <c r="Q16" s="44">
        <v>2.25</v>
      </c>
      <c r="R16" s="44">
        <v>2.85</v>
      </c>
      <c r="S16" s="44">
        <v>3.5</v>
      </c>
      <c r="T16" s="44"/>
      <c r="U16" s="44"/>
      <c r="V16" s="44"/>
      <c r="W16" s="44"/>
      <c r="X16" s="44"/>
      <c r="Y16" s="44"/>
      <c r="Z16" s="44"/>
    </row>
    <row r="17" spans="2:26">
      <c r="B17" s="44"/>
      <c r="C17" s="45">
        <v>42064</v>
      </c>
      <c r="D17" s="44">
        <v>5.35</v>
      </c>
      <c r="E17" s="44">
        <v>5.35</v>
      </c>
      <c r="F17" s="44">
        <v>5.75</v>
      </c>
      <c r="G17" s="44">
        <v>5.75</v>
      </c>
      <c r="H17" s="44">
        <v>5.9</v>
      </c>
      <c r="I17" s="44"/>
      <c r="J17" s="44"/>
      <c r="L17" s="44"/>
      <c r="M17" s="45">
        <v>42064</v>
      </c>
      <c r="N17" s="44">
        <v>0.35</v>
      </c>
      <c r="O17" s="44">
        <v>2.1</v>
      </c>
      <c r="P17" s="44">
        <v>2.3</v>
      </c>
      <c r="Q17" s="44">
        <v>2.5</v>
      </c>
      <c r="R17" s="44">
        <v>3.1</v>
      </c>
      <c r="S17" s="44">
        <v>3.75</v>
      </c>
      <c r="T17" s="44">
        <v>4.5</v>
      </c>
      <c r="U17" s="44">
        <v>2.35</v>
      </c>
      <c r="V17" s="44">
        <v>2.55</v>
      </c>
      <c r="W17" s="44">
        <v>2.75</v>
      </c>
      <c r="X17" s="44"/>
      <c r="Y17" s="44">
        <v>0.8</v>
      </c>
      <c r="Z17" s="44">
        <v>1.35</v>
      </c>
    </row>
    <row r="18" ht="15" spans="2:26">
      <c r="B18" s="44"/>
      <c r="C18" s="45">
        <v>41965</v>
      </c>
      <c r="D18" s="44">
        <v>5.6</v>
      </c>
      <c r="E18" s="44">
        <v>5.6</v>
      </c>
      <c r="F18" s="44">
        <v>6</v>
      </c>
      <c r="G18" s="44">
        <v>6</v>
      </c>
      <c r="H18" s="44">
        <v>6.15</v>
      </c>
      <c r="I18" s="44"/>
      <c r="J18" s="44"/>
      <c r="L18" s="44"/>
      <c r="M18" s="45">
        <v>41965</v>
      </c>
      <c r="N18" s="44">
        <v>0.35</v>
      </c>
      <c r="O18" s="44">
        <v>2.35</v>
      </c>
      <c r="P18" s="44">
        <v>2.55</v>
      </c>
      <c r="Q18" s="44">
        <v>2.75</v>
      </c>
      <c r="R18" s="44">
        <v>3.35</v>
      </c>
      <c r="S18" s="44">
        <v>4</v>
      </c>
      <c r="T18" s="44">
        <v>4.75</v>
      </c>
      <c r="U18" s="61">
        <v>2.35</v>
      </c>
      <c r="V18" s="61">
        <v>2.55</v>
      </c>
      <c r="W18" s="61">
        <v>2.75</v>
      </c>
      <c r="X18" s="44"/>
      <c r="Y18" s="61">
        <v>0.8</v>
      </c>
      <c r="Z18" s="61">
        <v>1.35</v>
      </c>
    </row>
    <row r="19" spans="2:26">
      <c r="B19" s="44"/>
      <c r="C19" s="45">
        <v>41096</v>
      </c>
      <c r="D19" s="44">
        <v>5.6</v>
      </c>
      <c r="E19" s="44">
        <v>6</v>
      </c>
      <c r="F19" s="44">
        <v>6.15</v>
      </c>
      <c r="G19" s="44">
        <v>6.4</v>
      </c>
      <c r="H19" s="44">
        <v>6.55</v>
      </c>
      <c r="I19" s="44">
        <v>4</v>
      </c>
      <c r="J19" s="44">
        <v>4.5</v>
      </c>
      <c r="L19" s="44"/>
      <c r="M19" s="45">
        <v>41096</v>
      </c>
      <c r="N19" s="44">
        <v>0.35</v>
      </c>
      <c r="O19" s="44">
        <v>2.6</v>
      </c>
      <c r="P19" s="44">
        <v>2.8</v>
      </c>
      <c r="Q19" s="44">
        <v>3</v>
      </c>
      <c r="R19" s="44">
        <v>3.75</v>
      </c>
      <c r="S19" s="44">
        <v>4.25</v>
      </c>
      <c r="T19" s="44">
        <v>4.75</v>
      </c>
      <c r="U19" s="44">
        <v>2.85</v>
      </c>
      <c r="V19" s="44">
        <v>2.9</v>
      </c>
      <c r="W19" s="44">
        <v>3</v>
      </c>
      <c r="X19" s="44">
        <v>1.15</v>
      </c>
      <c r="Y19" s="44">
        <v>0.8</v>
      </c>
      <c r="Z19" s="44">
        <v>1.35</v>
      </c>
    </row>
    <row r="20" spans="2:26">
      <c r="B20" s="44"/>
      <c r="C20" s="45">
        <v>41068</v>
      </c>
      <c r="D20" s="44">
        <v>5.85</v>
      </c>
      <c r="E20" s="44">
        <v>6.31</v>
      </c>
      <c r="F20" s="44">
        <v>6.4</v>
      </c>
      <c r="G20" s="44">
        <v>6.65</v>
      </c>
      <c r="H20" s="44">
        <v>6.8</v>
      </c>
      <c r="I20" s="44">
        <v>4.2</v>
      </c>
      <c r="J20" s="44">
        <v>4.7</v>
      </c>
      <c r="L20" s="44"/>
      <c r="M20" s="45">
        <v>41068</v>
      </c>
      <c r="N20" s="44">
        <v>0.4</v>
      </c>
      <c r="O20" s="44">
        <v>2.85</v>
      </c>
      <c r="P20" s="44">
        <v>3.05</v>
      </c>
      <c r="Q20" s="44">
        <v>3.25</v>
      </c>
      <c r="R20" s="44">
        <v>4.1</v>
      </c>
      <c r="S20" s="44">
        <v>4.65</v>
      </c>
      <c r="T20" s="44">
        <v>5.1</v>
      </c>
      <c r="U20" s="44">
        <v>3.1</v>
      </c>
      <c r="V20" s="44">
        <v>3.15</v>
      </c>
      <c r="W20" s="44">
        <v>3.25</v>
      </c>
      <c r="X20" s="44">
        <v>1.31</v>
      </c>
      <c r="Y20" s="44">
        <v>0.94</v>
      </c>
      <c r="Z20" s="44">
        <v>1.49</v>
      </c>
    </row>
    <row r="21" spans="2:26">
      <c r="B21" s="44"/>
      <c r="C21" s="45">
        <v>40731</v>
      </c>
      <c r="D21" s="44">
        <v>6.1</v>
      </c>
      <c r="E21" s="44">
        <v>6.56</v>
      </c>
      <c r="F21" s="44">
        <v>6.65</v>
      </c>
      <c r="G21" s="44">
        <v>6.9</v>
      </c>
      <c r="H21" s="44">
        <v>7.05</v>
      </c>
      <c r="I21" s="44">
        <v>4.45</v>
      </c>
      <c r="J21" s="44">
        <v>4.9</v>
      </c>
      <c r="L21" s="44"/>
      <c r="M21" s="45">
        <v>40731</v>
      </c>
      <c r="N21" s="44">
        <v>0.5</v>
      </c>
      <c r="O21" s="44">
        <v>3.1</v>
      </c>
      <c r="P21" s="44">
        <v>3.3</v>
      </c>
      <c r="Q21" s="44">
        <v>3.5</v>
      </c>
      <c r="R21" s="44">
        <v>4.4</v>
      </c>
      <c r="S21" s="44">
        <v>5</v>
      </c>
      <c r="T21" s="44">
        <v>5.5</v>
      </c>
      <c r="U21" s="44">
        <v>3.1</v>
      </c>
      <c r="V21" s="44">
        <v>3.3</v>
      </c>
      <c r="W21" s="44">
        <v>3.5</v>
      </c>
      <c r="X21" s="44">
        <v>1.31</v>
      </c>
      <c r="Y21" s="44">
        <v>0.95</v>
      </c>
      <c r="Z21" s="44">
        <v>1.49</v>
      </c>
    </row>
    <row r="22" spans="2:26">
      <c r="B22" s="44"/>
      <c r="C22" s="45">
        <v>40639</v>
      </c>
      <c r="D22" s="44">
        <v>5.85</v>
      </c>
      <c r="E22" s="44">
        <v>6.31</v>
      </c>
      <c r="F22" s="44">
        <v>6.4</v>
      </c>
      <c r="G22" s="44">
        <v>6.65</v>
      </c>
      <c r="H22" s="44">
        <v>6.8</v>
      </c>
      <c r="I22" s="44">
        <v>4.2</v>
      </c>
      <c r="J22" s="44">
        <v>4.7</v>
      </c>
      <c r="L22" s="44"/>
      <c r="M22" s="45">
        <v>40639</v>
      </c>
      <c r="N22" s="44">
        <v>0.5</v>
      </c>
      <c r="O22" s="44">
        <v>2.85</v>
      </c>
      <c r="P22" s="44">
        <v>3.05</v>
      </c>
      <c r="Q22" s="44">
        <v>3.25</v>
      </c>
      <c r="R22" s="44">
        <v>4.15</v>
      </c>
      <c r="S22" s="44">
        <v>4.75</v>
      </c>
      <c r="T22" s="44">
        <v>5.25</v>
      </c>
      <c r="U22" s="44">
        <v>2.85</v>
      </c>
      <c r="V22" s="44">
        <v>3.05</v>
      </c>
      <c r="W22" s="44">
        <v>3.25</v>
      </c>
      <c r="X22" s="44">
        <v>1.31</v>
      </c>
      <c r="Y22" s="44">
        <v>0.95</v>
      </c>
      <c r="Z22" s="44">
        <v>1.49</v>
      </c>
    </row>
    <row r="23" spans="2:26">
      <c r="B23" s="44"/>
      <c r="C23" s="45">
        <v>40583</v>
      </c>
      <c r="D23" s="44">
        <v>5.6</v>
      </c>
      <c r="E23" s="44">
        <v>6.06</v>
      </c>
      <c r="F23" s="44">
        <v>6.1</v>
      </c>
      <c r="G23" s="44">
        <v>6.45</v>
      </c>
      <c r="H23" s="44">
        <v>6.6</v>
      </c>
      <c r="I23" s="44">
        <v>4</v>
      </c>
      <c r="J23" s="44">
        <v>4.5</v>
      </c>
      <c r="L23" s="44"/>
      <c r="M23" s="45">
        <v>40583</v>
      </c>
      <c r="N23" s="44">
        <v>0.4</v>
      </c>
      <c r="O23" s="44">
        <v>2.6</v>
      </c>
      <c r="P23" s="44">
        <v>2.8</v>
      </c>
      <c r="Q23" s="44">
        <v>3</v>
      </c>
      <c r="R23" s="44">
        <v>3.9</v>
      </c>
      <c r="S23" s="44">
        <v>4.5</v>
      </c>
      <c r="T23" s="44">
        <v>5</v>
      </c>
      <c r="U23" s="44">
        <v>2.6</v>
      </c>
      <c r="V23" s="44">
        <v>2.8</v>
      </c>
      <c r="W23" s="44">
        <v>3</v>
      </c>
      <c r="X23" s="44">
        <v>1.21</v>
      </c>
      <c r="Y23" s="44">
        <v>0.85</v>
      </c>
      <c r="Z23" s="44">
        <v>1.39</v>
      </c>
    </row>
    <row r="24" spans="2:26">
      <c r="B24" s="44"/>
      <c r="C24" s="45">
        <v>40538</v>
      </c>
      <c r="D24" s="44">
        <v>5.35</v>
      </c>
      <c r="E24" s="44">
        <v>5.81</v>
      </c>
      <c r="F24" s="44">
        <v>5.85</v>
      </c>
      <c r="G24" s="44">
        <v>6.22</v>
      </c>
      <c r="H24" s="44">
        <v>6.4</v>
      </c>
      <c r="I24" s="44">
        <v>3.75</v>
      </c>
      <c r="J24" s="44">
        <v>4.3</v>
      </c>
      <c r="L24" s="44"/>
      <c r="M24" s="45">
        <v>40538</v>
      </c>
      <c r="N24" s="44">
        <v>0.36</v>
      </c>
      <c r="O24" s="44">
        <v>2.25</v>
      </c>
      <c r="P24" s="44">
        <v>2.5</v>
      </c>
      <c r="Q24" s="44">
        <v>2.75</v>
      </c>
      <c r="R24" s="44">
        <v>3.55</v>
      </c>
      <c r="S24" s="44">
        <v>4.15</v>
      </c>
      <c r="T24" s="44">
        <v>4.55</v>
      </c>
      <c r="U24" s="44">
        <v>2.16</v>
      </c>
      <c r="V24" s="44">
        <v>2.5</v>
      </c>
      <c r="W24" s="44">
        <v>2.85</v>
      </c>
      <c r="X24" s="44">
        <v>1.17</v>
      </c>
      <c r="Y24" s="44">
        <v>0.81</v>
      </c>
      <c r="Z24" s="44">
        <v>1.35</v>
      </c>
    </row>
    <row r="25" spans="2:26">
      <c r="B25" s="44"/>
      <c r="C25" s="45">
        <v>40471</v>
      </c>
      <c r="D25" s="44">
        <v>5.1</v>
      </c>
      <c r="E25" s="44">
        <v>5.56</v>
      </c>
      <c r="F25" s="44">
        <v>5.6</v>
      </c>
      <c r="G25" s="44">
        <v>5.96</v>
      </c>
      <c r="H25" s="44">
        <v>6.14</v>
      </c>
      <c r="I25" s="44">
        <v>3.5</v>
      </c>
      <c r="J25" s="44">
        <v>4.05</v>
      </c>
      <c r="L25" s="44"/>
      <c r="M25" s="45">
        <v>40471</v>
      </c>
      <c r="N25" s="44">
        <v>0.36</v>
      </c>
      <c r="O25" s="44">
        <v>1.91</v>
      </c>
      <c r="P25" s="44">
        <v>2.2</v>
      </c>
      <c r="Q25" s="44">
        <v>2.5</v>
      </c>
      <c r="R25" s="44">
        <v>3.25</v>
      </c>
      <c r="S25" s="44">
        <v>3.85</v>
      </c>
      <c r="T25" s="44">
        <v>4.2</v>
      </c>
      <c r="U25" s="44">
        <v>1.91</v>
      </c>
      <c r="V25" s="44">
        <v>2.2</v>
      </c>
      <c r="W25" s="44">
        <v>2.5</v>
      </c>
      <c r="X25" s="44">
        <v>1.17</v>
      </c>
      <c r="Y25" s="44">
        <v>0.81</v>
      </c>
      <c r="Z25" s="44">
        <v>1.35</v>
      </c>
    </row>
    <row r="26" spans="2:26">
      <c r="B26" s="44"/>
      <c r="C26" s="45">
        <v>39805</v>
      </c>
      <c r="D26" s="44">
        <v>4.86</v>
      </c>
      <c r="E26" s="44">
        <v>5.31</v>
      </c>
      <c r="F26" s="44">
        <v>5.4</v>
      </c>
      <c r="G26" s="44">
        <v>5.76</v>
      </c>
      <c r="H26" s="44">
        <v>5.94</v>
      </c>
      <c r="I26" s="44">
        <v>3.33</v>
      </c>
      <c r="J26" s="44">
        <v>3.87</v>
      </c>
      <c r="L26" s="44"/>
      <c r="M26" s="45">
        <v>39805</v>
      </c>
      <c r="N26" s="44">
        <v>0.36</v>
      </c>
      <c r="O26" s="44">
        <v>1.71</v>
      </c>
      <c r="P26" s="44">
        <v>1.98</v>
      </c>
      <c r="Q26" s="44">
        <v>2.25</v>
      </c>
      <c r="R26" s="44">
        <v>2.79</v>
      </c>
      <c r="S26" s="44">
        <v>3.33</v>
      </c>
      <c r="T26" s="44">
        <v>3.6</v>
      </c>
      <c r="U26" s="44">
        <v>1.71</v>
      </c>
      <c r="V26" s="44">
        <v>1.98</v>
      </c>
      <c r="W26" s="44">
        <v>2.25</v>
      </c>
      <c r="X26" s="44">
        <v>1.17</v>
      </c>
      <c r="Y26" s="44">
        <v>0.81</v>
      </c>
      <c r="Z26" s="44">
        <v>1.35</v>
      </c>
    </row>
    <row r="27" spans="2:26">
      <c r="B27" s="44"/>
      <c r="C27" s="45">
        <v>39779</v>
      </c>
      <c r="D27" s="44">
        <v>5.04</v>
      </c>
      <c r="E27" s="44">
        <v>5.58</v>
      </c>
      <c r="F27" s="44">
        <v>5.67</v>
      </c>
      <c r="G27" s="44">
        <v>5.94</v>
      </c>
      <c r="H27" s="44">
        <v>6.12</v>
      </c>
      <c r="I27" s="44">
        <v>3.51</v>
      </c>
      <c r="J27" s="44">
        <v>4.05</v>
      </c>
      <c r="L27" s="44"/>
      <c r="M27" s="45">
        <v>39779</v>
      </c>
      <c r="N27" s="44">
        <v>0.36</v>
      </c>
      <c r="O27" s="44">
        <v>1.98</v>
      </c>
      <c r="P27" s="44">
        <v>2.25</v>
      </c>
      <c r="Q27" s="44">
        <v>2.52</v>
      </c>
      <c r="R27" s="44">
        <v>3.06</v>
      </c>
      <c r="S27" s="44">
        <v>3.6</v>
      </c>
      <c r="T27" s="44">
        <v>3.87</v>
      </c>
      <c r="U27" s="44">
        <v>1.98</v>
      </c>
      <c r="V27" s="44">
        <v>2.25</v>
      </c>
      <c r="W27" s="44">
        <v>2.52</v>
      </c>
      <c r="X27" s="44">
        <v>1.17</v>
      </c>
      <c r="Y27" s="44">
        <v>0.81</v>
      </c>
      <c r="Z27" s="44">
        <v>1.35</v>
      </c>
    </row>
    <row r="28" spans="2:26">
      <c r="B28" s="44"/>
      <c r="C28" s="45">
        <v>39751</v>
      </c>
      <c r="D28" s="44">
        <v>6.03</v>
      </c>
      <c r="E28" s="44">
        <v>6.66</v>
      </c>
      <c r="F28" s="44">
        <v>6.75</v>
      </c>
      <c r="G28" s="44">
        <v>7.02</v>
      </c>
      <c r="H28" s="44">
        <v>7.2</v>
      </c>
      <c r="I28" s="44">
        <v>4.05</v>
      </c>
      <c r="J28" s="44">
        <v>4.59</v>
      </c>
      <c r="L28" s="44"/>
      <c r="M28" s="45">
        <v>39751</v>
      </c>
      <c r="N28" s="44">
        <v>0.72</v>
      </c>
      <c r="O28" s="44">
        <v>2.88</v>
      </c>
      <c r="P28" s="44">
        <v>3.24</v>
      </c>
      <c r="Q28" s="44">
        <v>3.6</v>
      </c>
      <c r="R28" s="44">
        <v>4.14</v>
      </c>
      <c r="S28" s="44">
        <v>4.77</v>
      </c>
      <c r="T28" s="44">
        <v>5.13</v>
      </c>
      <c r="U28" s="44">
        <v>2.88</v>
      </c>
      <c r="V28" s="44">
        <v>3.24</v>
      </c>
      <c r="W28" s="44">
        <v>3.6</v>
      </c>
      <c r="X28" s="44">
        <v>1.53</v>
      </c>
      <c r="Y28" s="44">
        <v>1.17</v>
      </c>
      <c r="Z28" s="44">
        <v>1.71</v>
      </c>
    </row>
    <row r="29" spans="2:26">
      <c r="B29" s="44"/>
      <c r="C29" s="46">
        <v>39748</v>
      </c>
      <c r="D29" s="44">
        <v>6.12</v>
      </c>
      <c r="E29" s="44">
        <v>6.93</v>
      </c>
      <c r="F29" s="44">
        <v>7.02</v>
      </c>
      <c r="G29" s="44">
        <v>7.29</v>
      </c>
      <c r="H29" s="44">
        <v>7.47</v>
      </c>
      <c r="I29" s="44">
        <v>4.05</v>
      </c>
      <c r="J29" s="44">
        <v>4.59</v>
      </c>
      <c r="L29" s="44"/>
      <c r="M29" s="46">
        <v>39736</v>
      </c>
      <c r="N29" s="44">
        <v>0.72</v>
      </c>
      <c r="O29" s="44">
        <v>3.15</v>
      </c>
      <c r="P29" s="44">
        <v>3.51</v>
      </c>
      <c r="Q29" s="44">
        <v>3.87</v>
      </c>
      <c r="R29" s="44">
        <v>4.41</v>
      </c>
      <c r="S29" s="44">
        <v>5.13</v>
      </c>
      <c r="T29" s="44">
        <v>5.58</v>
      </c>
      <c r="U29" s="44">
        <v>3.15</v>
      </c>
      <c r="V29" s="44">
        <v>3.51</v>
      </c>
      <c r="W29" s="44">
        <v>3.87</v>
      </c>
      <c r="X29" s="44">
        <v>1.53</v>
      </c>
      <c r="Y29" s="44">
        <v>1.17</v>
      </c>
      <c r="Z29" s="44">
        <v>1.71</v>
      </c>
    </row>
    <row r="30" spans="2:26">
      <c r="B30" s="44"/>
      <c r="C30" s="45">
        <v>39730</v>
      </c>
      <c r="D30" s="44">
        <v>6.12</v>
      </c>
      <c r="E30" s="44">
        <v>6.93</v>
      </c>
      <c r="F30" s="44">
        <v>7.02</v>
      </c>
      <c r="G30" s="44">
        <v>7.29</v>
      </c>
      <c r="H30" s="44">
        <v>7.47</v>
      </c>
      <c r="I30" s="44">
        <v>4.32</v>
      </c>
      <c r="J30" s="44">
        <v>4.86</v>
      </c>
      <c r="L30" s="44"/>
      <c r="M30" s="45">
        <v>39730</v>
      </c>
      <c r="N30" s="44">
        <v>0.72</v>
      </c>
      <c r="O30" s="44">
        <v>3.15</v>
      </c>
      <c r="P30" s="44">
        <v>3.51</v>
      </c>
      <c r="Q30" s="44">
        <v>3.87</v>
      </c>
      <c r="R30" s="44">
        <v>4.41</v>
      </c>
      <c r="S30" s="44">
        <v>5.13</v>
      </c>
      <c r="T30" s="44">
        <v>5.58</v>
      </c>
      <c r="U30" s="44">
        <v>3.15</v>
      </c>
      <c r="V30" s="44">
        <v>3.51</v>
      </c>
      <c r="W30" s="44">
        <v>3.87</v>
      </c>
      <c r="X30" s="44">
        <v>1.53</v>
      </c>
      <c r="Y30" s="44">
        <v>1.17</v>
      </c>
      <c r="Z30" s="44">
        <v>1.71</v>
      </c>
    </row>
    <row r="31" spans="2:26">
      <c r="B31" s="44"/>
      <c r="C31" s="45">
        <v>39707</v>
      </c>
      <c r="D31" s="44">
        <v>6.21</v>
      </c>
      <c r="E31" s="44">
        <v>7.2</v>
      </c>
      <c r="F31" s="44">
        <v>7.29</v>
      </c>
      <c r="G31" s="44">
        <v>7.56</v>
      </c>
      <c r="H31" s="44">
        <v>7.74</v>
      </c>
      <c r="I31" s="44">
        <v>4.59</v>
      </c>
      <c r="J31" s="44">
        <v>5.13</v>
      </c>
      <c r="L31" s="44"/>
      <c r="M31" s="45">
        <v>39437</v>
      </c>
      <c r="N31" s="44">
        <v>0.72</v>
      </c>
      <c r="O31" s="44">
        <v>3.33</v>
      </c>
      <c r="P31" s="44">
        <v>3.78</v>
      </c>
      <c r="Q31" s="44">
        <v>4.14</v>
      </c>
      <c r="R31" s="44">
        <v>4.68</v>
      </c>
      <c r="S31" s="44">
        <v>5.4</v>
      </c>
      <c r="T31" s="44">
        <v>5.85</v>
      </c>
      <c r="U31" s="44">
        <v>3.33</v>
      </c>
      <c r="V31" s="44">
        <v>3.78</v>
      </c>
      <c r="W31" s="44">
        <v>4.14</v>
      </c>
      <c r="X31" s="44">
        <v>1.53</v>
      </c>
      <c r="Y31" s="44">
        <v>1.17</v>
      </c>
      <c r="Z31" s="44">
        <v>1.71</v>
      </c>
    </row>
    <row r="32" spans="2:26">
      <c r="B32" s="44"/>
      <c r="C32" s="45">
        <v>39437</v>
      </c>
      <c r="D32" s="44">
        <v>6.57</v>
      </c>
      <c r="E32" s="44">
        <v>7.47</v>
      </c>
      <c r="F32" s="44">
        <v>7.56</v>
      </c>
      <c r="G32" s="44">
        <v>7.74</v>
      </c>
      <c r="H32" s="44">
        <v>7.83</v>
      </c>
      <c r="I32" s="44">
        <v>4.77</v>
      </c>
      <c r="J32" s="44">
        <v>5.22</v>
      </c>
      <c r="L32" s="44"/>
      <c r="M32" s="45">
        <v>39340</v>
      </c>
      <c r="N32" s="44">
        <v>0.81</v>
      </c>
      <c r="O32" s="44">
        <v>2.88</v>
      </c>
      <c r="P32" s="44">
        <v>3.42</v>
      </c>
      <c r="Q32" s="44">
        <v>3.87</v>
      </c>
      <c r="R32" s="44">
        <v>4.5</v>
      </c>
      <c r="S32" s="44">
        <v>5.22</v>
      </c>
      <c r="T32" s="44">
        <v>5.76</v>
      </c>
      <c r="U32" s="44">
        <v>2.88</v>
      </c>
      <c r="V32" s="44">
        <v>3.42</v>
      </c>
      <c r="W32" s="44">
        <v>3.87</v>
      </c>
      <c r="X32" s="44">
        <v>1.53</v>
      </c>
      <c r="Y32" s="44">
        <v>1.17</v>
      </c>
      <c r="Z32" s="44">
        <v>1.71</v>
      </c>
    </row>
    <row r="33" spans="2:26">
      <c r="B33" s="44"/>
      <c r="C33" s="45">
        <v>39340</v>
      </c>
      <c r="D33" s="44">
        <v>6.48</v>
      </c>
      <c r="E33" s="44">
        <v>7.29</v>
      </c>
      <c r="F33" s="44">
        <v>7.47</v>
      </c>
      <c r="G33" s="44">
        <v>7.65</v>
      </c>
      <c r="H33" s="44">
        <v>7.83</v>
      </c>
      <c r="I33" s="44">
        <v>4.77</v>
      </c>
      <c r="J33" s="44">
        <v>5.22</v>
      </c>
      <c r="L33" s="44"/>
      <c r="M33" s="45">
        <v>39316</v>
      </c>
      <c r="N33" s="44">
        <v>0.81</v>
      </c>
      <c r="O33" s="44">
        <v>2.61</v>
      </c>
      <c r="P33" s="44">
        <v>3.15</v>
      </c>
      <c r="Q33" s="44">
        <v>3.6</v>
      </c>
      <c r="R33" s="44">
        <v>4.23</v>
      </c>
      <c r="S33" s="44">
        <v>4.95</v>
      </c>
      <c r="T33" s="44">
        <v>5.49</v>
      </c>
      <c r="U33" s="44">
        <v>2.61</v>
      </c>
      <c r="V33" s="44">
        <v>3.15</v>
      </c>
      <c r="W33" s="44">
        <v>3.6</v>
      </c>
      <c r="X33" s="44">
        <v>1.53</v>
      </c>
      <c r="Y33" s="44">
        <v>1.17</v>
      </c>
      <c r="Z33" s="44">
        <v>1.71</v>
      </c>
    </row>
    <row r="34" spans="2:26">
      <c r="B34" s="44"/>
      <c r="C34" s="45">
        <v>39316</v>
      </c>
      <c r="D34" s="44">
        <v>6.21</v>
      </c>
      <c r="E34" s="44">
        <v>7.02</v>
      </c>
      <c r="F34" s="44">
        <v>7.2</v>
      </c>
      <c r="G34" s="44">
        <v>7.38</v>
      </c>
      <c r="H34" s="44">
        <v>7.56</v>
      </c>
      <c r="I34" s="44">
        <v>4.59</v>
      </c>
      <c r="J34" s="44">
        <v>5.04</v>
      </c>
      <c r="L34" s="44"/>
      <c r="M34" s="45">
        <v>39284</v>
      </c>
      <c r="N34" s="44">
        <v>0.81</v>
      </c>
      <c r="O34" s="44">
        <v>2.34</v>
      </c>
      <c r="P34" s="44">
        <v>2.88</v>
      </c>
      <c r="Q34" s="44">
        <v>3.33</v>
      </c>
      <c r="R34" s="44">
        <v>3.96</v>
      </c>
      <c r="S34" s="44">
        <v>4.68</v>
      </c>
      <c r="T34" s="44">
        <v>5.22</v>
      </c>
      <c r="U34" s="44">
        <v>2.34</v>
      </c>
      <c r="V34" s="44">
        <v>2.88</v>
      </c>
      <c r="W34" s="44">
        <v>3.33</v>
      </c>
      <c r="X34" s="44">
        <v>1.53</v>
      </c>
      <c r="Y34" s="44">
        <v>1.17</v>
      </c>
      <c r="Z34" s="44">
        <v>1.71</v>
      </c>
    </row>
    <row r="35" spans="2:26">
      <c r="B35" s="44"/>
      <c r="C35" s="45">
        <v>39284</v>
      </c>
      <c r="D35" s="44">
        <v>6.03</v>
      </c>
      <c r="E35" s="44">
        <v>6.84</v>
      </c>
      <c r="F35" s="44">
        <v>7.02</v>
      </c>
      <c r="G35" s="44">
        <v>7.2</v>
      </c>
      <c r="H35" s="44">
        <v>7.38</v>
      </c>
      <c r="I35" s="44">
        <v>4.5</v>
      </c>
      <c r="J35" s="44">
        <v>4.95</v>
      </c>
      <c r="L35" s="44"/>
      <c r="M35" s="45">
        <v>39221</v>
      </c>
      <c r="N35" s="44">
        <v>0.72</v>
      </c>
      <c r="O35" s="44">
        <v>2.07</v>
      </c>
      <c r="P35" s="44">
        <v>2.61</v>
      </c>
      <c r="Q35" s="44">
        <v>3.06</v>
      </c>
      <c r="R35" s="44">
        <v>3.69</v>
      </c>
      <c r="S35" s="44">
        <v>4.41</v>
      </c>
      <c r="T35" s="44">
        <v>4.95</v>
      </c>
      <c r="U35" s="44">
        <v>2.07</v>
      </c>
      <c r="V35" s="44">
        <v>2.61</v>
      </c>
      <c r="W35" s="44">
        <v>3.06</v>
      </c>
      <c r="X35" s="44">
        <v>1.44</v>
      </c>
      <c r="Y35" s="44">
        <v>1.08</v>
      </c>
      <c r="Z35" s="44">
        <v>1.62</v>
      </c>
    </row>
    <row r="36" spans="2:26">
      <c r="B36" s="44"/>
      <c r="C36" s="45">
        <v>39221</v>
      </c>
      <c r="D36" s="44">
        <v>5.85</v>
      </c>
      <c r="E36" s="44">
        <v>6.57</v>
      </c>
      <c r="F36" s="44">
        <v>6.75</v>
      </c>
      <c r="G36" s="44">
        <v>6.93</v>
      </c>
      <c r="H36" s="44">
        <v>7.2</v>
      </c>
      <c r="I36" s="44">
        <v>4.41</v>
      </c>
      <c r="J36" s="44">
        <v>4.86</v>
      </c>
      <c r="L36" s="44"/>
      <c r="M36" s="45">
        <v>39159</v>
      </c>
      <c r="N36" s="44">
        <v>0.72</v>
      </c>
      <c r="O36" s="44">
        <v>1.98</v>
      </c>
      <c r="P36" s="44">
        <v>2.43</v>
      </c>
      <c r="Q36" s="44">
        <v>2.79</v>
      </c>
      <c r="R36" s="44">
        <v>3.33</v>
      </c>
      <c r="S36" s="44">
        <v>3.96</v>
      </c>
      <c r="T36" s="44">
        <v>4.41</v>
      </c>
      <c r="U36" s="44">
        <v>1.98</v>
      </c>
      <c r="V36" s="44">
        <v>2.43</v>
      </c>
      <c r="W36" s="44">
        <v>2.79</v>
      </c>
      <c r="X36" s="44">
        <v>1.44</v>
      </c>
      <c r="Y36" s="44">
        <v>1.08</v>
      </c>
      <c r="Z36" s="44">
        <v>1.62</v>
      </c>
    </row>
    <row r="37" spans="2:26">
      <c r="B37" s="44"/>
      <c r="C37" s="45">
        <v>39159</v>
      </c>
      <c r="D37" s="44">
        <v>5.67</v>
      </c>
      <c r="E37" s="44">
        <v>6.39</v>
      </c>
      <c r="F37" s="44">
        <v>6.57</v>
      </c>
      <c r="G37" s="44">
        <v>6.75</v>
      </c>
      <c r="H37" s="44">
        <v>7.11</v>
      </c>
      <c r="I37" s="44">
        <v>4.32</v>
      </c>
      <c r="J37" s="44">
        <v>4.77</v>
      </c>
      <c r="L37" s="44"/>
      <c r="M37" s="45">
        <v>38948</v>
      </c>
      <c r="N37" s="44">
        <v>0.72</v>
      </c>
      <c r="O37" s="44">
        <v>1.8</v>
      </c>
      <c r="P37" s="44">
        <v>2.25</v>
      </c>
      <c r="Q37" s="44">
        <v>2.52</v>
      </c>
      <c r="R37" s="44">
        <v>3.06</v>
      </c>
      <c r="S37" s="44">
        <v>3.69</v>
      </c>
      <c r="T37" s="44">
        <v>4.14</v>
      </c>
      <c r="U37" s="44">
        <v>1.8</v>
      </c>
      <c r="V37" s="44">
        <v>2.25</v>
      </c>
      <c r="W37" s="44">
        <v>2.52</v>
      </c>
      <c r="X37" s="44">
        <v>1.44</v>
      </c>
      <c r="Y37" s="44">
        <v>1.08</v>
      </c>
      <c r="Z37" s="44">
        <v>1.62</v>
      </c>
    </row>
    <row r="38" spans="2:26">
      <c r="B38" s="44"/>
      <c r="C38" s="45">
        <v>38948</v>
      </c>
      <c r="D38" s="44">
        <v>5.58</v>
      </c>
      <c r="E38" s="44">
        <v>6.12</v>
      </c>
      <c r="F38" s="44">
        <v>6.3</v>
      </c>
      <c r="G38" s="44">
        <v>6.48</v>
      </c>
      <c r="H38" s="44">
        <v>6.84</v>
      </c>
      <c r="I38" s="44">
        <v>4.14</v>
      </c>
      <c r="J38" s="44">
        <v>4.59</v>
      </c>
      <c r="L38" s="44"/>
      <c r="M38" s="45">
        <v>38289</v>
      </c>
      <c r="N38" s="44">
        <v>0.72</v>
      </c>
      <c r="O38" s="44">
        <v>1.71</v>
      </c>
      <c r="P38" s="44">
        <v>2.07</v>
      </c>
      <c r="Q38" s="44">
        <v>2.25</v>
      </c>
      <c r="R38" s="44">
        <v>2.7</v>
      </c>
      <c r="S38" s="44">
        <v>3.24</v>
      </c>
      <c r="T38" s="44">
        <v>3.6</v>
      </c>
      <c r="U38" s="44">
        <v>1.71</v>
      </c>
      <c r="V38" s="44">
        <v>2.07</v>
      </c>
      <c r="W38" s="44">
        <v>2.25</v>
      </c>
      <c r="X38" s="44">
        <v>1.44</v>
      </c>
      <c r="Y38" s="44">
        <v>1.08</v>
      </c>
      <c r="Z38" s="44">
        <v>1.62</v>
      </c>
    </row>
    <row r="39" spans="2:26">
      <c r="B39" s="44"/>
      <c r="C39" s="45">
        <v>38835</v>
      </c>
      <c r="D39" s="44">
        <v>5.4</v>
      </c>
      <c r="E39" s="44">
        <v>5.85</v>
      </c>
      <c r="F39" s="44">
        <v>6.03</v>
      </c>
      <c r="G39" s="44">
        <v>6.12</v>
      </c>
      <c r="H39" s="44">
        <v>6.39</v>
      </c>
      <c r="I39" s="44">
        <v>4.14</v>
      </c>
      <c r="J39" s="44">
        <v>4.59</v>
      </c>
      <c r="L39" s="44"/>
      <c r="M39" s="45">
        <v>37308</v>
      </c>
      <c r="N39" s="44">
        <v>0.72</v>
      </c>
      <c r="O39" s="44">
        <v>1.71</v>
      </c>
      <c r="P39" s="44">
        <v>1.89</v>
      </c>
      <c r="Q39" s="44">
        <v>1.98</v>
      </c>
      <c r="R39" s="44">
        <v>2.25</v>
      </c>
      <c r="S39" s="44">
        <v>2.52</v>
      </c>
      <c r="T39" s="44">
        <v>2.79</v>
      </c>
      <c r="U39" s="44">
        <v>1.71</v>
      </c>
      <c r="V39" s="44">
        <v>1.89</v>
      </c>
      <c r="W39" s="44">
        <v>1.98</v>
      </c>
      <c r="X39" s="44">
        <v>1.44</v>
      </c>
      <c r="Y39" s="44">
        <v>1.08</v>
      </c>
      <c r="Z39" s="44">
        <v>1.62</v>
      </c>
    </row>
    <row r="40" spans="2:26">
      <c r="B40" s="44"/>
      <c r="C40" s="45">
        <v>38428</v>
      </c>
      <c r="D40" s="44">
        <v>5.22</v>
      </c>
      <c r="E40" s="44">
        <v>5.58</v>
      </c>
      <c r="F40" s="44">
        <v>5.76</v>
      </c>
      <c r="G40" s="44">
        <v>5.85</v>
      </c>
      <c r="H40" s="44">
        <v>6.12</v>
      </c>
      <c r="I40" s="44">
        <v>3.96</v>
      </c>
      <c r="J40" s="44">
        <v>4.41</v>
      </c>
      <c r="L40" s="44"/>
      <c r="M40" s="45">
        <v>36321</v>
      </c>
      <c r="N40" s="44">
        <v>0.99</v>
      </c>
      <c r="O40" s="44">
        <v>1.98</v>
      </c>
      <c r="P40" s="44">
        <v>2.16</v>
      </c>
      <c r="Q40" s="44">
        <v>2.25</v>
      </c>
      <c r="R40" s="44">
        <v>2.43</v>
      </c>
      <c r="S40" s="44">
        <v>2.7</v>
      </c>
      <c r="T40" s="44">
        <v>2.88</v>
      </c>
      <c r="U40" s="44">
        <v>1.98</v>
      </c>
      <c r="V40" s="44">
        <v>2.16</v>
      </c>
      <c r="W40" s="44">
        <v>2.25</v>
      </c>
      <c r="X40" s="44">
        <v>1.71</v>
      </c>
      <c r="Y40" s="44">
        <v>1.35</v>
      </c>
      <c r="Z40" s="44">
        <v>1.89</v>
      </c>
    </row>
    <row r="41" spans="2:26">
      <c r="B41" s="44"/>
      <c r="C41" s="45">
        <v>38289</v>
      </c>
      <c r="D41" s="44">
        <v>5.22</v>
      </c>
      <c r="E41" s="44">
        <v>5.58</v>
      </c>
      <c r="F41" s="44">
        <v>5.76</v>
      </c>
      <c r="G41" s="44">
        <v>5.85</v>
      </c>
      <c r="H41" s="44">
        <v>6.12</v>
      </c>
      <c r="I41" s="44">
        <v>3.78</v>
      </c>
      <c r="J41" s="44">
        <v>4.23</v>
      </c>
      <c r="L41" s="44"/>
      <c r="M41" s="45">
        <v>36136</v>
      </c>
      <c r="N41" s="44">
        <v>1.44</v>
      </c>
      <c r="O41" s="44">
        <v>2.79</v>
      </c>
      <c r="P41" s="44">
        <v>3.33</v>
      </c>
      <c r="Q41" s="44">
        <v>3.78</v>
      </c>
      <c r="R41" s="44">
        <v>3.96</v>
      </c>
      <c r="S41" s="44">
        <v>4.14</v>
      </c>
      <c r="T41" s="44">
        <v>4.5</v>
      </c>
      <c r="U41" s="44">
        <v>3.33</v>
      </c>
      <c r="V41" s="44">
        <v>3.78</v>
      </c>
      <c r="W41" s="44">
        <v>4.14</v>
      </c>
      <c r="X41" s="44">
        <v>2.16</v>
      </c>
      <c r="Y41" s="44">
        <v>1.8</v>
      </c>
      <c r="Z41" s="44">
        <v>2.34</v>
      </c>
    </row>
    <row r="42" spans="2:26">
      <c r="B42" s="44"/>
      <c r="C42" s="45">
        <v>37308</v>
      </c>
      <c r="D42" s="44">
        <v>5.04</v>
      </c>
      <c r="E42" s="44">
        <v>5.31</v>
      </c>
      <c r="F42" s="44">
        <v>5.49</v>
      </c>
      <c r="G42" s="44">
        <v>5.58</v>
      </c>
      <c r="H42" s="44">
        <v>5.76</v>
      </c>
      <c r="I42" s="44">
        <v>3.6</v>
      </c>
      <c r="J42" s="44">
        <v>4.05</v>
      </c>
      <c r="L42" s="44"/>
      <c r="M42" s="45">
        <v>35977</v>
      </c>
      <c r="N42" s="44">
        <v>1.44</v>
      </c>
      <c r="O42" s="44">
        <v>2.79</v>
      </c>
      <c r="P42" s="44">
        <v>3.96</v>
      </c>
      <c r="Q42" s="44">
        <v>4.77</v>
      </c>
      <c r="R42" s="44">
        <v>4.86</v>
      </c>
      <c r="S42" s="44">
        <v>4.95</v>
      </c>
      <c r="T42" s="44">
        <v>5.22</v>
      </c>
      <c r="U42" s="44">
        <v>3.96</v>
      </c>
      <c r="V42" s="44">
        <v>4.77</v>
      </c>
      <c r="W42" s="44">
        <v>4.95</v>
      </c>
      <c r="X42" s="44" t="s">
        <v>2446</v>
      </c>
      <c r="Y42" s="44" t="s">
        <v>2446</v>
      </c>
      <c r="Z42" s="44" t="s">
        <v>2446</v>
      </c>
    </row>
    <row r="43" spans="2:26">
      <c r="B43" s="44"/>
      <c r="C43" s="45">
        <v>36321</v>
      </c>
      <c r="D43" s="44">
        <v>5.58</v>
      </c>
      <c r="E43" s="44">
        <v>5.85</v>
      </c>
      <c r="F43" s="44">
        <v>5.94</v>
      </c>
      <c r="G43" s="44">
        <v>6.03</v>
      </c>
      <c r="H43" s="44">
        <v>6.21</v>
      </c>
      <c r="I43" s="44">
        <v>4.14</v>
      </c>
      <c r="J43" s="44">
        <v>4.59</v>
      </c>
      <c r="L43" s="44"/>
      <c r="M43" s="45">
        <v>35879</v>
      </c>
      <c r="N43" s="44">
        <v>1.71</v>
      </c>
      <c r="O43" s="44">
        <v>2.88</v>
      </c>
      <c r="P43" s="44">
        <v>4.14</v>
      </c>
      <c r="Q43" s="44">
        <v>5.22</v>
      </c>
      <c r="R43" s="44">
        <v>5.58</v>
      </c>
      <c r="S43" s="44">
        <v>6.21</v>
      </c>
      <c r="T43" s="44">
        <v>6.66</v>
      </c>
      <c r="U43" s="44">
        <v>4.14</v>
      </c>
      <c r="V43" s="44">
        <v>5.22</v>
      </c>
      <c r="W43" s="44">
        <v>6.21</v>
      </c>
      <c r="X43" s="44" t="s">
        <v>2446</v>
      </c>
      <c r="Y43" s="44" t="s">
        <v>2446</v>
      </c>
      <c r="Z43" s="44" t="s">
        <v>2446</v>
      </c>
    </row>
    <row r="44" spans="2:26">
      <c r="B44" s="44"/>
      <c r="C44" s="45">
        <v>36136</v>
      </c>
      <c r="D44" s="44">
        <v>6.12</v>
      </c>
      <c r="E44" s="44">
        <v>6.39</v>
      </c>
      <c r="F44" s="44">
        <v>6.66</v>
      </c>
      <c r="G44" s="44">
        <v>7.2</v>
      </c>
      <c r="H44" s="44">
        <v>7.56</v>
      </c>
      <c r="I44" s="44">
        <v>0</v>
      </c>
      <c r="J44" s="44">
        <v>0</v>
      </c>
      <c r="L44" s="44"/>
      <c r="M44" s="45">
        <v>35726</v>
      </c>
      <c r="N44" s="44">
        <v>1.71</v>
      </c>
      <c r="O44" s="44">
        <v>2.88</v>
      </c>
      <c r="P44" s="44">
        <v>4.14</v>
      </c>
      <c r="Q44" s="44">
        <v>5.67</v>
      </c>
      <c r="R44" s="44">
        <v>5.94</v>
      </c>
      <c r="S44" s="44">
        <v>6.21</v>
      </c>
      <c r="T44" s="44">
        <v>6.66</v>
      </c>
      <c r="U44" s="44">
        <v>4.14</v>
      </c>
      <c r="V44" s="44">
        <v>5.67</v>
      </c>
      <c r="W44" s="44">
        <v>6.21</v>
      </c>
      <c r="X44" s="44" t="s">
        <v>2446</v>
      </c>
      <c r="Y44" s="44" t="s">
        <v>2446</v>
      </c>
      <c r="Z44" s="44" t="s">
        <v>2446</v>
      </c>
    </row>
    <row r="45" spans="2:26">
      <c r="B45" s="44"/>
      <c r="C45" s="45">
        <v>35977</v>
      </c>
      <c r="D45" s="44">
        <v>6.57</v>
      </c>
      <c r="E45" s="44">
        <v>6.93</v>
      </c>
      <c r="F45" s="44">
        <v>7.11</v>
      </c>
      <c r="G45" s="44">
        <v>7.65</v>
      </c>
      <c r="H45" s="44">
        <v>8.01</v>
      </c>
      <c r="I45" s="44">
        <v>0</v>
      </c>
      <c r="J45" s="44">
        <v>0</v>
      </c>
      <c r="L45" s="44"/>
      <c r="M45" s="45">
        <v>35300</v>
      </c>
      <c r="N45" s="44">
        <v>1.98</v>
      </c>
      <c r="O45" s="44">
        <v>3.33</v>
      </c>
      <c r="P45" s="44">
        <v>5.4</v>
      </c>
      <c r="Q45" s="44">
        <v>7.47</v>
      </c>
      <c r="R45" s="44">
        <v>7.92</v>
      </c>
      <c r="S45" s="44">
        <v>8.28</v>
      </c>
      <c r="T45" s="44">
        <v>9</v>
      </c>
      <c r="U45" s="44">
        <v>5.4</v>
      </c>
      <c r="V45" s="44">
        <v>7.47</v>
      </c>
      <c r="W45" s="44">
        <v>8.28</v>
      </c>
      <c r="X45" s="44" t="s">
        <v>2446</v>
      </c>
      <c r="Y45" s="44" t="s">
        <v>2446</v>
      </c>
      <c r="Z45" s="44" t="s">
        <v>2446</v>
      </c>
    </row>
    <row r="46" spans="2:26">
      <c r="B46" s="44"/>
      <c r="C46" s="45">
        <v>35879</v>
      </c>
      <c r="D46" s="44">
        <v>7.02</v>
      </c>
      <c r="E46" s="44">
        <v>7.92</v>
      </c>
      <c r="F46" s="44">
        <v>9</v>
      </c>
      <c r="G46" s="44">
        <v>9.72</v>
      </c>
      <c r="H46" s="44">
        <v>10.35</v>
      </c>
      <c r="I46" s="44">
        <v>0</v>
      </c>
      <c r="J46" s="44">
        <v>0</v>
      </c>
      <c r="L46" s="44"/>
      <c r="M46" s="45">
        <v>35186</v>
      </c>
      <c r="N46" s="44">
        <v>2.97</v>
      </c>
      <c r="O46" s="44">
        <v>4.86</v>
      </c>
      <c r="P46" s="44">
        <v>7.2</v>
      </c>
      <c r="Q46" s="44">
        <v>9.18</v>
      </c>
      <c r="R46" s="44">
        <v>9.9</v>
      </c>
      <c r="S46" s="44">
        <v>10.8</v>
      </c>
      <c r="T46" s="44">
        <v>12.06</v>
      </c>
      <c r="U46" s="44">
        <v>7.2</v>
      </c>
      <c r="V46" s="44">
        <v>9.18</v>
      </c>
      <c r="W46" s="44">
        <v>10.8</v>
      </c>
      <c r="X46" s="44" t="s">
        <v>2446</v>
      </c>
      <c r="Y46" s="44" t="s">
        <v>2446</v>
      </c>
      <c r="Z46" s="44" t="s">
        <v>2446</v>
      </c>
    </row>
    <row r="47" spans="2:26">
      <c r="B47" s="44"/>
      <c r="C47" s="45">
        <v>35726</v>
      </c>
      <c r="D47" s="44">
        <v>7.65</v>
      </c>
      <c r="E47" s="44">
        <v>8.64</v>
      </c>
      <c r="F47" s="44">
        <v>9.36</v>
      </c>
      <c r="G47" s="44">
        <v>9.9</v>
      </c>
      <c r="H47" s="44">
        <v>10.53</v>
      </c>
      <c r="I47" s="44">
        <v>0</v>
      </c>
      <c r="J47" s="44">
        <v>0</v>
      </c>
      <c r="L47" s="44"/>
      <c r="M47" s="45">
        <v>34161</v>
      </c>
      <c r="N47" s="44">
        <v>3.15</v>
      </c>
      <c r="O47" s="44">
        <v>6.66</v>
      </c>
      <c r="P47" s="44">
        <v>9</v>
      </c>
      <c r="Q47" s="44">
        <v>10.98</v>
      </c>
      <c r="R47" s="44">
        <v>11.7</v>
      </c>
      <c r="S47" s="44">
        <v>12.24</v>
      </c>
      <c r="T47" s="44">
        <v>13.86</v>
      </c>
      <c r="U47" s="44">
        <v>9</v>
      </c>
      <c r="V47" s="44">
        <v>10.98</v>
      </c>
      <c r="W47" s="44">
        <v>12.24</v>
      </c>
      <c r="X47" s="44" t="s">
        <v>2446</v>
      </c>
      <c r="Y47" s="44" t="s">
        <v>2446</v>
      </c>
      <c r="Z47" s="44" t="s">
        <v>2446</v>
      </c>
    </row>
    <row r="48" spans="2:26">
      <c r="B48" s="44"/>
      <c r="C48" s="45">
        <v>35300</v>
      </c>
      <c r="D48" s="44">
        <v>9.18</v>
      </c>
      <c r="E48" s="44">
        <v>10.08</v>
      </c>
      <c r="F48" s="44">
        <v>10.98</v>
      </c>
      <c r="G48" s="44">
        <v>11.7</v>
      </c>
      <c r="H48" s="44">
        <v>12.42</v>
      </c>
      <c r="I48" s="44">
        <v>0</v>
      </c>
      <c r="J48" s="44">
        <v>0</v>
      </c>
      <c r="L48" s="44"/>
      <c r="M48" s="45">
        <v>34104</v>
      </c>
      <c r="N48" s="44">
        <v>2.16</v>
      </c>
      <c r="O48" s="44">
        <v>4.86</v>
      </c>
      <c r="P48" s="44">
        <v>7.2</v>
      </c>
      <c r="Q48" s="44">
        <v>9.18</v>
      </c>
      <c r="R48" s="44">
        <v>9.9</v>
      </c>
      <c r="S48" s="44">
        <v>10.8</v>
      </c>
      <c r="T48" s="44">
        <v>12.06</v>
      </c>
      <c r="U48" s="44">
        <v>7.2</v>
      </c>
      <c r="V48" s="44">
        <v>9.18</v>
      </c>
      <c r="W48" s="44">
        <v>10.8</v>
      </c>
      <c r="X48" s="44" t="s">
        <v>2446</v>
      </c>
      <c r="Y48" s="44" t="s">
        <v>2446</v>
      </c>
      <c r="Z48" s="44" t="s">
        <v>2446</v>
      </c>
    </row>
    <row r="49" spans="2:26">
      <c r="B49" s="44"/>
      <c r="C49" s="45">
        <v>35186</v>
      </c>
      <c r="D49" s="44">
        <v>9.72</v>
      </c>
      <c r="E49" s="44">
        <v>10.98</v>
      </c>
      <c r="F49" s="44">
        <v>13.14</v>
      </c>
      <c r="G49" s="44">
        <v>14.94</v>
      </c>
      <c r="H49" s="44">
        <v>15.12</v>
      </c>
      <c r="I49" s="44">
        <v>0</v>
      </c>
      <c r="J49" s="44">
        <v>0</v>
      </c>
      <c r="L49" s="44"/>
      <c r="M49" s="45">
        <v>33349</v>
      </c>
      <c r="N49" s="44">
        <v>1.8</v>
      </c>
      <c r="O49" s="44">
        <v>3.24</v>
      </c>
      <c r="P49" s="44">
        <v>5.4</v>
      </c>
      <c r="Q49" s="44">
        <v>7.56</v>
      </c>
      <c r="R49" s="44">
        <v>7.92</v>
      </c>
      <c r="S49" s="44">
        <v>8.28</v>
      </c>
      <c r="T49" s="44">
        <v>9</v>
      </c>
      <c r="U49" s="44">
        <v>6.12</v>
      </c>
      <c r="V49" s="44">
        <v>6.84</v>
      </c>
      <c r="W49" s="44">
        <v>7.56</v>
      </c>
      <c r="X49" s="44" t="s">
        <v>2446</v>
      </c>
      <c r="Y49" s="44" t="s">
        <v>2446</v>
      </c>
      <c r="Z49" s="44" t="s">
        <v>2446</v>
      </c>
    </row>
    <row r="50" spans="2:26">
      <c r="B50" s="44"/>
      <c r="C50" s="45">
        <v>34881</v>
      </c>
      <c r="D50" s="44">
        <v>10.08</v>
      </c>
      <c r="E50" s="44">
        <v>12.06</v>
      </c>
      <c r="F50" s="44">
        <v>13.5</v>
      </c>
      <c r="G50" s="44">
        <v>15.12</v>
      </c>
      <c r="H50" s="44">
        <v>15.3</v>
      </c>
      <c r="I50" s="44">
        <v>0</v>
      </c>
      <c r="J50" s="44">
        <v>0</v>
      </c>
      <c r="L50" s="44"/>
      <c r="M50" s="45">
        <v>33106</v>
      </c>
      <c r="N50" s="44">
        <v>2.16</v>
      </c>
      <c r="O50" s="44">
        <v>4.32</v>
      </c>
      <c r="P50" s="44">
        <v>6.48</v>
      </c>
      <c r="Q50" s="44">
        <v>8.64</v>
      </c>
      <c r="R50" s="44">
        <v>9.36</v>
      </c>
      <c r="S50" s="44">
        <v>10.08</v>
      </c>
      <c r="T50" s="44">
        <v>11.52</v>
      </c>
      <c r="U50" s="44">
        <v>7.2</v>
      </c>
      <c r="V50" s="44">
        <v>8.64</v>
      </c>
      <c r="W50" s="44">
        <v>10.08</v>
      </c>
      <c r="X50" s="44" t="s">
        <v>2446</v>
      </c>
      <c r="Y50" s="44" t="s">
        <v>2446</v>
      </c>
      <c r="Z50" s="44" t="s">
        <v>2446</v>
      </c>
    </row>
    <row r="51" spans="2:26">
      <c r="B51" s="44"/>
      <c r="C51" s="45">
        <v>34700</v>
      </c>
      <c r="D51" s="44">
        <v>9</v>
      </c>
      <c r="E51" s="44">
        <v>10.98</v>
      </c>
      <c r="F51" s="44">
        <v>12.96</v>
      </c>
      <c r="G51" s="44">
        <v>14.58</v>
      </c>
      <c r="H51" s="44">
        <v>14.76</v>
      </c>
      <c r="I51" s="44">
        <v>0</v>
      </c>
      <c r="J51" s="44">
        <v>0</v>
      </c>
      <c r="L51" s="44"/>
      <c r="M51" s="45">
        <v>32978</v>
      </c>
      <c r="N51" s="44">
        <v>2.88</v>
      </c>
      <c r="O51" s="44">
        <v>6.3</v>
      </c>
      <c r="P51" s="44">
        <v>7.74</v>
      </c>
      <c r="Q51" s="44">
        <v>10.08</v>
      </c>
      <c r="R51" s="44">
        <v>10.98</v>
      </c>
      <c r="S51" s="44">
        <v>11.88</v>
      </c>
      <c r="T51" s="44">
        <v>13.68</v>
      </c>
      <c r="U51" s="44" t="s">
        <v>2446</v>
      </c>
      <c r="V51" s="44" t="s">
        <v>2446</v>
      </c>
      <c r="W51" s="44" t="s">
        <v>2446</v>
      </c>
      <c r="X51" s="44" t="s">
        <v>2446</v>
      </c>
      <c r="Y51" s="44" t="s">
        <v>2446</v>
      </c>
      <c r="Z51" s="44" t="s">
        <v>2446</v>
      </c>
    </row>
    <row r="52" spans="2:26">
      <c r="B52" s="44"/>
      <c r="C52" s="45">
        <v>34161</v>
      </c>
      <c r="D52" s="44">
        <v>9</v>
      </c>
      <c r="E52" s="44">
        <v>10.98</v>
      </c>
      <c r="F52" s="44">
        <v>12.24</v>
      </c>
      <c r="G52" s="44">
        <v>13.86</v>
      </c>
      <c r="H52" s="44">
        <v>14.04</v>
      </c>
      <c r="I52" s="44">
        <v>0</v>
      </c>
      <c r="J52" s="44">
        <v>0</v>
      </c>
      <c r="L52" s="44"/>
      <c r="M52" s="45"/>
      <c r="N52" s="44"/>
      <c r="O52" s="44"/>
      <c r="P52" s="44"/>
      <c r="Q52" s="44"/>
      <c r="R52" s="44"/>
      <c r="S52" s="44"/>
      <c r="T52" s="44"/>
      <c r="U52" s="44"/>
      <c r="V52" s="44"/>
      <c r="W52" s="44"/>
      <c r="X52" s="44"/>
      <c r="Y52" s="44"/>
      <c r="Z52" s="44"/>
    </row>
    <row r="53" spans="2:26">
      <c r="B53" s="44"/>
      <c r="C53" s="45">
        <v>34104</v>
      </c>
      <c r="D53" s="44">
        <v>8.82</v>
      </c>
      <c r="E53" s="44">
        <v>9.36</v>
      </c>
      <c r="F53" s="44">
        <v>10.8</v>
      </c>
      <c r="G53" s="44">
        <v>12.06</v>
      </c>
      <c r="H53" s="44">
        <v>12.24</v>
      </c>
      <c r="I53" s="44">
        <v>0</v>
      </c>
      <c r="J53" s="44">
        <v>0</v>
      </c>
      <c r="L53" s="44"/>
      <c r="M53" s="45"/>
      <c r="N53" s="44"/>
      <c r="O53" s="44"/>
      <c r="P53" s="44"/>
      <c r="Q53" s="44"/>
      <c r="R53" s="44"/>
      <c r="S53" s="44"/>
      <c r="T53" s="44"/>
      <c r="U53" s="44"/>
      <c r="V53" s="44"/>
      <c r="W53" s="44"/>
      <c r="X53" s="44"/>
      <c r="Y53" s="44"/>
      <c r="Z53" s="44"/>
    </row>
    <row r="54" spans="2:26">
      <c r="B54" s="44"/>
      <c r="C54" s="45">
        <v>33349</v>
      </c>
      <c r="D54" s="44">
        <v>8.1</v>
      </c>
      <c r="E54" s="44">
        <v>8.64</v>
      </c>
      <c r="F54" s="44">
        <v>9</v>
      </c>
      <c r="G54" s="44">
        <v>9.54</v>
      </c>
      <c r="H54" s="44">
        <v>9.72</v>
      </c>
      <c r="I54" s="44">
        <v>0</v>
      </c>
      <c r="J54" s="44">
        <v>0</v>
      </c>
      <c r="L54" s="44"/>
      <c r="M54" s="45"/>
      <c r="N54" s="44"/>
      <c r="O54" s="44"/>
      <c r="P54" s="44"/>
      <c r="Q54" s="44"/>
      <c r="R54" s="44"/>
      <c r="S54" s="44"/>
      <c r="T54" s="44"/>
      <c r="U54" s="44"/>
      <c r="V54" s="44"/>
      <c r="W54" s="44"/>
      <c r="X54" s="44"/>
      <c r="Y54" s="44"/>
      <c r="Z54" s="44"/>
    </row>
    <row r="55" spans="2:26">
      <c r="B55" s="44"/>
      <c r="C55" s="45">
        <v>33318</v>
      </c>
      <c r="D55" s="44">
        <v>9</v>
      </c>
      <c r="E55" s="44">
        <v>10.08</v>
      </c>
      <c r="F55" s="44">
        <v>10.8</v>
      </c>
      <c r="G55" s="44">
        <v>11.52</v>
      </c>
      <c r="H55" s="44">
        <v>11.88</v>
      </c>
      <c r="I55" s="44" t="s">
        <v>2446</v>
      </c>
      <c r="J55" s="44" t="s">
        <v>2446</v>
      </c>
      <c r="L55" s="44"/>
      <c r="M55" s="45"/>
      <c r="N55" s="44"/>
      <c r="O55" s="44"/>
      <c r="P55" s="44"/>
      <c r="Q55" s="44"/>
      <c r="R55" s="44"/>
      <c r="S55" s="44"/>
      <c r="T55" s="44"/>
      <c r="U55" s="44"/>
      <c r="V55" s="44"/>
      <c r="W55" s="44"/>
      <c r="X55" s="44"/>
      <c r="Y55" s="44"/>
      <c r="Z55" s="44"/>
    </row>
    <row r="56" spans="2:26">
      <c r="B56" s="44"/>
      <c r="C56" s="45">
        <v>33106</v>
      </c>
      <c r="D56" s="44">
        <v>8.64</v>
      </c>
      <c r="E56" s="44">
        <v>9.36</v>
      </c>
      <c r="F56" s="44">
        <v>10.08</v>
      </c>
      <c r="G56" s="44">
        <v>10.8</v>
      </c>
      <c r="H56" s="44">
        <v>11.16</v>
      </c>
      <c r="I56" s="44">
        <v>0</v>
      </c>
      <c r="J56" s="44">
        <v>0</v>
      </c>
      <c r="L56" s="44"/>
      <c r="M56" s="45"/>
      <c r="N56" s="44"/>
      <c r="O56" s="44"/>
      <c r="P56" s="44"/>
      <c r="Q56" s="44"/>
      <c r="R56" s="44"/>
      <c r="S56" s="44"/>
      <c r="T56" s="44"/>
      <c r="U56" s="44"/>
      <c r="V56" s="44"/>
      <c r="W56" s="44"/>
      <c r="X56" s="44"/>
      <c r="Y56" s="44"/>
      <c r="Z56" s="44"/>
    </row>
    <row r="57" spans="2:26">
      <c r="B57" s="44"/>
      <c r="C57" s="45">
        <v>32540</v>
      </c>
      <c r="D57" s="44">
        <v>11.34</v>
      </c>
      <c r="E57" s="44">
        <v>11.34</v>
      </c>
      <c r="F57" s="44">
        <v>12.78</v>
      </c>
      <c r="G57" s="44">
        <v>14.4</v>
      </c>
      <c r="H57" s="44">
        <v>19.26</v>
      </c>
      <c r="I57" s="44">
        <v>0</v>
      </c>
      <c r="J57" s="44">
        <v>0</v>
      </c>
      <c r="L57" s="44"/>
      <c r="M57" s="45"/>
      <c r="N57" s="44"/>
      <c r="O57" s="44"/>
      <c r="P57" s="44"/>
      <c r="Q57" s="44"/>
      <c r="R57" s="44"/>
      <c r="S57" s="44"/>
      <c r="T57" s="44"/>
      <c r="U57" s="44"/>
      <c r="V57" s="44"/>
      <c r="W57" s="44"/>
      <c r="X57" s="44"/>
      <c r="Y57" s="44"/>
      <c r="Z57" s="44"/>
    </row>
    <row r="58" spans="2:10">
      <c r="B58" s="44"/>
      <c r="C58" s="45"/>
      <c r="D58" s="44"/>
      <c r="E58" s="44"/>
      <c r="F58" s="44"/>
      <c r="G58" s="44"/>
      <c r="H58" s="44"/>
      <c r="I58" s="44"/>
      <c r="J58" s="44"/>
    </row>
    <row r="59" spans="2:10">
      <c r="B59" s="47"/>
      <c r="C59" s="48"/>
      <c r="D59" s="47"/>
      <c r="E59" s="47"/>
      <c r="F59" s="47"/>
      <c r="G59" s="47"/>
      <c r="H59" s="47"/>
      <c r="I59" s="47"/>
      <c r="J59" s="47"/>
    </row>
    <row r="60" spans="2:10">
      <c r="B60" s="47"/>
      <c r="C60" s="48"/>
      <c r="D60" s="47"/>
      <c r="E60" s="47"/>
      <c r="F60" s="47"/>
      <c r="G60" s="47"/>
      <c r="H60" s="47"/>
      <c r="I60" s="47"/>
      <c r="J60" s="47"/>
    </row>
    <row r="61" spans="2:10">
      <c r="B61" s="47"/>
      <c r="C61" s="48"/>
      <c r="D61" s="47"/>
      <c r="E61" s="47"/>
      <c r="F61" s="47"/>
      <c r="G61" s="47"/>
      <c r="H61" s="47"/>
      <c r="I61" s="47"/>
      <c r="J61" s="47"/>
    </row>
    <row r="62" spans="2:10">
      <c r="B62" s="3"/>
      <c r="C62" s="3"/>
      <c r="D62" s="3"/>
      <c r="E62" s="3"/>
      <c r="F62" s="3"/>
      <c r="G62" s="3"/>
      <c r="H62" s="3"/>
      <c r="I62" s="3"/>
      <c r="J62" s="3"/>
    </row>
    <row r="63" spans="2:10">
      <c r="B63" s="3"/>
      <c r="C63" s="3"/>
      <c r="D63" s="3"/>
      <c r="E63" s="3"/>
      <c r="F63" s="3"/>
      <c r="G63" s="3"/>
      <c r="H63" s="3"/>
      <c r="I63" s="3"/>
      <c r="J63" s="3"/>
    </row>
  </sheetData>
  <sheetProtection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R37"/>
  <sheetViews>
    <sheetView view="pageLayout" zoomScale="90" zoomScaleNormal="100" workbookViewId="0">
      <selection activeCell="A6" sqref="A6:Q6"/>
    </sheetView>
  </sheetViews>
  <sheetFormatPr defaultColWidth="9" defaultRowHeight="13.5"/>
  <cols>
    <col min="1" max="1" width="7.875" customWidth="1"/>
    <col min="2" max="2" width="6.5" customWidth="1"/>
    <col min="4" max="4" width="7.125" customWidth="1"/>
    <col min="5" max="7" width="7.5" customWidth="1"/>
    <col min="8" max="10" width="6.375" customWidth="1"/>
  </cols>
  <sheetData>
    <row r="1" ht="18.75" spans="1:18">
      <c r="A1" s="3551" t="s">
        <v>98</v>
      </c>
      <c r="B1" s="3551"/>
      <c r="C1" s="3551"/>
      <c r="D1" s="3551"/>
      <c r="E1" s="3551"/>
      <c r="F1" s="3551"/>
      <c r="G1" s="3551"/>
      <c r="H1" s="3551"/>
      <c r="I1" s="3551"/>
      <c r="J1" s="3551"/>
      <c r="K1" s="3551"/>
      <c r="L1" s="3551"/>
      <c r="M1" s="3551"/>
      <c r="N1" s="3551"/>
      <c r="O1" s="3551"/>
      <c r="P1" s="3551"/>
      <c r="Q1" s="3551"/>
      <c r="R1" s="3551"/>
    </row>
    <row r="2" spans="1:18">
      <c r="A2" s="3552" t="s">
        <v>99</v>
      </c>
      <c r="B2" s="3552"/>
      <c r="C2" s="3552"/>
      <c r="D2" s="3552"/>
      <c r="E2" s="3552"/>
      <c r="F2" s="3552"/>
      <c r="G2" s="3552"/>
      <c r="H2" s="3552"/>
      <c r="I2" s="3568"/>
      <c r="J2" s="3568"/>
      <c r="K2" s="3569" t="str">
        <f>"估价期日："&amp;TEXT(项目基本情况!D3,"yyyy年m月d日;;")</f>
        <v>估价期日：2021年11月19日</v>
      </c>
      <c r="L2" s="3552"/>
      <c r="M2" s="3552"/>
      <c r="N2" s="3552"/>
      <c r="O2" s="3552"/>
      <c r="P2" s="3552"/>
      <c r="Q2" s="3552"/>
      <c r="R2" s="3569" t="str">
        <f>"估价期日的国有建设用地使用权性质："&amp;项目基本情况!B16</f>
        <v>估价期日的国有建设用地使用权性质：出让</v>
      </c>
    </row>
    <row r="3" ht="23.25" customHeight="1" spans="1:18">
      <c r="A3" s="3553" t="s">
        <v>100</v>
      </c>
      <c r="B3" s="3553" t="s">
        <v>101</v>
      </c>
      <c r="C3" s="3554" t="s">
        <v>102</v>
      </c>
      <c r="D3" s="3553" t="s">
        <v>103</v>
      </c>
      <c r="E3" s="3555" t="s">
        <v>104</v>
      </c>
      <c r="F3" s="3555"/>
      <c r="G3" s="3555"/>
      <c r="H3" s="3555" t="s">
        <v>105</v>
      </c>
      <c r="I3" s="3555"/>
      <c r="J3" s="3555"/>
      <c r="K3" s="3554" t="s">
        <v>106</v>
      </c>
      <c r="L3" s="3554" t="s">
        <v>107</v>
      </c>
      <c r="M3" s="3553" t="s">
        <v>108</v>
      </c>
      <c r="N3" s="3570" t="str">
        <f>"（分摊）"&amp;项目基本情况!B16&amp;"国有建设用地使用权面积/㎡"</f>
        <v>（分摊）出让国有建设用地使用权面积/㎡</v>
      </c>
      <c r="O3" s="3553" t="s">
        <v>109</v>
      </c>
      <c r="P3" s="3554" t="s">
        <v>110</v>
      </c>
      <c r="Q3" s="3554" t="s">
        <v>111</v>
      </c>
      <c r="R3" s="3554" t="s">
        <v>112</v>
      </c>
    </row>
    <row r="4" ht="36.75" customHeight="1" spans="1:18">
      <c r="A4" s="3553"/>
      <c r="B4" s="3553"/>
      <c r="C4" s="3554"/>
      <c r="D4" s="3553"/>
      <c r="E4" s="3555" t="s">
        <v>113</v>
      </c>
      <c r="F4" s="3555" t="s">
        <v>114</v>
      </c>
      <c r="G4" s="3555" t="s">
        <v>115</v>
      </c>
      <c r="H4" s="3555" t="s">
        <v>116</v>
      </c>
      <c r="I4" s="3555" t="s">
        <v>117</v>
      </c>
      <c r="J4" s="3555" t="s">
        <v>115</v>
      </c>
      <c r="K4" s="3554"/>
      <c r="L4" s="3554"/>
      <c r="M4" s="3553"/>
      <c r="N4" s="3570"/>
      <c r="O4" s="3553"/>
      <c r="P4" s="3554"/>
      <c r="Q4" s="3554"/>
      <c r="R4" s="3554"/>
    </row>
    <row r="5" ht="135" customHeight="1" spans="1:18">
      <c r="A5" s="3556" t="s">
        <v>118</v>
      </c>
      <c r="B5" s="3557" t="s">
        <v>119</v>
      </c>
      <c r="C5" s="3558">
        <v>22</v>
      </c>
      <c r="D5" s="3554" t="s">
        <v>120</v>
      </c>
      <c r="E5" s="3559">
        <f>项目基本情况!B12</f>
        <v>0</v>
      </c>
      <c r="F5" s="3554">
        <v>258</v>
      </c>
      <c r="G5" s="3559">
        <f>项目基本情况!B13</f>
        <v>0</v>
      </c>
      <c r="H5" s="3554">
        <v>1.5</v>
      </c>
      <c r="I5" s="3554">
        <v>1.5</v>
      </c>
      <c r="J5" s="3554">
        <v>1.5</v>
      </c>
      <c r="K5" s="3559" t="str">
        <f>"红线外"&amp;项目基本情况!T40&amp;"、宗地红线内"&amp;项目基本情况!B35</f>
        <v>红线外七通、宗地红线内</v>
      </c>
      <c r="L5" s="3559" t="str">
        <f>"红线外"&amp;项目基本情况!T40&amp;"、宗地红线内场地"&amp;项目基本情况!D36</f>
        <v>红线外七通、宗地红线内场地</v>
      </c>
      <c r="M5" s="3559">
        <f>IF(项目基本情况!B16="出让",项目基本情况!D20,"——")</f>
        <v>0</v>
      </c>
      <c r="N5" s="3559">
        <f>项目基本情况!C22</f>
        <v>20468.06</v>
      </c>
      <c r="O5" s="3559">
        <f>项目基本情况!C21</f>
        <v>57817.58</v>
      </c>
      <c r="P5" s="3559">
        <f ca="1">结果表!E42</f>
        <v>10953</v>
      </c>
      <c r="Q5" s="3559">
        <f ca="1">结果表!D42</f>
        <v>3877</v>
      </c>
      <c r="R5" s="3571">
        <f ca="1">结果表!C42</f>
        <v>22418</v>
      </c>
    </row>
    <row r="6" spans="1:18">
      <c r="A6" s="3560" t="str">
        <f>IF(项目基本情况!B9="市场价格","——","抵押价格")</f>
        <v>——</v>
      </c>
      <c r="B6" s="3561"/>
      <c r="C6" s="3561"/>
      <c r="D6" s="3561"/>
      <c r="E6" s="3561"/>
      <c r="F6" s="3561"/>
      <c r="G6" s="3561"/>
      <c r="H6" s="3561"/>
      <c r="I6" s="3561"/>
      <c r="J6" s="3561"/>
      <c r="K6" s="3561"/>
      <c r="L6" s="3561"/>
      <c r="M6" s="3561"/>
      <c r="N6" s="3561"/>
      <c r="O6" s="3561"/>
      <c r="P6" s="3561"/>
      <c r="Q6" s="3572"/>
      <c r="R6" s="3573" t="str">
        <f ca="1">结果表!O39</f>
        <v>——</v>
      </c>
    </row>
    <row r="7" spans="1:18">
      <c r="A7" s="3560" t="str">
        <f>IF(项目基本情况!B9="市场价格","——",IF(项目基本情况!E8="已注销及未注销","抵押担保权已注销时的抵押价格","——"))</f>
        <v>——</v>
      </c>
      <c r="B7" s="3561"/>
      <c r="C7" s="3561"/>
      <c r="D7" s="3561"/>
      <c r="E7" s="3561"/>
      <c r="F7" s="3561"/>
      <c r="G7" s="3561"/>
      <c r="H7" s="3561"/>
      <c r="I7" s="3561"/>
      <c r="J7" s="3561"/>
      <c r="K7" s="3561"/>
      <c r="L7" s="3561"/>
      <c r="M7" s="3561"/>
      <c r="N7" s="3561"/>
      <c r="O7" s="3561"/>
      <c r="P7" s="3561"/>
      <c r="Q7" s="3572"/>
      <c r="R7" s="3573" t="str">
        <f ca="1">结果表!O40</f>
        <v>——</v>
      </c>
    </row>
    <row r="8" spans="1:18">
      <c r="A8" s="3560" t="str">
        <f>IF(项目基本情况!B9="市场价格","——",项目基本情况!E9)</f>
        <v>——</v>
      </c>
      <c r="B8" s="3561"/>
      <c r="C8" s="3561"/>
      <c r="D8" s="3561"/>
      <c r="E8" s="3561"/>
      <c r="F8" s="3561"/>
      <c r="G8" s="3561"/>
      <c r="H8" s="3561"/>
      <c r="I8" s="3561"/>
      <c r="J8" s="3561"/>
      <c r="K8" s="3561"/>
      <c r="L8" s="3561"/>
      <c r="M8" s="3561"/>
      <c r="N8" s="3561"/>
      <c r="O8" s="3561"/>
      <c r="P8" s="3561"/>
      <c r="Q8" s="3572"/>
      <c r="R8" s="3573" t="str">
        <f ca="1">结果表!O41</f>
        <v>——</v>
      </c>
    </row>
    <row r="9" spans="1:18">
      <c r="A9" s="3562" t="s">
        <v>121</v>
      </c>
      <c r="B9" s="3552"/>
      <c r="C9" s="3552"/>
      <c r="D9" s="3552"/>
      <c r="E9" s="3552"/>
      <c r="F9" s="3552"/>
      <c r="G9" s="3552"/>
      <c r="H9" s="3552"/>
      <c r="I9" s="3552"/>
      <c r="J9" s="3552"/>
      <c r="K9" s="3552"/>
      <c r="L9" s="3552"/>
      <c r="M9" s="3552"/>
      <c r="N9" s="3552"/>
      <c r="O9" s="3552"/>
      <c r="P9" s="3552"/>
      <c r="Q9" s="3552"/>
      <c r="R9" s="3552"/>
    </row>
    <row r="10" spans="1:18">
      <c r="A10" s="3563"/>
      <c r="B10" s="3552"/>
      <c r="C10" s="3552"/>
      <c r="D10" s="3552"/>
      <c r="E10" s="3552"/>
      <c r="F10" s="3552"/>
      <c r="G10" s="3552"/>
      <c r="H10" s="3552"/>
      <c r="I10" s="3552"/>
      <c r="J10" s="3552"/>
      <c r="K10" s="3552"/>
      <c r="L10" s="3552"/>
      <c r="M10" s="3552"/>
      <c r="N10" s="3552"/>
      <c r="O10" s="3552"/>
      <c r="P10" s="3552"/>
      <c r="Q10" s="3552"/>
      <c r="R10" s="3552"/>
    </row>
    <row r="11" spans="1:18">
      <c r="A11" s="3563" t="s">
        <v>94</v>
      </c>
      <c r="B11" s="3564"/>
      <c r="C11" s="3564"/>
      <c r="D11" s="3564"/>
      <c r="E11" s="3564"/>
      <c r="F11" s="3564"/>
      <c r="G11" s="3564"/>
      <c r="H11" s="3564"/>
      <c r="I11" s="3564"/>
      <c r="J11" s="3564"/>
      <c r="K11" s="3564"/>
      <c r="L11" s="3564"/>
      <c r="M11" s="3564"/>
      <c r="N11" s="3564"/>
      <c r="O11" s="3564"/>
      <c r="P11" s="3564"/>
      <c r="Q11" s="3564"/>
      <c r="R11" s="3564"/>
    </row>
    <row r="12" spans="1:18">
      <c r="A12" s="3126"/>
      <c r="B12" s="3126"/>
      <c r="C12" s="3126"/>
      <c r="D12" s="3126"/>
      <c r="E12" s="3126"/>
      <c r="F12" s="3126"/>
      <c r="G12" s="3126"/>
      <c r="H12" s="3126"/>
      <c r="I12" s="3126"/>
      <c r="J12" s="3126"/>
      <c r="K12" s="3126"/>
      <c r="L12" s="3126"/>
      <c r="M12" s="3126"/>
      <c r="N12" s="3126"/>
      <c r="O12" s="3126"/>
      <c r="P12" s="3126"/>
      <c r="Q12" s="3126"/>
      <c r="R12" s="3126"/>
    </row>
    <row r="13" ht="16.5" customHeight="1" spans="1:18">
      <c r="A13" s="3126"/>
      <c r="B13" s="3126"/>
      <c r="C13" s="3126"/>
      <c r="D13" s="3126"/>
      <c r="E13" s="3126"/>
      <c r="F13" s="3126"/>
      <c r="G13" s="3126"/>
      <c r="H13" s="3126"/>
      <c r="I13" s="3126"/>
      <c r="J13" s="3126"/>
      <c r="K13" s="3126"/>
      <c r="L13" s="3126"/>
      <c r="M13" s="3126"/>
      <c r="N13" s="3126"/>
      <c r="O13" s="3126"/>
      <c r="P13" s="3126"/>
      <c r="Q13" s="3126"/>
      <c r="R13" s="3126"/>
    </row>
    <row r="14" spans="1:18">
      <c r="A14" s="3565"/>
      <c r="B14" s="3126"/>
      <c r="C14" s="3126"/>
      <c r="D14" s="3126"/>
      <c r="E14" s="3126"/>
      <c r="F14" s="3126"/>
      <c r="G14" s="3126"/>
      <c r="H14" s="3126"/>
      <c r="I14" s="3126"/>
      <c r="J14" s="3126"/>
      <c r="K14" s="3126"/>
      <c r="L14" s="3126"/>
      <c r="M14" s="3126"/>
      <c r="N14" s="3126"/>
      <c r="O14" s="3126"/>
      <c r="P14" s="3126"/>
      <c r="Q14" s="3126"/>
      <c r="R14" s="3126"/>
    </row>
    <row r="15" spans="1:1">
      <c r="A15" s="3566"/>
    </row>
    <row r="16" spans="1:1">
      <c r="A16" s="3566"/>
    </row>
    <row r="17" spans="1:1">
      <c r="A17" s="3566"/>
    </row>
    <row r="18" spans="1:1">
      <c r="A18" s="3566"/>
    </row>
    <row r="19" spans="1:1">
      <c r="A19" s="3566"/>
    </row>
    <row r="20" spans="1:1">
      <c r="A20" s="3567"/>
    </row>
    <row r="21" spans="1:1">
      <c r="A21" s="3567"/>
    </row>
    <row r="22" spans="1:1">
      <c r="A22" s="3566"/>
    </row>
    <row r="23" spans="1:1">
      <c r="A23" s="3566"/>
    </row>
    <row r="24" spans="1:1">
      <c r="A24" s="3566"/>
    </row>
    <row r="25" spans="1:1">
      <c r="A25" s="3566"/>
    </row>
    <row r="26" spans="1:1">
      <c r="A26" s="3566"/>
    </row>
    <row r="27" spans="1:1">
      <c r="A27" s="3566"/>
    </row>
    <row r="28" spans="1:1">
      <c r="A28" s="3566"/>
    </row>
    <row r="29" spans="1:1">
      <c r="A29" s="3566"/>
    </row>
    <row r="30" spans="1:1">
      <c r="A30" s="3566"/>
    </row>
    <row r="31" spans="1:1">
      <c r="A31" s="3566"/>
    </row>
    <row r="32" spans="1:1">
      <c r="A32" s="3566"/>
    </row>
    <row r="33" spans="1:1">
      <c r="A33" s="3566"/>
    </row>
    <row r="34" spans="1:1">
      <c r="A34" s="3566"/>
    </row>
    <row r="35" spans="1:1">
      <c r="A35" s="3566"/>
    </row>
    <row r="36" spans="1:1">
      <c r="A36" s="3566"/>
    </row>
    <row r="37" spans="1:1">
      <c r="A37" s="3566"/>
    </row>
  </sheetData>
  <sheetProtection sheet="1" objects="1" scenarios="1"/>
  <mergeCells count="18">
    <mergeCell ref="A1:R1"/>
    <mergeCell ref="E3:G3"/>
    <mergeCell ref="H3:J3"/>
    <mergeCell ref="A6:Q6"/>
    <mergeCell ref="A7:Q7"/>
    <mergeCell ref="A8:Q8"/>
    <mergeCell ref="A3:A4"/>
    <mergeCell ref="B3:B4"/>
    <mergeCell ref="C3:C4"/>
    <mergeCell ref="D3:D4"/>
    <mergeCell ref="K3:K4"/>
    <mergeCell ref="L3:L4"/>
    <mergeCell ref="M3:M4"/>
    <mergeCell ref="N3:N4"/>
    <mergeCell ref="O3:O4"/>
    <mergeCell ref="P3:P4"/>
    <mergeCell ref="Q3:Q4"/>
    <mergeCell ref="R3:R4"/>
  </mergeCells>
  <printOptions horizontalCentered="1"/>
  <pageMargins left="0.118110236220472" right="0.118110236220472" top="1.18110236220472" bottom="0.984251968503937" header="0.78740157480315"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0"/>
  <sheetViews>
    <sheetView view="pageLayout" zoomScale="80" zoomScaleNormal="100" topLeftCell="A10" workbookViewId="0">
      <selection activeCell="A17" sqref="A17:D17"/>
    </sheetView>
  </sheetViews>
  <sheetFormatPr defaultColWidth="9" defaultRowHeight="14.25" outlineLevelCol="3"/>
  <cols>
    <col min="1" max="1" width="15.75" style="3540" customWidth="1"/>
    <col min="2" max="3" width="21.375" style="3540" customWidth="1"/>
    <col min="4" max="4" width="19.875" style="3540" customWidth="1"/>
    <col min="5" max="16384" width="9" style="3540"/>
  </cols>
  <sheetData>
    <row r="1" spans="1:1">
      <c r="A1" s="3540" t="s">
        <v>122</v>
      </c>
    </row>
    <row r="2" ht="47.25" customHeight="1" spans="1:4">
      <c r="A2" s="3541" t="str">
        <f>"1.权利限制："&amp;项目基本情况!L24&amp;"未设定租赁等其他他项权利。"</f>
        <v>1.权利限制：根据估价对象《不动产权证书》原件、《国有土地使用权》复印件，截至估价期日，估价对象抵押权未见登记。未设定租赁等其他他项权利。</v>
      </c>
      <c r="B2" s="3541"/>
      <c r="C2" s="3541"/>
      <c r="D2" s="3541"/>
    </row>
    <row r="3" ht="48" customHeight="1" spans="1:1">
      <c r="A3" s="3540" t="str">
        <f>"2.基础设施条件：估价对象实际开发程度为"&amp;'预评函-2'!K5&amp;"；本次评估设定开发程度为"&amp;'预评函-2'!L5&amp;"。"</f>
        <v>2.基础设施条件：估价对象实际开发程度为红线外七通、宗地红线内；本次评估设定开发程度为红线外七通、宗地红线内场地。</v>
      </c>
    </row>
    <row r="4" ht="36.75" customHeight="1" spans="1:1">
      <c r="A4" s="3540" t="str">
        <f>"3.估价规划限制条件：详见"&amp;项目基本情况!E21&amp;"。"</f>
        <v>3.估价规划限制条件：详见《建设工程规划许可证》[]、《出让合同》[]。</v>
      </c>
    </row>
    <row r="5" spans="1:4">
      <c r="A5" s="3542" t="s">
        <v>123</v>
      </c>
      <c r="B5" s="3542"/>
      <c r="C5" s="3542"/>
      <c r="D5" s="3542"/>
    </row>
    <row r="6" spans="1:1">
      <c r="A6" s="3540" t="s">
        <v>124</v>
      </c>
    </row>
    <row r="7" ht="33" customHeight="1" spans="1:1">
      <c r="A7" s="3540" t="s">
        <v>125</v>
      </c>
    </row>
    <row r="8" ht="32.25" customHeight="1" spans="1:1">
      <c r="A8" s="3540" t="str">
        <f>IF(项目基本情况!B8="抵押","2.本《评估意见函》仅供金融机构进行内部审核使用，不做其他目的之用。","2.本次评估设定估价对象宗地权属无争议，未被查封或者以其他形式限制其房地产权利，未设定抵押权等他项权利，不涉及第三方权利义务。")</f>
        <v>2.本次评估设定估价对象宗地权属无争议，未被查封或者以其他形式限制其房地产权利，未设定抵押权等他项权利，不涉及第三方权利义务。</v>
      </c>
    </row>
    <row r="9" ht="33.75" customHeight="1" spans="1:1">
      <c r="A9" s="3540" t="str">
        <f>IF(项目基本情况!B8="抵押","3.抵押双方在办理抵押登记手续时，应使用本公司出具的正式《土地估价报告》，特提请报告使用者注意。","——")</f>
        <v>——</v>
      </c>
    </row>
    <row r="10" spans="1:1">
      <c r="A10" s="3540" t="str">
        <f>IF(项目基本情况!B8="抵押","4.估价师所知悉的法定优先受偿款情况为：","——")</f>
        <v>——</v>
      </c>
    </row>
    <row r="11" ht="37.5" customHeight="1" spans="1:4">
      <c r="A11" s="3543" t="str">
        <f>IF(项目基本情况!B8="抵押","（1）"&amp;CONCATENATE(项目基本情况!L24,项目基本情况!L25,项目基本情况!L26),"——")</f>
        <v>——</v>
      </c>
      <c r="B11" s="3543"/>
      <c r="C11" s="3543"/>
      <c r="D11" s="3543"/>
    </row>
    <row r="12" ht="168" customHeight="1" spans="1:4">
      <c r="A12" s="3542" t="s">
        <v>126</v>
      </c>
      <c r="B12" s="3542"/>
      <c r="C12" s="3542"/>
      <c r="D12" s="3542"/>
    </row>
    <row r="13" spans="1:4">
      <c r="A13" s="3544" t="s">
        <v>127</v>
      </c>
      <c r="B13" s="3544"/>
      <c r="C13" s="3544"/>
      <c r="D13" s="3544"/>
    </row>
    <row r="14" spans="1:4">
      <c r="A14" s="3543" t="str">
        <f>IF(项目基本情况!B8="抵押","综上，"&amp;结果表!K47,"——")</f>
        <v>——</v>
      </c>
      <c r="B14" s="3543"/>
      <c r="C14" s="3543"/>
      <c r="D14" s="3543"/>
    </row>
    <row r="15" ht="58.5" customHeight="1" spans="1:1">
      <c r="A15" s="3540" t="str">
        <f>IF(结果表!F1="现房","——",IF(项目基本情况!B8="抵押","5.","3.")&amp;"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f>
        <v>3.本次估价结果以估价对象能够按照合理工期按时完成各项工程进度，直至通过竣工验收，并能够在合理期限内正常投入使用，最终取得《不动产权证书》为前提条件，未考虑估价对象因其他原因无法顺利开工、完工而产生的重大影响，在此提请报告使用者注意。</v>
      </c>
    </row>
    <row r="16" ht="70.5" customHeight="1" spans="1:1">
      <c r="A16" s="3540" t="str">
        <f>IF(结果表!F1="现房","——",IF(项目基本情况!B8="抵押","6.","4."))&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f>
        <v>4.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在此提请报告使用者注意。</v>
      </c>
    </row>
    <row r="17" spans="1:1">
      <c r="A17" s="3540" t="s">
        <v>128</v>
      </c>
    </row>
    <row r="18" spans="1:1">
      <c r="A18" s="3540" t="s">
        <v>129</v>
      </c>
    </row>
    <row r="19" spans="1:4">
      <c r="A19" s="3545" t="s">
        <v>130</v>
      </c>
      <c r="B19" s="3545" t="s">
        <v>131</v>
      </c>
      <c r="C19" s="3545" t="s">
        <v>132</v>
      </c>
      <c r="D19" s="3545" t="s">
        <v>133</v>
      </c>
    </row>
    <row r="20" spans="1:4">
      <c r="A20" s="3545" t="str">
        <f>项目基本情况!B4</f>
        <v>陈颖</v>
      </c>
      <c r="B20" s="3545">
        <f ca="1">项目基本情况!C4</f>
        <v>2004110096</v>
      </c>
      <c r="C20" s="3546"/>
      <c r="D20" s="3547" t="s">
        <v>134</v>
      </c>
    </row>
    <row r="21" spans="1:4">
      <c r="A21" s="3545" t="str">
        <f>项目基本情况!D4</f>
        <v>崔锴</v>
      </c>
      <c r="B21" s="3545">
        <f ca="1">项目基本情况!E4</f>
        <v>2010110070</v>
      </c>
      <c r="C21" s="3546"/>
      <c r="D21" s="3547" t="s">
        <v>134</v>
      </c>
    </row>
    <row r="23" spans="1:1">
      <c r="A23" s="3540" t="s">
        <v>135</v>
      </c>
    </row>
    <row r="24" spans="1:4">
      <c r="A24" s="3545" t="s">
        <v>130</v>
      </c>
      <c r="B24" s="3545" t="s">
        <v>136</v>
      </c>
      <c r="C24" s="3545" t="s">
        <v>132</v>
      </c>
      <c r="D24" s="3545" t="s">
        <v>133</v>
      </c>
    </row>
    <row r="25" spans="1:4">
      <c r="A25" s="3548" t="s">
        <v>137</v>
      </c>
      <c r="B25" s="3545" t="s">
        <v>138</v>
      </c>
      <c r="C25" s="3546"/>
      <c r="D25" s="3547" t="s">
        <v>134</v>
      </c>
    </row>
    <row r="29" spans="4:4">
      <c r="D29" s="3549" t="s">
        <v>99</v>
      </c>
    </row>
    <row r="30" spans="4:4">
      <c r="D30" s="3550">
        <v>42558</v>
      </c>
    </row>
  </sheetData>
  <sheetProtection sheet="1" formatCells="0" formatRows="0" insertRows="0" deleteRows="0" objects="1" scenarios="1"/>
  <mergeCells count="19">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23:D23"/>
  </mergeCells>
  <printOptions horizontalCentered="1"/>
  <pageMargins left="0.984251968503937" right="0.78740157480315" top="1.18110236220472" bottom="0.905511811023622" header="0.866141732283464"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6"/>
  <sheetViews>
    <sheetView workbookViewId="0">
      <pane ySplit="1" topLeftCell="A2" activePane="bottomLeft" state="frozen"/>
      <selection/>
      <selection pane="bottomLeft" activeCell="A48" sqref="A48"/>
    </sheetView>
  </sheetViews>
  <sheetFormatPr defaultColWidth="14.5" defaultRowHeight="15.75" outlineLevelCol="6"/>
  <cols>
    <col min="1" max="1" width="14.5" style="3509" customWidth="1"/>
    <col min="2" max="16384" width="14.5" style="3451"/>
  </cols>
  <sheetData>
    <row r="1" s="3508" customFormat="1" ht="18.75" spans="1:1">
      <c r="A1" s="3510" t="s">
        <v>139</v>
      </c>
    </row>
    <row r="3" ht="14.25" spans="1:7">
      <c r="A3" s="3511" t="s">
        <v>140</v>
      </c>
      <c r="B3" s="3451" t="s">
        <v>141</v>
      </c>
      <c r="G3" s="3512"/>
    </row>
    <row r="4" spans="7:7">
      <c r="G4" s="3512"/>
    </row>
    <row r="5" ht="14.25" spans="1:7">
      <c r="A5" s="3513" t="s">
        <v>142</v>
      </c>
      <c r="B5" s="3451" t="s">
        <v>143</v>
      </c>
      <c r="G5" s="3512"/>
    </row>
    <row r="6" spans="7:7">
      <c r="G6" s="3512"/>
    </row>
    <row r="7" ht="14.25" spans="1:7">
      <c r="A7" s="3514" t="s">
        <v>144</v>
      </c>
      <c r="B7" s="3451" t="s">
        <v>145</v>
      </c>
      <c r="G7" s="3512"/>
    </row>
    <row r="8" spans="7:7">
      <c r="G8" s="3512"/>
    </row>
    <row r="9" ht="14.25" spans="1:2">
      <c r="A9" s="3515" t="s">
        <v>146</v>
      </c>
      <c r="B9" s="3451" t="s">
        <v>147</v>
      </c>
    </row>
    <row r="11" ht="14.25" spans="1:2">
      <c r="A11" s="3516" t="s">
        <v>148</v>
      </c>
      <c r="B11" s="3517" t="s">
        <v>149</v>
      </c>
    </row>
    <row r="13" ht="14.25" spans="1:1">
      <c r="A13" s="3518" t="s">
        <v>150</v>
      </c>
    </row>
    <row r="15" ht="13.5" spans="1:3">
      <c r="A15" s="3519" t="s">
        <v>151</v>
      </c>
      <c r="B15" s="3520" t="s">
        <v>152</v>
      </c>
      <c r="C15" s="3521"/>
    </row>
    <row r="16" ht="13.5" spans="1:3">
      <c r="A16" s="3519"/>
      <c r="B16" s="3522" t="s">
        <v>153</v>
      </c>
      <c r="C16" s="3522" t="s">
        <v>151</v>
      </c>
    </row>
    <row r="17" ht="13.5" spans="1:3">
      <c r="A17" s="3519"/>
      <c r="B17" s="3522"/>
      <c r="C17" s="3522" t="s">
        <v>154</v>
      </c>
    </row>
    <row r="18" ht="13.5" spans="1:3">
      <c r="A18" s="3519"/>
      <c r="B18" s="3522"/>
      <c r="C18" s="3522" t="s">
        <v>155</v>
      </c>
    </row>
    <row r="19" ht="13.5" spans="1:3">
      <c r="A19" s="3519"/>
      <c r="B19" s="3523" t="s">
        <v>156</v>
      </c>
      <c r="C19" s="3521"/>
    </row>
    <row r="20" ht="14.25" spans="1:3">
      <c r="A20" s="3524" t="s">
        <v>157</v>
      </c>
      <c r="B20" s="3525"/>
      <c r="C20" s="3526"/>
    </row>
    <row r="21" ht="13.5" spans="1:3">
      <c r="A21" s="3527" t="s">
        <v>158</v>
      </c>
      <c r="B21" s="3523" t="s">
        <v>159</v>
      </c>
      <c r="C21" s="3521"/>
    </row>
    <row r="22" ht="13.5" spans="1:3">
      <c r="A22" s="3527"/>
      <c r="B22" s="3523" t="s">
        <v>160</v>
      </c>
      <c r="C22" s="3521"/>
    </row>
    <row r="23" ht="13.5" spans="1:3">
      <c r="A23" s="3527"/>
      <c r="B23" s="3523" t="s">
        <v>161</v>
      </c>
      <c r="C23" s="3521"/>
    </row>
    <row r="24" ht="13.5" spans="1:3">
      <c r="A24" s="3527"/>
      <c r="B24" s="3528" t="s">
        <v>162</v>
      </c>
      <c r="C24" s="3529" t="s">
        <v>163</v>
      </c>
    </row>
    <row r="25" ht="13.5" spans="1:3">
      <c r="A25" s="3527"/>
      <c r="B25" s="3530"/>
      <c r="C25" s="3529" t="s">
        <v>164</v>
      </c>
    </row>
    <row r="26" ht="13.5" spans="1:3">
      <c r="A26" s="3527"/>
      <c r="B26" s="3530"/>
      <c r="C26" s="3529" t="s">
        <v>165</v>
      </c>
    </row>
    <row r="27" ht="13.5" spans="1:3">
      <c r="A27" s="3527"/>
      <c r="B27" s="3530"/>
      <c r="C27" s="3529" t="s">
        <v>166</v>
      </c>
    </row>
    <row r="28" ht="13.5" spans="1:3">
      <c r="A28" s="3527"/>
      <c r="B28" s="3530"/>
      <c r="C28" s="3529" t="s">
        <v>167</v>
      </c>
    </row>
    <row r="29" ht="13.5" spans="1:3">
      <c r="A29" s="3527"/>
      <c r="B29" s="3530"/>
      <c r="C29" s="3529" t="s">
        <v>168</v>
      </c>
    </row>
    <row r="30" ht="13.5" spans="1:3">
      <c r="A30" s="3527"/>
      <c r="B30" s="3530"/>
      <c r="C30" s="3529" t="s">
        <v>169</v>
      </c>
    </row>
    <row r="31" ht="13.5" spans="1:3">
      <c r="A31" s="3527"/>
      <c r="B31" s="3530"/>
      <c r="C31" s="3529" t="s">
        <v>170</v>
      </c>
    </row>
    <row r="32" ht="13.5" spans="1:3">
      <c r="A32" s="3527"/>
      <c r="B32" s="3530"/>
      <c r="C32" s="3529" t="s">
        <v>171</v>
      </c>
    </row>
    <row r="33" ht="13.5" spans="1:3">
      <c r="A33" s="3527"/>
      <c r="B33" s="3531" t="s">
        <v>172</v>
      </c>
      <c r="C33" s="3529" t="s">
        <v>173</v>
      </c>
    </row>
    <row r="34" ht="14.25" spans="1:3">
      <c r="A34" s="3527"/>
      <c r="B34" s="3532"/>
      <c r="C34" s="3533" t="s">
        <v>174</v>
      </c>
    </row>
    <row r="35" ht="13.5" spans="1:3">
      <c r="A35" s="3527"/>
      <c r="B35" s="3532"/>
      <c r="C35" s="3534" t="s">
        <v>175</v>
      </c>
    </row>
    <row r="36" ht="13.5" spans="1:3">
      <c r="A36" s="3527"/>
      <c r="B36" s="3532"/>
      <c r="C36" s="3534" t="s">
        <v>176</v>
      </c>
    </row>
    <row r="37" ht="13.5" spans="1:3">
      <c r="A37" s="3527"/>
      <c r="B37" s="3535"/>
      <c r="C37" s="3536" t="s">
        <v>177</v>
      </c>
    </row>
    <row r="38" spans="1:1">
      <c r="A38" s="3537" t="s">
        <v>178</v>
      </c>
    </row>
    <row r="41" spans="1:1">
      <c r="A41" s="3537" t="s">
        <v>179</v>
      </c>
    </row>
    <row r="42" ht="14.25" spans="1:1">
      <c r="A42" s="3538" t="s">
        <v>180</v>
      </c>
    </row>
    <row r="43" ht="14.25" spans="1:1">
      <c r="A43" s="3538" t="s">
        <v>181</v>
      </c>
    </row>
    <row r="44" ht="14.25" spans="1:1">
      <c r="A44" s="3538" t="s">
        <v>182</v>
      </c>
    </row>
    <row r="45" ht="14.25" spans="1:1">
      <c r="A45" s="3539" t="s">
        <v>183</v>
      </c>
    </row>
    <row r="46" ht="14.25" spans="1:1">
      <c r="A46" s="3538" t="s">
        <v>184</v>
      </c>
    </row>
  </sheetData>
  <sheetProtection password="C66D" sheet="1" formatCells="0" formatColumns="0" formatRows="0" objects="1" scenarios="1"/>
  <mergeCells count="10">
    <mergeCell ref="B15:C15"/>
    <mergeCell ref="B19:C19"/>
    <mergeCell ref="B21:C21"/>
    <mergeCell ref="B22:C22"/>
    <mergeCell ref="B23:C23"/>
    <mergeCell ref="A15:A19"/>
    <mergeCell ref="A21:A37"/>
    <mergeCell ref="B16:B18"/>
    <mergeCell ref="B24:B32"/>
    <mergeCell ref="B33:B37"/>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view="pageBreakPreview" zoomScale="80" zoomScaleNormal="100" workbookViewId="0">
      <selection activeCell="D26" sqref="D26"/>
    </sheetView>
  </sheetViews>
  <sheetFormatPr defaultColWidth="22.625" defaultRowHeight="20.25" customHeight="1" outlineLevelCol="6"/>
  <cols>
    <col min="1" max="1" width="24.75" style="3478" customWidth="1"/>
    <col min="2" max="2" width="22.75" style="3478" customWidth="1"/>
    <col min="3" max="3" width="25.75" style="3478" customWidth="1"/>
    <col min="4" max="4" width="22.625" style="3478"/>
    <col min="5" max="5" width="22.75" style="3478" customWidth="1"/>
    <col min="6" max="6" width="25.625" style="3478" customWidth="1"/>
    <col min="7" max="16384" width="22.625" style="3478"/>
  </cols>
  <sheetData>
    <row r="1" customHeight="1" spans="1:7">
      <c r="A1" s="3479"/>
      <c r="B1" s="3479"/>
      <c r="C1" s="3479"/>
      <c r="D1" s="3479"/>
      <c r="E1" s="3479"/>
      <c r="F1" s="3479"/>
      <c r="G1" s="3479"/>
    </row>
    <row r="2" customHeight="1" spans="1:7">
      <c r="A2" s="3480" t="s">
        <v>185</v>
      </c>
      <c r="B2" s="3481">
        <f ca="1">TODAY()</f>
        <v>44536</v>
      </c>
      <c r="C2" s="3482" t="s">
        <v>186</v>
      </c>
      <c r="D2" s="3482"/>
      <c r="E2" s="3479"/>
      <c r="F2" s="3479"/>
      <c r="G2" s="3479"/>
    </row>
    <row r="3" customHeight="1" spans="1:7">
      <c r="A3" s="3483" t="s">
        <v>129</v>
      </c>
      <c r="B3" s="3484" t="s">
        <v>187</v>
      </c>
      <c r="C3" s="3485" t="s">
        <v>188</v>
      </c>
      <c r="D3" s="3486" t="s">
        <v>189</v>
      </c>
      <c r="E3" s="3484" t="s">
        <v>190</v>
      </c>
      <c r="F3" s="3484" t="s">
        <v>188</v>
      </c>
      <c r="G3" s="3479"/>
    </row>
    <row r="4" customHeight="1" spans="1:7">
      <c r="A4" s="3484" t="s">
        <v>191</v>
      </c>
      <c r="B4" s="3484">
        <f ca="1">IF(C4&lt;B2,"已过期",1119970066)</f>
        <v>1119970066</v>
      </c>
      <c r="C4" s="3487">
        <v>44876</v>
      </c>
      <c r="D4" s="3488" t="s">
        <v>191</v>
      </c>
      <c r="E4" s="3484">
        <f ca="1">IF(F4&lt;B2,"已过期",96010014)</f>
        <v>96010014</v>
      </c>
      <c r="F4" s="3489">
        <v>47118</v>
      </c>
      <c r="G4" s="3479"/>
    </row>
    <row r="5" customHeight="1" spans="1:7">
      <c r="A5" s="3484" t="s">
        <v>192</v>
      </c>
      <c r="B5" s="3484">
        <f ca="1">IF(C5&lt;B2,"已过期",1119970111)</f>
        <v>1119970111</v>
      </c>
      <c r="C5" s="3487">
        <v>44876</v>
      </c>
      <c r="D5" s="3488" t="s">
        <v>192</v>
      </c>
      <c r="E5" s="3484">
        <f ca="1">IF(F5&lt;B2,"已过期",94010078)</f>
        <v>94010078</v>
      </c>
      <c r="F5" s="3489">
        <v>46387</v>
      </c>
      <c r="G5" s="3479"/>
    </row>
    <row r="6" customHeight="1" spans="1:7">
      <c r="A6" s="3484" t="s">
        <v>193</v>
      </c>
      <c r="B6" s="3484" t="str">
        <f ca="1">IF(C6&lt;B2,"已过期",1120050019)</f>
        <v>已过期</v>
      </c>
      <c r="C6" s="3487">
        <v>44395</v>
      </c>
      <c r="D6" s="3488" t="s">
        <v>193</v>
      </c>
      <c r="E6" s="3484">
        <f ca="1">IF(F6&lt;B2,"已过期",2002110030)</f>
        <v>2002110030</v>
      </c>
      <c r="F6" s="3489">
        <v>46387</v>
      </c>
      <c r="G6" s="3479"/>
    </row>
    <row r="7" customHeight="1" spans="1:7">
      <c r="A7" s="3484" t="s">
        <v>194</v>
      </c>
      <c r="B7" s="3484">
        <f ca="1">IF(C7&lt;B2,"已过期",1120000080)</f>
        <v>1120000080</v>
      </c>
      <c r="C7" s="3487">
        <v>44876</v>
      </c>
      <c r="D7" s="3488" t="s">
        <v>194</v>
      </c>
      <c r="E7" s="3484">
        <f ca="1">IF(F7&lt;B2,"已过期",2000110082)</f>
        <v>2000110082</v>
      </c>
      <c r="F7" s="3489">
        <v>46387</v>
      </c>
      <c r="G7" s="3479"/>
    </row>
    <row r="8" customHeight="1" spans="1:7">
      <c r="A8" s="3484" t="s">
        <v>195</v>
      </c>
      <c r="B8" s="3484">
        <f ca="1">IF(C8&lt;B2,"已过期",1419970001)</f>
        <v>1419970001</v>
      </c>
      <c r="C8" s="3487">
        <v>44899</v>
      </c>
      <c r="D8" s="3488" t="s">
        <v>195</v>
      </c>
      <c r="E8" s="3484">
        <f ca="1">IF(F8&lt;B2,"已过期",2002110125)</f>
        <v>2002110125</v>
      </c>
      <c r="F8" s="3489">
        <v>47118</v>
      </c>
      <c r="G8" s="3479"/>
    </row>
    <row r="9" customHeight="1" spans="1:7">
      <c r="A9" s="3484" t="s">
        <v>196</v>
      </c>
      <c r="B9" s="3484">
        <f ca="1">IF(C9&lt;B2,"已过期",1120060040)</f>
        <v>1120060040</v>
      </c>
      <c r="C9" s="3487">
        <v>44554</v>
      </c>
      <c r="D9" s="3488" t="s">
        <v>196</v>
      </c>
      <c r="E9" s="3484">
        <f ca="1">IF(F9&lt;B2,"已过期",2004110096)</f>
        <v>2004110096</v>
      </c>
      <c r="F9" s="3489">
        <v>47118</v>
      </c>
      <c r="G9" s="3479"/>
    </row>
    <row r="10" customHeight="1" spans="1:7">
      <c r="A10" s="3484" t="s">
        <v>197</v>
      </c>
      <c r="B10" s="3484">
        <f ca="1">IF(C10&lt;B2,"已过期",1120100036)</f>
        <v>1120100036</v>
      </c>
      <c r="C10" s="3487">
        <v>44675</v>
      </c>
      <c r="D10" s="3488" t="s">
        <v>197</v>
      </c>
      <c r="E10" s="3484">
        <f ca="1">IF(F10&lt;B2,"已过期",2010110070)</f>
        <v>2010110070</v>
      </c>
      <c r="F10" s="3489">
        <v>47907</v>
      </c>
      <c r="G10" s="3479"/>
    </row>
    <row r="11" customHeight="1" spans="1:7">
      <c r="A11" s="3484" t="s">
        <v>198</v>
      </c>
      <c r="B11" s="3484">
        <f ca="1">IF(C11&lt;B2,"已过期",1120070131)</f>
        <v>1120070131</v>
      </c>
      <c r="C11" s="3487">
        <v>44849</v>
      </c>
      <c r="D11" s="3488" t="s">
        <v>198</v>
      </c>
      <c r="E11" s="3484">
        <f ca="1">IF(F11&lt;B2,"已过期",2014110011)</f>
        <v>2014110011</v>
      </c>
      <c r="F11" s="3489">
        <v>49302</v>
      </c>
      <c r="G11" s="3479"/>
    </row>
    <row r="12" customHeight="1" spans="1:7">
      <c r="A12" s="3484" t="s">
        <v>199</v>
      </c>
      <c r="B12" s="3484">
        <f ca="1">IF(C12&lt;B2,"已过期",1120040230)</f>
        <v>1120040230</v>
      </c>
      <c r="C12" s="3487">
        <v>44864</v>
      </c>
      <c r="D12" s="3488" t="s">
        <v>199</v>
      </c>
      <c r="E12" s="3484">
        <f ca="1">IF(F12&lt;B2,"已过期",98030020)</f>
        <v>98030020</v>
      </c>
      <c r="F12" s="3489">
        <v>47118</v>
      </c>
      <c r="G12" s="3479"/>
    </row>
    <row r="13" customHeight="1" spans="1:7">
      <c r="A13" s="3484"/>
      <c r="B13" s="3484"/>
      <c r="C13" s="3487"/>
      <c r="D13" s="3488" t="s">
        <v>200</v>
      </c>
      <c r="E13" s="3484">
        <f ca="1">IF(F13&lt;B2,"已过期",2011110090)</f>
        <v>2011110090</v>
      </c>
      <c r="F13" s="3489">
        <v>48302</v>
      </c>
      <c r="G13" s="3479"/>
    </row>
    <row r="14" customHeight="1" spans="1:7">
      <c r="A14" s="3484" t="s">
        <v>201</v>
      </c>
      <c r="B14" s="3484" t="str">
        <f ca="1">IF(C14&lt;B2,"已过期",1120020033)</f>
        <v>已过期</v>
      </c>
      <c r="C14" s="3487">
        <v>44339</v>
      </c>
      <c r="D14" s="3488" t="s">
        <v>201</v>
      </c>
      <c r="E14" s="3484">
        <f ca="1">IF(F14&lt;B2,"已过期",2000110137)</f>
        <v>2000110137</v>
      </c>
      <c r="F14" s="3489">
        <v>46387</v>
      </c>
      <c r="G14" s="3479"/>
    </row>
    <row r="15" customHeight="1" spans="1:7">
      <c r="A15" s="3484" t="s">
        <v>202</v>
      </c>
      <c r="B15" s="3484" t="str">
        <f ca="1">IF(C14&lt;B2,"已过期",1119980106)</f>
        <v>已过期</v>
      </c>
      <c r="C15" s="3487">
        <v>44969</v>
      </c>
      <c r="D15" s="3488"/>
      <c r="E15" s="3484"/>
      <c r="F15" s="3484"/>
      <c r="G15" s="3479"/>
    </row>
    <row r="16" s="3476" customFormat="1" customHeight="1" spans="1:7">
      <c r="A16" s="3490" t="s">
        <v>138</v>
      </c>
      <c r="B16" s="3490" t="s">
        <v>138</v>
      </c>
      <c r="C16" s="3487"/>
      <c r="D16" s="3491" t="s">
        <v>138</v>
      </c>
      <c r="E16" s="3484" t="s">
        <v>138</v>
      </c>
      <c r="F16" s="3489"/>
      <c r="G16" s="3492"/>
    </row>
    <row r="17" customHeight="1" spans="1:7">
      <c r="A17" s="3493" t="s">
        <v>203</v>
      </c>
      <c r="B17" s="3494"/>
      <c r="C17" s="3494"/>
      <c r="D17" s="3494"/>
      <c r="E17" s="3494"/>
      <c r="F17" s="3494"/>
      <c r="G17" s="3492"/>
    </row>
    <row r="18" customHeight="1" spans="1:7">
      <c r="A18" s="3495" t="s">
        <v>204</v>
      </c>
      <c r="B18" s="3495"/>
      <c r="C18" s="3496"/>
      <c r="D18" s="3497" t="s">
        <v>205</v>
      </c>
      <c r="E18" s="3495"/>
      <c r="F18" s="3495"/>
      <c r="G18" s="3492"/>
    </row>
    <row r="19" s="3477" customFormat="1" customHeight="1" spans="1:7">
      <c r="A19" s="3498" t="s">
        <v>206</v>
      </c>
      <c r="B19" s="3495" t="s">
        <v>207</v>
      </c>
      <c r="C19" s="3496" t="s">
        <v>188</v>
      </c>
      <c r="D19" s="3488" t="s">
        <v>206</v>
      </c>
      <c r="E19" s="3495" t="s">
        <v>207</v>
      </c>
      <c r="F19" s="3495" t="s">
        <v>188</v>
      </c>
      <c r="G19" s="3480"/>
    </row>
    <row r="20" s="3477" customFormat="1" customHeight="1" spans="1:7">
      <c r="A20" s="3499" t="s">
        <v>208</v>
      </c>
      <c r="B20" s="3499" t="s">
        <v>209</v>
      </c>
      <c r="C20" s="3500">
        <v>44820</v>
      </c>
      <c r="D20" s="3501" t="s">
        <v>210</v>
      </c>
      <c r="E20" s="3499" t="s">
        <v>211</v>
      </c>
      <c r="F20" s="3502">
        <v>44377</v>
      </c>
      <c r="G20" s="3480"/>
    </row>
    <row r="21" s="3477" customFormat="1" customHeight="1" spans="1:7">
      <c r="A21" s="3499"/>
      <c r="B21" s="3499"/>
      <c r="C21" s="3503"/>
      <c r="D21" s="3501" t="s">
        <v>212</v>
      </c>
      <c r="E21" s="3499" t="s">
        <v>213</v>
      </c>
      <c r="F21" s="3502">
        <v>44012</v>
      </c>
      <c r="G21" s="3480"/>
    </row>
    <row r="22" customHeight="1" spans="1:7">
      <c r="A22" s="3479"/>
      <c r="B22" s="3479"/>
      <c r="C22" s="3504"/>
      <c r="D22" s="3505"/>
      <c r="E22" s="3506"/>
      <c r="F22" s="3507" t="s">
        <v>214</v>
      </c>
      <c r="G22" s="3479"/>
    </row>
  </sheetData>
  <sheetProtection password="CEE9" sheet="1" objects="1" scenarios="1"/>
  <mergeCells count="3">
    <mergeCell ref="A17:F17"/>
    <mergeCell ref="A18:C18"/>
    <mergeCell ref="D18:F18"/>
  </mergeCells>
  <conditionalFormatting sqref="C4">
    <cfRule type="expression" dxfId="0" priority="1">
      <formula>AND($C4-TODAY()&lt;30,TODAY()&lt;$C4)</formula>
    </cfRule>
    <cfRule type="cellIs" dxfId="1" priority="2" stopIfTrue="1" operator="lessThan">
      <formula>$B$2</formula>
    </cfRule>
  </conditionalFormatting>
  <conditionalFormatting sqref="C6">
    <cfRule type="expression" dxfId="0" priority="82">
      <formula>AND($C6-TODAY()&lt;30,TODAY()&lt;$C6)</formula>
    </cfRule>
    <cfRule type="cellIs" dxfId="1" priority="83" stopIfTrue="1" operator="lessThan">
      <formula>$B$2</formula>
    </cfRule>
  </conditionalFormatting>
  <conditionalFormatting sqref="F11">
    <cfRule type="cellIs" dxfId="1" priority="79" stopIfTrue="1" operator="lessThan">
      <formula>$B$2</formula>
    </cfRule>
  </conditionalFormatting>
  <conditionalFormatting sqref="B12">
    <cfRule type="cellIs" dxfId="2" priority="48" stopIfTrue="1" operator="equal">
      <formula>"已过期"</formula>
    </cfRule>
  </conditionalFormatting>
  <conditionalFormatting sqref="C12">
    <cfRule type="cellIs" dxfId="1" priority="54" stopIfTrue="1" operator="lessThan">
      <formula>$B$2</formula>
    </cfRule>
    <cfRule type="expression" dxfId="0" priority="51">
      <formula>AND($C12-TODAY()&lt;30,TODAY()&lt;$C12)</formula>
    </cfRule>
    <cfRule type="cellIs" dxfId="1" priority="52" stopIfTrue="1" operator="lessThan">
      <formula>$B$2</formula>
    </cfRule>
  </conditionalFormatting>
  <conditionalFormatting sqref="E12">
    <cfRule type="cellIs" dxfId="2" priority="38" stopIfTrue="1" operator="equal">
      <formula>"已过期"</formula>
    </cfRule>
  </conditionalFormatting>
  <conditionalFormatting sqref="F12">
    <cfRule type="cellIs" dxfId="1" priority="37" stopIfTrue="1" operator="lessThan">
      <formula>$B$2</formula>
    </cfRule>
  </conditionalFormatting>
  <conditionalFormatting sqref="F13">
    <cfRule type="cellIs" dxfId="1" priority="113" stopIfTrue="1" operator="lessThan">
      <formula>$B$2</formula>
    </cfRule>
  </conditionalFormatting>
  <conditionalFormatting sqref="C14">
    <cfRule type="expression" dxfId="0" priority="60">
      <formula>AND($C14-TODAY()&lt;30,TODAY()&lt;$C14)</formula>
    </cfRule>
    <cfRule type="cellIs" dxfId="1" priority="61" stopIfTrue="1" operator="lessThan">
      <formula>$B$2</formula>
    </cfRule>
  </conditionalFormatting>
  <conditionalFormatting sqref="F14">
    <cfRule type="cellIs" dxfId="1" priority="114" stopIfTrue="1" operator="lessThan">
      <formula>$B$2</formula>
    </cfRule>
  </conditionalFormatting>
  <conditionalFormatting sqref="C16:D16">
    <cfRule type="expression" dxfId="0" priority="142">
      <formula>AND($C16-TODAY()&lt;30,TODAY()&lt;$C16)</formula>
    </cfRule>
  </conditionalFormatting>
  <conditionalFormatting sqref="C20">
    <cfRule type="expression" dxfId="0" priority="148">
      <formula>AND($C20-TODAY()&lt;30,TODAY()&lt;$C20)</formula>
    </cfRule>
  </conditionalFormatting>
  <conditionalFormatting sqref="F20">
    <cfRule type="cellIs" dxfId="1" priority="108" stopIfTrue="1" operator="lessThan">
      <formula>$B$2</formula>
    </cfRule>
    <cfRule type="expression" dxfId="0" priority="152">
      <formula>AND($E20-TODAY()&lt;30,TODAY()&lt;$E20)</formula>
    </cfRule>
  </conditionalFormatting>
  <conditionalFormatting sqref="F21">
    <cfRule type="cellIs" dxfId="1" priority="13" stopIfTrue="1" operator="lessThan">
      <formula>$B$2</formula>
    </cfRule>
    <cfRule type="expression" dxfId="0" priority="14">
      <formula>AND($E21-TODAY()&lt;30,TODAY()&lt;$E21)</formula>
    </cfRule>
  </conditionalFormatting>
  <conditionalFormatting sqref="C7:C8">
    <cfRule type="expression" dxfId="0" priority="5">
      <formula>AND($C7-TODAY()&lt;30,TODAY()&lt;$C7)</formula>
    </cfRule>
    <cfRule type="cellIs" dxfId="1" priority="6" stopIfTrue="1" operator="lessThan">
      <formula>$B$2</formula>
    </cfRule>
    <cfRule type="expression" dxfId="0" priority="3">
      <formula>AND($C7-TODAY()&lt;30,TODAY()&lt;$C7)</formula>
    </cfRule>
    <cfRule type="cellIs" dxfId="1" priority="4" stopIfTrue="1" operator="lessThan">
      <formula>$B$2</formula>
    </cfRule>
  </conditionalFormatting>
  <conditionalFormatting sqref="C9:C10">
    <cfRule type="expression" dxfId="0" priority="33">
      <formula>AND($C9-TODAY()&lt;30,TODAY()&lt;$C9)</formula>
    </cfRule>
    <cfRule type="cellIs" dxfId="1" priority="34" stopIfTrue="1" operator="lessThan">
      <formula>$B$2</formula>
    </cfRule>
  </conditionalFormatting>
  <conditionalFormatting sqref="B4:B11 E4:E11 E13:E15 B13:B15">
    <cfRule type="cellIs" dxfId="2" priority="111" stopIfTrue="1" operator="equal">
      <formula>"已过期"</formula>
    </cfRule>
  </conditionalFormatting>
  <conditionalFormatting sqref="C20 F4 C5 C13">
    <cfRule type="cellIs" dxfId="1" priority="150" stopIfTrue="1" operator="lessThan">
      <formula>$B$2</formula>
    </cfRule>
  </conditionalFormatting>
  <conditionalFormatting sqref="C16:D16 C5 C12:C13">
    <cfRule type="expression" dxfId="0" priority="149">
      <formula>AND($C5-TODAY()&lt;30,TODAY()&lt;$C5)</formula>
    </cfRule>
  </conditionalFormatting>
  <conditionalFormatting sqref="F5 F7 F9">
    <cfRule type="cellIs" dxfId="1" priority="144" stopIfTrue="1" operator="lessThan">
      <formula>$B$2</formula>
    </cfRule>
  </conditionalFormatting>
  <conditionalFormatting sqref="F6 F8 F10 C16:D16">
    <cfRule type="cellIs" dxfId="1" priority="143" stopIfTrue="1" operator="lessThan">
      <formula>$B$2</formula>
    </cfRule>
  </conditionalFormatting>
  <conditionalFormatting sqref="C11 C15">
    <cfRule type="expression" dxfId="0" priority="80">
      <formula>AND($C11-TODAY()&lt;30,TODAY()&lt;$C11)</formula>
    </cfRule>
    <cfRule type="cellIs" dxfId="1" priority="81" stopIfTrue="1" operator="lessThan">
      <formula>$B$2</formula>
    </cfRule>
  </conditionalFormatting>
  <pageMargins left="0.7" right="0.7" top="0.75" bottom="0.75" header="0.3" footer="0.3"/>
  <pageSetup paperSize="9" scale="9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58"/>
  <sheetViews>
    <sheetView workbookViewId="0">
      <selection activeCell="Z24" sqref="Z24"/>
    </sheetView>
  </sheetViews>
  <sheetFormatPr defaultColWidth="9" defaultRowHeight="14.25"/>
  <cols>
    <col min="1" max="1" width="10.375" style="3450" customWidth="1"/>
    <col min="2" max="2" width="18.875" style="3451" customWidth="1"/>
    <col min="3" max="3" width="18.875" style="2417" hidden="1" customWidth="1"/>
    <col min="4" max="4" width="5.5" style="3452" hidden="1" customWidth="1"/>
    <col min="5" max="5" width="7.125" style="3452" hidden="1" customWidth="1"/>
    <col min="6" max="6" width="10.625" style="3452" hidden="1" customWidth="1"/>
    <col min="7" max="7" width="7.5" style="3452" hidden="1" customWidth="1"/>
    <col min="8" max="8" width="9" style="2417" hidden="1" customWidth="1"/>
    <col min="9" max="9" width="11.625" style="2417" hidden="1" customWidth="1"/>
    <col min="10" max="10" width="9" style="2417" hidden="1" customWidth="1"/>
    <col min="11" max="19" width="9" style="3452" hidden="1" customWidth="1"/>
    <col min="20" max="22" width="9" style="2417" hidden="1" customWidth="1"/>
    <col min="23" max="23" width="9" style="2417" customWidth="1"/>
    <col min="24" max="24" width="14.625" style="3451" customWidth="1"/>
    <col min="25" max="25" width="7.25" style="3451" customWidth="1"/>
    <col min="26" max="16384" width="9" style="3451"/>
  </cols>
  <sheetData>
    <row r="1" s="3449" customFormat="1" ht="27" spans="1:23">
      <c r="A1" s="3453" t="s">
        <v>215</v>
      </c>
      <c r="B1" s="3454" t="s">
        <v>216</v>
      </c>
      <c r="C1" s="3455" t="s">
        <v>217</v>
      </c>
      <c r="D1" s="3456" t="s">
        <v>218</v>
      </c>
      <c r="E1" s="3456" t="s">
        <v>219</v>
      </c>
      <c r="F1" s="3456" t="s">
        <v>220</v>
      </c>
      <c r="G1" s="3456" t="s">
        <v>221</v>
      </c>
      <c r="H1" s="3456" t="s">
        <v>222</v>
      </c>
      <c r="I1" s="3456" t="s">
        <v>223</v>
      </c>
      <c r="J1" s="3456" t="s">
        <v>224</v>
      </c>
      <c r="K1" s="3456" t="s">
        <v>225</v>
      </c>
      <c r="L1" s="3456" t="s">
        <v>226</v>
      </c>
      <c r="M1" s="3456" t="s">
        <v>227</v>
      </c>
      <c r="N1" s="3456" t="s">
        <v>228</v>
      </c>
      <c r="O1" s="3456" t="s">
        <v>229</v>
      </c>
      <c r="P1" s="3456" t="s">
        <v>230</v>
      </c>
      <c r="Q1" s="3472" t="s">
        <v>231</v>
      </c>
      <c r="R1" s="3473" t="s">
        <v>232</v>
      </c>
      <c r="S1" s="3456" t="s">
        <v>233</v>
      </c>
      <c r="T1" s="3474" t="s">
        <v>234</v>
      </c>
      <c r="U1" s="3456" t="s">
        <v>235</v>
      </c>
      <c r="V1" s="3456" t="s">
        <v>236</v>
      </c>
      <c r="W1" s="3475" t="s">
        <v>237</v>
      </c>
    </row>
    <row r="2" spans="1:23">
      <c r="A2" s="3457" t="s">
        <v>238</v>
      </c>
      <c r="B2" s="3457" t="s">
        <v>239</v>
      </c>
      <c r="C2" s="3458" t="s">
        <v>240</v>
      </c>
      <c r="D2" s="3452" t="s">
        <v>241</v>
      </c>
      <c r="E2" s="3452" t="s">
        <v>242</v>
      </c>
      <c r="F2" s="3452" t="s">
        <v>243</v>
      </c>
      <c r="G2" s="3452">
        <v>40</v>
      </c>
      <c r="H2" s="3452" t="s">
        <v>243</v>
      </c>
      <c r="I2" s="3452" t="s">
        <v>244</v>
      </c>
      <c r="J2" s="3452" t="s">
        <v>245</v>
      </c>
      <c r="K2" s="3452" t="s">
        <v>246</v>
      </c>
      <c r="L2" s="3452" t="s">
        <v>246</v>
      </c>
      <c r="M2" s="3452" t="s">
        <v>246</v>
      </c>
      <c r="N2" s="3452" t="s">
        <v>246</v>
      </c>
      <c r="O2" s="3452" t="s">
        <v>246</v>
      </c>
      <c r="P2" s="3471" t="s">
        <v>246</v>
      </c>
      <c r="Q2" s="3452" t="s">
        <v>246</v>
      </c>
      <c r="R2" s="3471" t="s">
        <v>247</v>
      </c>
      <c r="S2" s="3452" t="s">
        <v>246</v>
      </c>
      <c r="T2" s="3452" t="s">
        <v>248</v>
      </c>
      <c r="U2" s="3452" t="s">
        <v>246</v>
      </c>
      <c r="V2" s="3452" t="s">
        <v>249</v>
      </c>
      <c r="W2" s="3452" t="s">
        <v>250</v>
      </c>
    </row>
    <row r="3" spans="1:23">
      <c r="A3" s="3457" t="s">
        <v>251</v>
      </c>
      <c r="B3" s="3459" t="s">
        <v>252</v>
      </c>
      <c r="C3" s="3460" t="s">
        <v>253</v>
      </c>
      <c r="D3" s="3452" t="s">
        <v>254</v>
      </c>
      <c r="E3" s="3452" t="s">
        <v>138</v>
      </c>
      <c r="F3" s="3452" t="s">
        <v>255</v>
      </c>
      <c r="G3" s="3452">
        <v>50</v>
      </c>
      <c r="H3" s="3452" t="s">
        <v>255</v>
      </c>
      <c r="I3" s="3452" t="s">
        <v>256</v>
      </c>
      <c r="J3" s="3452" t="s">
        <v>257</v>
      </c>
      <c r="K3" s="3452" t="s">
        <v>258</v>
      </c>
      <c r="L3" s="3452" t="s">
        <v>258</v>
      </c>
      <c r="M3" s="3452" t="s">
        <v>258</v>
      </c>
      <c r="N3" s="3452" t="s">
        <v>258</v>
      </c>
      <c r="O3" s="3452" t="s">
        <v>258</v>
      </c>
      <c r="P3" s="3471" t="s">
        <v>258</v>
      </c>
      <c r="Q3" s="3452" t="s">
        <v>258</v>
      </c>
      <c r="R3" s="3471" t="s">
        <v>259</v>
      </c>
      <c r="S3" s="3452" t="s">
        <v>258</v>
      </c>
      <c r="T3" s="3452" t="s">
        <v>260</v>
      </c>
      <c r="U3" s="3452" t="s">
        <v>258</v>
      </c>
      <c r="V3" s="3452" t="s">
        <v>261</v>
      </c>
      <c r="W3" s="3452" t="s">
        <v>262</v>
      </c>
    </row>
    <row r="4" spans="1:23">
      <c r="A4" s="3457" t="s">
        <v>263</v>
      </c>
      <c r="B4" s="3457" t="s">
        <v>264</v>
      </c>
      <c r="C4" s="3458" t="s">
        <v>265</v>
      </c>
      <c r="D4" s="3452" t="s">
        <v>138</v>
      </c>
      <c r="E4" s="3452" t="s">
        <v>266</v>
      </c>
      <c r="F4" s="3452" t="s">
        <v>267</v>
      </c>
      <c r="G4" s="3452">
        <v>70</v>
      </c>
      <c r="H4" s="3452" t="s">
        <v>267</v>
      </c>
      <c r="I4" s="3452" t="s">
        <v>268</v>
      </c>
      <c r="K4" s="3452" t="s">
        <v>269</v>
      </c>
      <c r="L4" s="3452" t="s">
        <v>269</v>
      </c>
      <c r="M4" s="3452" t="s">
        <v>269</v>
      </c>
      <c r="N4" s="3452" t="s">
        <v>269</v>
      </c>
      <c r="O4" s="3452" t="s">
        <v>269</v>
      </c>
      <c r="P4" s="3471" t="s">
        <v>269</v>
      </c>
      <c r="Q4" s="3452" t="s">
        <v>269</v>
      </c>
      <c r="R4" s="3471" t="s">
        <v>270</v>
      </c>
      <c r="S4" s="3452" t="s">
        <v>269</v>
      </c>
      <c r="T4" s="3452" t="s">
        <v>271</v>
      </c>
      <c r="U4" s="3452" t="s">
        <v>269</v>
      </c>
      <c r="W4" s="3452" t="s">
        <v>272</v>
      </c>
    </row>
    <row r="5" spans="1:23">
      <c r="A5" s="3457" t="s">
        <v>273</v>
      </c>
      <c r="B5" s="3457" t="s">
        <v>274</v>
      </c>
      <c r="C5" s="3458" t="s">
        <v>275</v>
      </c>
      <c r="F5" s="3452" t="s">
        <v>276</v>
      </c>
      <c r="H5" s="3452" t="s">
        <v>277</v>
      </c>
      <c r="I5" s="3452" t="s">
        <v>278</v>
      </c>
      <c r="K5" s="3452" t="s">
        <v>279</v>
      </c>
      <c r="L5" s="3452" t="s">
        <v>279</v>
      </c>
      <c r="M5" s="3452" t="s">
        <v>279</v>
      </c>
      <c r="N5" s="3452" t="s">
        <v>279</v>
      </c>
      <c r="O5" s="3452" t="s">
        <v>279</v>
      </c>
      <c r="P5" s="3471" t="s">
        <v>279</v>
      </c>
      <c r="Q5" s="3452" t="s">
        <v>279</v>
      </c>
      <c r="R5" s="3471" t="s">
        <v>280</v>
      </c>
      <c r="S5" s="3452" t="s">
        <v>279</v>
      </c>
      <c r="T5" s="3452" t="s">
        <v>281</v>
      </c>
      <c r="U5" s="3452" t="s">
        <v>279</v>
      </c>
      <c r="W5" s="3452" t="s">
        <v>282</v>
      </c>
    </row>
    <row r="6" spans="1:23">
      <c r="A6" s="3457" t="s">
        <v>283</v>
      </c>
      <c r="B6" s="3461" t="s">
        <v>173</v>
      </c>
      <c r="C6" s="3462" t="s">
        <v>284</v>
      </c>
      <c r="F6" s="3452" t="s">
        <v>277</v>
      </c>
      <c r="H6" s="3452" t="s">
        <v>285</v>
      </c>
      <c r="I6" s="3452" t="s">
        <v>286</v>
      </c>
      <c r="K6" s="3452" t="s">
        <v>287</v>
      </c>
      <c r="L6" s="3452" t="s">
        <v>287</v>
      </c>
      <c r="M6" s="3452" t="s">
        <v>287</v>
      </c>
      <c r="N6" s="3452" t="s">
        <v>287</v>
      </c>
      <c r="O6" s="3452" t="s">
        <v>287</v>
      </c>
      <c r="P6" s="3471" t="s">
        <v>287</v>
      </c>
      <c r="Q6" s="3452" t="s">
        <v>287</v>
      </c>
      <c r="R6" s="3471" t="s">
        <v>288</v>
      </c>
      <c r="S6" s="3452" t="s">
        <v>287</v>
      </c>
      <c r="T6" s="3452"/>
      <c r="U6" s="3452" t="s">
        <v>287</v>
      </c>
      <c r="W6" s="3452" t="s">
        <v>289</v>
      </c>
    </row>
    <row r="7" spans="1:9">
      <c r="A7" s="3457" t="s">
        <v>290</v>
      </c>
      <c r="B7" s="3457" t="s">
        <v>291</v>
      </c>
      <c r="C7" s="3458" t="s">
        <v>292</v>
      </c>
      <c r="F7" s="3452" t="s">
        <v>293</v>
      </c>
      <c r="H7" s="3452" t="s">
        <v>276</v>
      </c>
      <c r="I7" s="3452" t="s">
        <v>294</v>
      </c>
    </row>
    <row r="8" spans="1:9">
      <c r="A8" s="3457" t="s">
        <v>295</v>
      </c>
      <c r="B8" s="3457" t="s">
        <v>296</v>
      </c>
      <c r="C8" s="3458" t="s">
        <v>297</v>
      </c>
      <c r="F8" s="3452" t="s">
        <v>298</v>
      </c>
      <c r="H8" s="3452"/>
      <c r="I8" s="3452" t="s">
        <v>299</v>
      </c>
    </row>
    <row r="9" spans="1:8">
      <c r="A9" s="3457" t="s">
        <v>300</v>
      </c>
      <c r="B9" s="3457" t="s">
        <v>301</v>
      </c>
      <c r="C9" s="3458" t="s">
        <v>302</v>
      </c>
      <c r="F9" s="3452" t="s">
        <v>285</v>
      </c>
      <c r="H9" s="3452"/>
    </row>
    <row r="10" spans="1:6">
      <c r="A10" s="3457" t="s">
        <v>303</v>
      </c>
      <c r="B10" s="3457" t="s">
        <v>304</v>
      </c>
      <c r="C10" s="3458" t="s">
        <v>305</v>
      </c>
      <c r="F10" s="3452" t="s">
        <v>138</v>
      </c>
    </row>
    <row r="11" spans="1:3">
      <c r="A11" s="3457" t="s">
        <v>306</v>
      </c>
      <c r="B11" s="3457" t="s">
        <v>307</v>
      </c>
      <c r="C11" s="3458" t="s">
        <v>308</v>
      </c>
    </row>
    <row r="12" spans="1:3">
      <c r="A12" s="3457" t="s">
        <v>309</v>
      </c>
      <c r="B12" s="3457" t="s">
        <v>310</v>
      </c>
      <c r="C12" s="3458" t="s">
        <v>311</v>
      </c>
    </row>
    <row r="13" spans="1:3">
      <c r="A13" s="3457" t="s">
        <v>312</v>
      </c>
      <c r="B13" s="3457" t="s">
        <v>313</v>
      </c>
      <c r="C13" s="3458" t="s">
        <v>314</v>
      </c>
    </row>
    <row r="14" spans="1:3">
      <c r="A14" s="3457" t="s">
        <v>315</v>
      </c>
      <c r="B14" s="3457" t="s">
        <v>316</v>
      </c>
      <c r="C14" s="3463" t="s">
        <v>138</v>
      </c>
    </row>
    <row r="15" spans="1:3">
      <c r="A15" s="3457" t="s">
        <v>317</v>
      </c>
      <c r="B15" s="3457" t="s">
        <v>318</v>
      </c>
      <c r="C15" s="3463"/>
    </row>
    <row r="16" spans="1:3">
      <c r="A16" s="3457" t="s">
        <v>319</v>
      </c>
      <c r="B16" s="3457" t="s">
        <v>320</v>
      </c>
      <c r="C16" s="3463"/>
    </row>
    <row r="17" spans="1:3">
      <c r="A17" s="3457" t="s">
        <v>321</v>
      </c>
      <c r="B17" s="3457" t="s">
        <v>322</v>
      </c>
      <c r="C17" s="3463"/>
    </row>
    <row r="18" spans="1:3">
      <c r="A18" s="3457" t="s">
        <v>323</v>
      </c>
      <c r="B18" s="3464" t="s">
        <v>324</v>
      </c>
      <c r="C18" s="3463"/>
    </row>
    <row r="19" spans="1:3">
      <c r="A19" s="3457" t="s">
        <v>325</v>
      </c>
      <c r="B19" s="3464" t="s">
        <v>326</v>
      </c>
      <c r="C19" s="3463"/>
    </row>
    <row r="20" spans="1:3">
      <c r="A20" s="3457" t="s">
        <v>277</v>
      </c>
      <c r="B20" s="3464" t="s">
        <v>171</v>
      </c>
      <c r="C20" s="3463"/>
    </row>
    <row r="21" spans="1:3">
      <c r="A21" s="3457" t="s">
        <v>327</v>
      </c>
      <c r="B21" s="3464" t="s">
        <v>328</v>
      </c>
      <c r="C21" s="3463"/>
    </row>
    <row r="22" spans="1:3">
      <c r="A22" s="3457" t="s">
        <v>329</v>
      </c>
      <c r="B22" s="3457" t="s">
        <v>330</v>
      </c>
      <c r="C22" s="3463"/>
    </row>
    <row r="23" spans="1:3">
      <c r="A23" s="3457" t="s">
        <v>331</v>
      </c>
      <c r="B23" s="3457" t="s">
        <v>332</v>
      </c>
      <c r="C23" s="3463"/>
    </row>
    <row r="24" spans="1:3">
      <c r="A24" s="3457" t="s">
        <v>138</v>
      </c>
      <c r="B24" s="3457" t="s">
        <v>333</v>
      </c>
      <c r="C24" s="3463"/>
    </row>
    <row r="25" spans="1:3">
      <c r="A25" s="3457" t="s">
        <v>334</v>
      </c>
      <c r="B25" s="3457" t="s">
        <v>333</v>
      </c>
      <c r="C25" s="3463"/>
    </row>
    <row r="26" spans="1:3">
      <c r="A26" s="3457" t="s">
        <v>335</v>
      </c>
      <c r="B26" s="3457" t="s">
        <v>333</v>
      </c>
      <c r="C26" s="3463"/>
    </row>
    <row r="27" spans="1:3">
      <c r="A27" s="3457" t="s">
        <v>333</v>
      </c>
      <c r="B27" s="3457" t="s">
        <v>333</v>
      </c>
      <c r="C27" s="3463"/>
    </row>
    <row r="28" spans="1:3">
      <c r="A28" s="3457" t="s">
        <v>333</v>
      </c>
      <c r="B28" s="3457" t="s">
        <v>333</v>
      </c>
      <c r="C28" s="3463"/>
    </row>
    <row r="29" spans="1:3">
      <c r="A29" s="3457" t="s">
        <v>333</v>
      </c>
      <c r="B29" s="3457" t="s">
        <v>333</v>
      </c>
      <c r="C29" s="3463"/>
    </row>
    <row r="30" spans="1:3">
      <c r="A30" s="3457" t="s">
        <v>333</v>
      </c>
      <c r="B30" s="3457" t="s">
        <v>333</v>
      </c>
      <c r="C30" s="3463"/>
    </row>
    <row r="31" spans="1:3">
      <c r="A31" s="3457" t="s">
        <v>333</v>
      </c>
      <c r="B31" s="3457" t="s">
        <v>333</v>
      </c>
      <c r="C31" s="3463"/>
    </row>
    <row r="32" spans="1:3">
      <c r="A32" s="3457" t="s">
        <v>333</v>
      </c>
      <c r="B32" s="3457" t="s">
        <v>333</v>
      </c>
      <c r="C32" s="3463"/>
    </row>
    <row r="33" spans="1:3">
      <c r="A33" s="3457" t="s">
        <v>333</v>
      </c>
      <c r="B33" s="3457" t="s">
        <v>333</v>
      </c>
      <c r="C33" s="3463"/>
    </row>
    <row r="34" spans="1:3">
      <c r="A34" s="3457" t="s">
        <v>333</v>
      </c>
      <c r="B34" s="3457" t="s">
        <v>333</v>
      </c>
      <c r="C34" s="3463"/>
    </row>
    <row r="35" spans="1:3">
      <c r="A35" s="3457" t="s">
        <v>333</v>
      </c>
      <c r="B35" s="3457" t="s">
        <v>333</v>
      </c>
      <c r="C35" s="3463"/>
    </row>
    <row r="36" spans="1:3">
      <c r="A36" s="3457" t="s">
        <v>333</v>
      </c>
      <c r="B36" s="3457" t="s">
        <v>333</v>
      </c>
      <c r="C36" s="3463"/>
    </row>
    <row r="37" spans="1:3">
      <c r="A37" s="3457" t="s">
        <v>333</v>
      </c>
      <c r="B37" s="3457" t="s">
        <v>333</v>
      </c>
      <c r="C37" s="3463"/>
    </row>
    <row r="38" spans="1:3">
      <c r="A38" s="3457" t="s">
        <v>333</v>
      </c>
      <c r="B38" s="3457" t="s">
        <v>333</v>
      </c>
      <c r="C38" s="3463"/>
    </row>
    <row r="39" spans="1:3">
      <c r="A39" s="3457" t="s">
        <v>333</v>
      </c>
      <c r="B39" s="3457" t="s">
        <v>333</v>
      </c>
      <c r="C39" s="3463"/>
    </row>
    <row r="40" spans="1:3">
      <c r="A40" s="3457" t="s">
        <v>333</v>
      </c>
      <c r="B40" s="3457" t="s">
        <v>333</v>
      </c>
      <c r="C40" s="3463"/>
    </row>
    <row r="41" spans="1:3">
      <c r="A41" s="3457" t="s">
        <v>333</v>
      </c>
      <c r="B41" s="3457" t="s">
        <v>333</v>
      </c>
      <c r="C41" s="3463"/>
    </row>
    <row r="42" spans="1:3">
      <c r="A42" s="3457" t="s">
        <v>333</v>
      </c>
      <c r="B42" s="3457" t="s">
        <v>333</v>
      </c>
      <c r="C42" s="3463"/>
    </row>
    <row r="43" spans="1:3">
      <c r="A43" s="3457" t="s">
        <v>333</v>
      </c>
      <c r="B43" s="3457" t="s">
        <v>333</v>
      </c>
      <c r="C43" s="3463"/>
    </row>
    <row r="44" spans="1:3">
      <c r="A44" s="3457" t="s">
        <v>333</v>
      </c>
      <c r="B44" s="3457" t="s">
        <v>333</v>
      </c>
      <c r="C44" s="3463"/>
    </row>
    <row r="45" spans="1:3">
      <c r="A45" s="3457" t="s">
        <v>333</v>
      </c>
      <c r="B45" s="3457" t="s">
        <v>333</v>
      </c>
      <c r="C45" s="3463"/>
    </row>
    <row r="46" spans="1:3">
      <c r="A46" s="3457" t="s">
        <v>333</v>
      </c>
      <c r="B46" s="3457" t="s">
        <v>333</v>
      </c>
      <c r="C46" s="3463"/>
    </row>
    <row r="47" spans="1:3">
      <c r="A47" s="3457" t="s">
        <v>333</v>
      </c>
      <c r="B47" s="3457" t="s">
        <v>333</v>
      </c>
      <c r="C47" s="3463"/>
    </row>
    <row r="48" spans="1:3">
      <c r="A48" s="3457" t="s">
        <v>333</v>
      </c>
      <c r="B48" s="3457" t="s">
        <v>333</v>
      </c>
      <c r="C48" s="3463"/>
    </row>
    <row r="49" spans="1:3">
      <c r="A49" s="3457" t="s">
        <v>333</v>
      </c>
      <c r="B49" s="3457" t="s">
        <v>333</v>
      </c>
      <c r="C49" s="3463"/>
    </row>
    <row r="50" spans="1:3">
      <c r="A50" s="3457" t="s">
        <v>333</v>
      </c>
      <c r="B50" s="3457" t="s">
        <v>333</v>
      </c>
      <c r="C50" s="3463"/>
    </row>
    <row r="51" ht="13.5" spans="1:5">
      <c r="A51" s="3465" t="s">
        <v>336</v>
      </c>
      <c r="B51" s="3466" t="str">
        <f>"委托估价方在向金融机构（"&amp;项目基本情况!B6&amp;"）办理贷款手续过程中，特委托北京康正宏基房地产评估有限公司对估价对象进行评估。本次评估为确定标的物之抵押贷款额度提供参考依据而评估"&amp;项目基本情况!B16&amp;"国有建设用地使用权抵押价格。"</f>
        <v>委托估价方在向金融机构（）办理贷款手续过程中，特委托北京康正宏基房地产评估有限公司对估价对象进行评估。本次评估为确定标的物之抵押贷款额度提供参考依据而评估出让国有建设用地使用权抵押价格。</v>
      </c>
      <c r="C51" s="3466" t="str">
        <f>项目基本情况!B7&amp;"拟使用"&amp;项目基本情况!K2&amp;"作为抵押担保物，向"&amp;项目基本情况!B6&amp;"办理贷款手续。"&amp;项目基本情况!B6&amp;"特委托北京康正宏基房地产评估有限公司对上述抵押物进行评估。本次评估为确定标的物之抵押贷款额度提供参考依据而评估"&amp;项目基本情况!B16&amp;"国有建设用地使用权抵押价格。"</f>
        <v>拟使用北京市出让国有建设用地使用权作为抵押担保物，向办理贷款手续。特委托北京康正宏基房地产评估有限公司对上述抵押物进行评估。本次评估为确定标的物之抵押贷款额度提供参考依据而评估出让国有建设用地使用权抵押价格。</v>
      </c>
      <c r="D51" s="3467" t="str">
        <f>"本次评估为委托估价方了解标的物之市场价格提供参考依据而评估"&amp;项目基本情况!B16&amp;"国有建设用地使用权市场价格。"</f>
        <v>本次评估为委托估价方了解标的物之市场价格提供参考依据而评估出让国有建设用地使用权市场价格。</v>
      </c>
      <c r="E51" s="3467"/>
    </row>
    <row r="52" ht="13.5" spans="1:5">
      <c r="A52" s="3465" t="s">
        <v>337</v>
      </c>
      <c r="B52" s="3468" t="s">
        <v>338</v>
      </c>
      <c r="C52" s="3466" t="s">
        <v>339</v>
      </c>
      <c r="D52" s="3466" t="s">
        <v>340</v>
      </c>
      <c r="E52" s="3467"/>
    </row>
    <row r="53" ht="13.5" spans="1:5">
      <c r="A53" s="3469" t="s">
        <v>341</v>
      </c>
      <c r="B53" s="3466" t="s">
        <v>342</v>
      </c>
      <c r="C53" s="3466" t="str">
        <f>IF(项目基本情况!B16="出让","本次估价的“出让国有建设用地使用权价格”是指在估价对象土地所有权为国家所有，使用权性质为出让，在公开市场条件下、于估价期日"&amp;TEXT(项目基本情况!D3,"yyyy年m月d日;;")&amp;"，在规划利用条件下、设定土地开发程度为红线外“"&amp;项目基本情况!T40&amp;"”、宗地内场地"&amp;项目基本情况!D36&amp;"，设定用途为"&amp;项目基本情况!B13&amp;"，剩余土地使用年限为"&amp;项目基本情况!D20&amp;"的出让国有建设用地使用权价格。",IF(项目基本情况!B16="划拨","本次估价的“划拨国有建设用地使用权价格”是指在估价对象土地所有权为国家所有，使用权性质为划拨，在公开市场条件下，于估价期日"&amp;TEXT(项目基本情况!D3,"yyyy年m月d日;;")&amp;"在规划利用条件下、设定土地开发程度为红线外“"&amp;项目基本情况!T40&amp;"”、宗地内场地"&amp;项目基本情况!D36&amp;"，设定用途为"&amp;项目基本情况!B13&amp;"的"&amp;项目基本情况!B16&amp;"国有建设用地使用权价格。","根据《土地储备管理办法》，政府储备土地设定抵押，其价值按照市场评估价格扣减应当上缴政府的土地出让收益确定。本次评估的市场价格即“出让国有建设用地使用权价格”，是指土地所有权为国家所有，国有建设用地使用权类型为出让，在设定利用条件下、设定土地开发程度为宗地红线外市政基础设施达“"&amp;项目基本情况!T40&amp;"”、宗地内场地"&amp;项目基本情况!D36&amp;"，在估价期日"&amp;TEXT(项目基本情况!D3,"yyyy年m月d日;;")&amp;"的估价对象设定用途为"&amp;项目基本情况!B13&amp;"，土地使用年限分别为法定最高出让年限"&amp;项目基本情况!D20&amp;"的出让国有建设用地使用权价格。“储备国有建设用地使用权价格”即为“出让国有建设用地使用权价格”扣减应当上缴政府的土地出让收益后的余额。"))</f>
        <v>本次估价的“出让国有建设用地使用权价格”是指在估价对象土地所有权为国家所有，使用权性质为出让，在公开市场条件下、于估价期日2021年11月19日，在规划利用条件下、设定土地开发程度为红线外“七通”、宗地内场地，设定用途为，剩余土地使用年限为的出让国有建设用地使用权价格。</v>
      </c>
      <c r="D53" s="3467"/>
      <c r="E53" s="3467"/>
    </row>
    <row r="54" ht="13.5" spans="1:5">
      <c r="A54" s="3469"/>
      <c r="B54" s="3466" t="s">
        <v>343</v>
      </c>
      <c r="C54" s="3466" t="str">
        <f>"本次估价的“抵押价格”是指估价对象在估价期日的“"&amp;项目基本情况!B16&amp;"国有建设用地使用权价格”扣减估价师于估价期日所知悉的法定优先受偿款后的余额。"</f>
        <v>本次估价的“抵押价格”是指估价对象在估价期日的“出让国有建设用地使用权价格”扣减估价师于估价期日所知悉的法定优先受偿款后的余额。</v>
      </c>
      <c r="D54" s="3467"/>
      <c r="E54" s="3467"/>
    </row>
    <row r="55" ht="13.5" spans="1:5">
      <c r="A55" s="3469"/>
      <c r="B55" s="3466" t="s">
        <v>344</v>
      </c>
      <c r="C55" s="3466" t="str">
        <f>"本次估价的“抵押担保权已注销时的抵押价格”是指估价对象在估价期日的“"&amp;项目基本情况!B16&amp;"国有建设用地使用权价格”扣减估价师于估价期日所知悉的除抵押担保权以外的其他法定优先受偿款后的余额。"</f>
        <v>本次估价的“抵押担保权已注销时的抵押价格”是指估价对象在估价期日的“出让国有建设用地使用权价格”扣减估价师于估价期日所知悉的除抵押担保权以外的其他法定优先受偿款后的余额。</v>
      </c>
      <c r="D55" s="3467"/>
      <c r="E55" s="3467"/>
    </row>
    <row r="56" ht="13.5" spans="1:5">
      <c r="A56" s="3469"/>
      <c r="B56" s="3466" t="s">
        <v>345</v>
      </c>
      <c r="C56" s="3466" t="str">
        <f>"本次估价的“抵押价格”是指估价对象在估价期日的“"&amp;项目基本情况!B16&amp;"国有建设用地使用权价格”扣减估价师于估价期日所知悉的法定优先受偿款后的余额。本次估价的“抵押担保权已注销时的抵押价格”是指估价对象在估价期日的“"&amp;项目基本情况!B16&amp;"出让国有建设用地使用权价格”扣减估价师于估价期日所知悉的除抵押担保权以外的其他法定优先受偿款后的余额。"</f>
        <v>本次估价的“抵押价格”是指估价对象在估价期日的“出让国有建设用地使用权价格”扣减估价师于估价期日所知悉的法定优先受偿款后的余额。本次估价的“抵押担保权已注销时的抵押价格”是指估价对象在估价期日的“出让出让国有建设用地使用权价格”扣减估价师于估价期日所知悉的除抵押担保权以外的其他法定优先受偿款后的余额。</v>
      </c>
      <c r="D56" s="3467"/>
      <c r="E56" s="3467"/>
    </row>
    <row r="57" ht="13.5" spans="1:5">
      <c r="A57" s="3469"/>
      <c r="B57" s="3466" t="s">
        <v>346</v>
      </c>
      <c r="C57" s="3466" t="str">
        <f>"本次估价的“抵押净值”是指估价对象“抵押价格”减去估价对象在估价期日以“土地销售收入”为基数计算的预计抵押权实现进行处置时需缴纳的各项费用、税金等相关费用后的价格。"</f>
        <v>本次估价的“抵押净值”是指估价对象“抵押价格”减去估价对象在估价期日以“土地销售收入”为基数计算的预计抵押权实现进行处置时需缴纳的各项费用、税金等相关费用后的价格。</v>
      </c>
      <c r="D57" s="3467"/>
      <c r="E57" s="3467"/>
    </row>
    <row r="58" spans="1:4">
      <c r="A58" s="3470" t="s">
        <v>347</v>
      </c>
      <c r="B58" s="3466" t="s">
        <v>348</v>
      </c>
      <c r="C58" s="2417" t="s">
        <v>349</v>
      </c>
      <c r="D58" s="2522" t="s">
        <v>350</v>
      </c>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48</vt:i4>
      </vt:variant>
    </vt:vector>
  </HeadingPairs>
  <TitlesOfParts>
    <vt:vector size="48" baseType="lpstr">
      <vt:lpstr>致函链接</vt:lpstr>
      <vt:lpstr>预评函-封皮</vt:lpstr>
      <vt:lpstr>预评函-1</vt:lpstr>
      <vt:lpstr>预评函-1 (储备)</vt:lpstr>
      <vt:lpstr>预评函-2</vt:lpstr>
      <vt:lpstr>预评函-3</vt:lpstr>
      <vt:lpstr>使用说明</vt:lpstr>
      <vt:lpstr>估价师及机构信息</vt:lpstr>
      <vt:lpstr>定义</vt:lpstr>
      <vt:lpstr>项目基本情况</vt:lpstr>
      <vt:lpstr>面积表</vt:lpstr>
      <vt:lpstr>数据-基础表</vt:lpstr>
      <vt:lpstr>抵押物清单（分楼）</vt:lpstr>
      <vt:lpstr>数据-汇总表</vt:lpstr>
      <vt:lpstr>数据-取费表</vt:lpstr>
      <vt:lpstr>估价对象房地状况</vt:lpstr>
      <vt:lpstr>招拍挂</vt:lpstr>
      <vt:lpstr>Sheet1</vt:lpstr>
      <vt:lpstr>结果汇总表</vt:lpstr>
      <vt:lpstr>基准地价出结果用</vt:lpstr>
      <vt:lpstr>基准地价级别低限</vt:lpstr>
      <vt:lpstr>系统读取表</vt:lpstr>
      <vt:lpstr>结果表</vt:lpstr>
      <vt:lpstr>剩余法-待开发</vt:lpstr>
      <vt:lpstr>剩余法-现房</vt:lpstr>
      <vt:lpstr>比较法-住宅、综合</vt:lpstr>
      <vt:lpstr>比较法-工业</vt:lpstr>
      <vt:lpstr>不动产收益法--办公</vt:lpstr>
      <vt:lpstr>不动产收益法--车库</vt:lpstr>
      <vt:lpstr>不动产比较法-办公</vt:lpstr>
      <vt:lpstr>Sheet2</vt:lpstr>
      <vt:lpstr>基准地价</vt:lpstr>
      <vt:lpstr>修正</vt:lpstr>
      <vt:lpstr>区片价</vt:lpstr>
      <vt:lpstr>容积率修正</vt:lpstr>
      <vt:lpstr>因素修正幅度</vt:lpstr>
      <vt:lpstr>地价</vt:lpstr>
      <vt:lpstr>基准地价（汇总）</vt:lpstr>
      <vt:lpstr>收益还原法</vt:lpstr>
      <vt:lpstr>酒店收入计算</vt:lpstr>
      <vt:lpstr>成本逼近法</vt:lpstr>
      <vt:lpstr>不动产比较法-住宅</vt:lpstr>
      <vt:lpstr>不动产比较法-商业</vt:lpstr>
      <vt:lpstr>不动产比较法-工业</vt:lpstr>
      <vt:lpstr>不动产比较法-车位</vt:lpstr>
      <vt:lpstr>不动产比较法-仓储</vt:lpstr>
      <vt:lpstr>典型户型修正</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2017-03-09T08:11:00Z</cp:lastPrinted>
  <dcterms:modified xsi:type="dcterms:W3CDTF">2021-12-06T05:54:02Z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119FFD9D0B7B4947A14E0D46E1236344</vt:lpwstr>
  </property>
</Properties>
</file>