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工业" sheetId="37"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V19" i="1" l="1"/>
  <c r="V18" i="1"/>
  <c r="T18" i="1"/>
  <c r="U18" i="1"/>
  <c r="E28" i="9" l="1"/>
  <c r="E7" i="80"/>
  <c r="E6" i="80"/>
  <c r="E5" i="80"/>
  <c r="J49" i="67"/>
  <c r="G44" i="43"/>
  <c r="N6" i="1"/>
  <c r="N20" i="1"/>
  <c r="O19" i="1"/>
  <c r="N17" i="1"/>
  <c r="C19" i="6"/>
  <c r="G23" i="4"/>
  <c r="G22" i="4"/>
  <c r="E92" i="37" l="1"/>
  <c r="F92" i="37"/>
  <c r="D92" i="37"/>
  <c r="D41" i="43"/>
  <c r="F19" i="6" l="1"/>
  <c r="D33" i="43" s="1"/>
  <c r="J52" i="15" l="1"/>
  <c r="J49" i="15"/>
  <c r="N18"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E83" i="21"/>
  <c r="F83" i="21" s="1"/>
  <c r="H1" i="69"/>
  <c r="AC25" i="40"/>
  <c r="W25" i="40"/>
  <c r="U25" i="40"/>
  <c r="U29" i="39"/>
  <c r="W29" i="39"/>
  <c r="W18" i="36"/>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M47" i="9"/>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73"/>
  <c r="F3" i="73"/>
  <c r="F7" i="73"/>
  <c r="F4" i="73"/>
  <c r="F5" i="73"/>
  <c r="E2" i="68"/>
  <c r="E13" i="76"/>
  <c r="B8" i="76"/>
  <c r="B12" i="76"/>
  <c r="D6" i="73"/>
  <c r="E2" i="69"/>
  <c r="F20" i="31"/>
  <c r="E7" i="76"/>
  <c r="B11" i="76"/>
  <c r="E11" i="76"/>
  <c r="B10" i="76"/>
  <c r="B13" i="76"/>
  <c r="B9" i="76"/>
  <c r="E9" i="76"/>
  <c r="E8" i="76"/>
  <c r="E12" i="76"/>
  <c r="E10" i="76"/>
  <c r="B7" i="76"/>
  <c r="AO13" i="1"/>
  <c r="C18" i="9" l="1"/>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C7" i="21"/>
  <c r="C58" i="21" s="1"/>
  <c r="D58" i="21" s="1"/>
  <c r="C42" i="1"/>
  <c r="C24" i="12" s="1"/>
  <c r="C7" i="36"/>
  <c r="C46" i="36" s="1"/>
  <c r="D46" i="36" s="1"/>
  <c r="E46" i="36" s="1"/>
  <c r="F46" i="36" s="1"/>
  <c r="G46" i="36" s="1"/>
  <c r="H46" i="36" s="1"/>
  <c r="I46" i="36" s="1"/>
  <c r="G23" i="43"/>
  <c r="C23" i="43" s="1"/>
  <c r="C7" i="33"/>
  <c r="F29" i="6"/>
  <c r="B41" i="1"/>
  <c r="F28" i="15" s="1"/>
  <c r="C28" i="15" s="1"/>
  <c r="D93" i="9"/>
  <c r="F31" i="12"/>
  <c r="C31" i="12" s="1"/>
  <c r="M18" i="15"/>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F38" i="67"/>
  <c r="M26" i="67"/>
  <c r="F43" i="15"/>
  <c r="D7" i="73"/>
  <c r="F40" i="15"/>
  <c r="J15" i="67"/>
  <c r="J15" i="15"/>
  <c r="L47" i="15"/>
  <c r="M26" i="15"/>
  <c r="M22" i="67"/>
  <c r="M22" i="15"/>
  <c r="L48" i="67"/>
  <c r="C76" i="15"/>
  <c r="F42" i="15"/>
  <c r="F13" i="67"/>
  <c r="L48" i="15"/>
  <c r="M23" i="67"/>
  <c r="F6" i="15"/>
  <c r="M24" i="67"/>
  <c r="M28" i="67"/>
  <c r="F26" i="67"/>
  <c r="M29" i="67"/>
  <c r="C76" i="67"/>
  <c r="F16" i="67"/>
  <c r="D5" i="73"/>
  <c r="M8" i="67"/>
  <c r="M8" i="15"/>
  <c r="F37" i="67"/>
  <c r="F7" i="67"/>
  <c r="F16" i="15"/>
  <c r="F8" i="15"/>
  <c r="F26" i="15"/>
  <c r="D3" i="73"/>
  <c r="F8" i="67"/>
  <c r="F40" i="67"/>
  <c r="M29" i="15"/>
  <c r="F37" i="15"/>
  <c r="F42" i="67"/>
  <c r="F9" i="15"/>
  <c r="M24" i="15"/>
  <c r="F36" i="15"/>
  <c r="M28" i="15"/>
  <c r="F13" i="15"/>
  <c r="F38" i="15"/>
  <c r="M6" i="15"/>
  <c r="M9" i="15"/>
  <c r="M23" i="15"/>
  <c r="M9" i="67"/>
  <c r="L47" i="67"/>
  <c r="F6" i="67"/>
  <c r="D4" i="73"/>
  <c r="F9" i="67"/>
  <c r="F36" i="67"/>
  <c r="F7" i="15"/>
  <c r="M6" i="67"/>
  <c r="F43" i="67"/>
  <c r="F65" i="67" l="1"/>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M59" i="15"/>
  <c r="J57" i="15"/>
  <c r="J55" i="15" s="1"/>
  <c r="J58" i="15" s="1"/>
  <c r="Q50" i="15" s="1"/>
  <c r="H16" i="1"/>
  <c r="E13" i="6"/>
  <c r="E12" i="6"/>
  <c r="E57" i="40" s="1"/>
  <c r="F50" i="15"/>
  <c r="C49" i="15" s="1"/>
  <c r="M7" i="15"/>
  <c r="J6" i="15" s="1"/>
  <c r="J18" i="15" s="1"/>
  <c r="C6" i="15"/>
  <c r="C32" i="15" s="1"/>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J18" i="67" s="1"/>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F1" i="67"/>
  <c r="AE11" i="1"/>
  <c r="AE9" i="1"/>
  <c r="F27" i="68"/>
  <c r="AE7" i="1"/>
  <c r="AE8" i="1"/>
  <c r="AE12" i="1"/>
  <c r="AE10" i="1"/>
  <c r="G1" i="73"/>
  <c r="C16" i="15"/>
  <c r="AE6" i="1"/>
  <c r="C16" i="67"/>
  <c r="Q60" i="15" l="1"/>
  <c r="Q60" i="67"/>
  <c r="Q61" i="15"/>
  <c r="Q74" i="67"/>
  <c r="C49" i="67"/>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8" i="35"/>
  <c r="U7" i="33"/>
  <c r="AB7" i="33"/>
  <c r="T48" i="33" s="1"/>
  <c r="G48" i="33" s="1"/>
  <c r="C53" i="67"/>
  <c r="C10" i="67"/>
  <c r="C5" i="67" s="1"/>
  <c r="C38" i="67" s="1"/>
  <c r="C53" i="15"/>
  <c r="C48" i="15" s="1"/>
  <c r="C66" i="15" s="1"/>
  <c r="C10" i="15"/>
  <c r="C5" i="15" s="1"/>
  <c r="C38" i="15" s="1"/>
  <c r="M27" i="15"/>
  <c r="M27" i="67"/>
  <c r="F41" i="67"/>
  <c r="F41" i="15"/>
  <c r="C48" i="67" l="1"/>
  <c r="C66" i="67" s="1"/>
  <c r="E6" i="3"/>
  <c r="O16" i="1"/>
  <c r="F69" i="67"/>
  <c r="G47" i="37"/>
  <c r="H47" i="37" s="1"/>
  <c r="E83" i="43"/>
  <c r="B81" i="43" s="1"/>
  <c r="C28" i="43" s="1"/>
  <c r="C33" i="43" s="1"/>
  <c r="F22" i="68"/>
  <c r="F41" i="68" s="1"/>
  <c r="C17" i="4"/>
  <c r="B4" i="52" s="1"/>
  <c r="B43" i="72" s="1"/>
  <c r="M18" i="9"/>
  <c r="B118" i="9" s="1"/>
  <c r="B1" i="74"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0" i="67" l="1"/>
  <c r="C44" i="68"/>
  <c r="D41" i="68" s="1"/>
  <c r="H21" i="6"/>
  <c r="D30" i="6"/>
  <c r="H22" i="6"/>
  <c r="R22" i="6" s="1"/>
  <c r="R9" i="1" s="1"/>
  <c r="H25" i="6"/>
  <c r="R25" i="6" s="1"/>
  <c r="R12" i="1"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43" l="1"/>
  <c r="E34" i="43" s="1"/>
  <c r="C8" i="69"/>
  <c r="C5" i="69" s="1"/>
  <c r="C23" i="69" s="1"/>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18" i="12" l="1"/>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F35" i="67"/>
  <c r="F35" i="15"/>
  <c r="M21" i="15"/>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D35" i="9"/>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0" i="1"/>
  <c r="AO11" i="1"/>
  <c r="C19"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C104" i="9" s="1"/>
  <c r="D118" i="9"/>
  <c r="D119" i="9" s="1"/>
  <c r="D5" i="52" s="1"/>
  <c r="B49" i="72" s="1"/>
  <c r="I118" i="9" l="1"/>
  <c r="I4" i="52" s="1"/>
  <c r="G118" i="9"/>
  <c r="G4" i="52" s="1"/>
  <c r="B52" i="72" s="1"/>
  <c r="D4" i="52"/>
  <c r="B47" i="72" s="1"/>
  <c r="F119" i="9"/>
  <c r="F5" i="52" s="1"/>
  <c r="B53" i="72" s="1"/>
  <c r="H119" i="9"/>
  <c r="H5" i="52" s="1"/>
  <c r="H4" i="52"/>
  <c r="H101" i="9"/>
  <c r="C105" i="9" l="1"/>
  <c r="H102" i="9"/>
  <c r="E118" i="9"/>
  <c r="E4" i="52" s="1"/>
  <c r="B48" i="72" s="1"/>
  <c r="D5" i="53"/>
  <c r="D45" i="9"/>
  <c r="H107" i="9"/>
  <c r="D14" i="74" s="1"/>
  <c r="G14" i="74" s="1"/>
  <c r="B6" i="74" s="1"/>
  <c r="D6" i="74" s="1"/>
  <c r="M48" i="9"/>
  <c r="E14" i="74" l="1"/>
  <c r="F14" i="74"/>
  <c r="B5" i="74"/>
  <c r="D5" i="74" s="1"/>
  <c r="D7" i="53"/>
  <c r="B21" i="72" s="1"/>
  <c r="H108" i="9"/>
  <c r="D122" i="9"/>
  <c r="M49" i="9"/>
  <c r="D13" i="53"/>
  <c r="D6" i="53"/>
  <c r="B22" i="72" s="1"/>
  <c r="B20" i="72"/>
  <c r="D52" i="9"/>
  <c r="C64" i="9"/>
  <c r="C63" i="9" s="1"/>
  <c r="C67" i="9" s="1"/>
  <c r="D53" i="9"/>
  <c r="D48" i="9" s="1"/>
  <c r="M52" i="9" s="1"/>
  <c r="C85" i="9"/>
  <c r="C93" i="9"/>
  <c r="C86" i="9" s="1"/>
  <c r="C78" i="9"/>
  <c r="C73" i="9" s="1"/>
  <c r="C72" i="9"/>
  <c r="D55" i="9"/>
  <c r="M53" i="9" s="1"/>
  <c r="C5" i="74" l="1"/>
  <c r="C79" i="9"/>
  <c r="C80" i="9" s="1"/>
  <c r="E80" i="9" s="1"/>
  <c r="E81" i="9" s="1"/>
  <c r="D59" i="9"/>
  <c r="M55" i="9" s="1"/>
  <c r="C68" i="9"/>
  <c r="D54" i="9" s="1"/>
  <c r="D14" i="53"/>
  <c r="B32" i="72" s="1"/>
  <c r="B30" i="72"/>
  <c r="L65" i="9"/>
  <c r="M65" i="9" s="1"/>
  <c r="L63" i="9"/>
  <c r="M63" i="9" s="1"/>
  <c r="L67" i="9"/>
  <c r="M67" i="9" s="1"/>
  <c r="L66" i="9"/>
  <c r="M66" i="9" s="1"/>
  <c r="L68" i="9"/>
  <c r="M68" i="9" s="1"/>
  <c r="L64" i="9"/>
  <c r="M64" i="9" s="1"/>
  <c r="C95" i="9"/>
  <c r="D123" i="9"/>
  <c r="D9" i="52" s="1"/>
  <c r="D8" i="52"/>
  <c r="C6" i="74"/>
  <c r="D15" i="53"/>
  <c r="B31" i="72" s="1"/>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<sst xmlns="http://schemas.openxmlformats.org/spreadsheetml/2006/main" count="7910" uniqueCount="3458">
  <si>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</si>
  <si>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</si>
  <si>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</si>
  <si>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</si>
  <si>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</si>
  <si>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</si>
  <si>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</si>
  <si>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</si>
  <si>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</si>
  <si>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</si>
  <si>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</si>
  <si>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</si>
  <si>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</si>
  <si>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</si>
  <si>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</si>
  <si>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</si>
  <si>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</si>
  <si>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</si>
  <si>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</si>
  <si>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</si>
  <si>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</si>
  <si>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</si>
  <si>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</si>
  <si>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</si>
  <si>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</si>
  <si>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</si>
  <si>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</si>
  <si>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</si>
  <si>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</si>
  <si>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</si>
  <si>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</si>
  <si>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</si>
  <si>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</si>
  <si>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</si>
  <si>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</si>
  <si>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</si>
  <si>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</si>
  <si>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</si>
  <si>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</si>
  <si>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</si>
  <si>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</si>
  <si>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</si>
  <si>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</si>
  <si>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</si>
  <si>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</si>
  <si>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</si>
  <si>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</si>
  <si>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</si>
  <si>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</si>
  <si>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</si>
  <si>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</si>
  <si>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</si>
  <si>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</si>
  <si>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</si>
  <si>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</si>
  <si>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</si>
  <si>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</si>
  <si>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</si>
  <si>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</si>
  <si>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</si>
  <si>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</si>
  <si>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</si>
  <si>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</si>
  <si>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</si>
  <si>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</si>
  <si>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</si>
  <si>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</si>
  <si>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</si>
  <si>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</si>
  <si>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</si>
  <si>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</si>
  <si>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</si>
  <si>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</si>
  <si>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</si>
  <si>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</si>
  <si>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</si>
  <si>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</si>
  <si>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</si>
  <si>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</si>
  <si>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</si>
  <si>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</si>
  <si>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</si>
  <si>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</si>
  <si>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</si>
  <si>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</si>
  <si>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</si>
  <si>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</si>
  <si>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</si>
  <si>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</si>
  <si>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</si>
  <si>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</si>
  <si>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</si>
  <si>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</si>
  <si>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</si>
  <si>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</si>
  <si>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</si>
  <si>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</si>
  <si>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</si>
  <si>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</si>
  <si>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</si>
  <si>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</si>
  <si>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</si>
  <si>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</si>
  <si>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</si>
  <si>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</si>
  <si>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</si>
  <si>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</si>
  <si>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</si>
  <si>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</si>
  <si>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</si>
  <si>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</si>
  <si>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</si>
  <si>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</si>
  <si>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</si>
  <si>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</si>
  <si>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</si>
  <si>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</si>
  <si>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</si>
  <si>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</si>
  <si>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</si>
  <si>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</si>
  <si>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</si>
  <si>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</si>
  <si>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</si>
  <si>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</si>
  <si>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</si>
  <si>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</si>
  <si>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</si>
  <si>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</si>
  <si>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</si>
  <si>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</si>
  <si>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</si>
  <si>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</si>
  <si>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</si>
  <si>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</si>
  <si>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</si>
  <si>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</si>
  <si>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</si>
  <si>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</si>
  <si>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</si>
  <si>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</si>
  <si>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</si>
  <si>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</si>
  <si>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</si>
  <si>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</si>
  <si>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</si>
  <si>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</si>
  <si>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</si>
  <si>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</si>
  <si>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</si>
  <si>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</si>
  <si>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</si>
  <si>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</si>
  <si>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</si>
  <si>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</si>
  <si>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</si>
  <si>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</si>
  <si>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</si>
  <si>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</si>
  <si>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</si>
  <si>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</si>
  <si>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</si>
  <si>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</si>
  <si>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</si>
  <si>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</si>
  <si>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</si>
  <si>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</si>
  <si>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</si>
  <si>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</si>
  <si>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</si>
  <si>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</si>
  <si>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</si>
  <si>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</si>
  <si>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</si>
  <si>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</si>
  <si>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</si>
  <si>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</si>
  <si>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</si>
  <si>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</si>
  <si>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</si>
  <si>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</si>
  <si>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</si>
  <si>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</si>
  <si>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</si>
  <si>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</si>
  <si>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</si>
  <si>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</si>
  <si>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</si>
  <si>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</si>
  <si>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</si>
  <si>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</si>
  <si>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</si>
  <si>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</si>
  <si>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</si>
  <si>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</si>
  <si>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</si>
  <si>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</si>
  <si>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</si>
  <si>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</si>
  <si>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</si>
  <si>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</si>
  <si>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</si>
  <si>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</si>
  <si>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</si>
  <si>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</si>
  <si>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</si>
  <si>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</si>
  <si>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</si>
  <si>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</si>
  <si>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</si>
  <si>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</si>
  <si>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</si>
  <si>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</si>
  <si>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</si>
  <si>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</si>
  <si>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</si>
  <si>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</si>
  <si>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</si>
  <si>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</si>
  <si>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</si>
  <si>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</si>
  <si>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</si>
  <si>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</si>
  <si>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</si>
  <si>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</si>
  <si>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</si>
  <si>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</si>
  <si>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</si>
  <si>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</si>
  <si>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</si>
  <si>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</si>
  <si>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</si>
  <si>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</si>
  <si>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</si>
  <si>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</si>
  <si>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</si>
  <si>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</si>
  <si>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</si>
  <si>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</si>
  <si>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</si>
  <si>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</si>
  <si>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</si>
  <si>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</si>
  <si>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</si>
  <si>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</si>
  <si>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</si>
  <si>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</si>
  <si>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</si>
  <si>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</si>
  <si>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</si>
  <si>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</si>
  <si>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</si>
  <si>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</si>
  <si>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</si>
  <si>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</si>
  <si>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</si>
  <si>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</si>
  <si>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</si>
  <si>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</si>
  <si>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</si>
  <si>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</si>
  <si>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</si>
  <si>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</si>
  <si>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</si>
  <si>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</si>
  <si>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</si>
  <si>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</si>
  <si>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</si>
  <si>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</si>
  <si>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</si>
  <si>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</si>
  <si>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</si>
  <si>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</si>
  <si>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</si>
  <si>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</si>
  <si>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</si>
  <si>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</si>
  <si>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</si>
  <si>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</si>
  <si>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</si>
  <si>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</si>
  <si>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</si>
  <si>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</si>
  <si>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</si>
  <si>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</si>
  <si>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</si>
  <si>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</si>
  <si>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</si>
  <si>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</si>
  <si>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</si>
  <si>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</si>
  <si>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</si>
  <si>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</si>
  <si>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</si>
  <si>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</si>
  <si>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</si>
  <si>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</si>
  <si>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</si>
  <si>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</si>
  <si>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</si>
  <si>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</si>
  <si>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</si>
  <si>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</si>
  <si>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</si>
  <si>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</si>
  <si>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</si>
  <si>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</si>
  <si>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</si>
  <si>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</si>
  <si>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</si>
  <si>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</si>
  <si>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</si>
  <si>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</si>
  <si>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</si>
  <si>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</si>
  <si>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</si>
  <si>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</si>
  <si>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</si>
  <si>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</si>
  <si>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</si>
  <si>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</si>
  <si>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</si>
  <si>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</si>
  <si>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</si>
  <si>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</si>
  <si>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</si>
  <si>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</si>
  <si>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</si>
  <si>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</si>
  <si>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</si>
  <si>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</si>
  <si>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</si>
  <si>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</si>
  <si>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</si>
  <si>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</si>
  <si>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</si>
  <si>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</si>
  <si>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</si>
  <si>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</si>
  <si>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</si>
  <si>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</si>
  <si>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</si>
  <si>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</si>
  <si>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</si>
  <si>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</si>
  <si>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</si>
  <si>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</si>
  <si>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</si>
  <si>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</si>
  <si>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</si>
  <si>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</si>
  <si>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</si>
  <si>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</si>
  <si>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</si>
  <si>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</si>
  <si>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</si>
  <si>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</si>
  <si>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</si>
  <si>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</si>
  <si>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</si>
  <si>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</si>
  <si>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</si>
  <si>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</si>
  <si>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</si>
  <si>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</si>
  <si>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</si>
  <si>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</si>
  <si>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</si>
  <si>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</si>
  <si>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</si>
  <si>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</si>
  <si>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</si>
  <si>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</si>
  <si>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</si>
  <si>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</si>
  <si>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</si>
  <si>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</si>
  <si>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</si>
  <si>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</si>
  <si>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</si>
  <si>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</si>
  <si>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</si>
  <si>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</si>
  <si>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</si>
  <si>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</si>
  <si>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</si>
  <si>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</si>
  <si>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</si>
  <si>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</si>
  <si>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</si>
  <si>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</si>
  <si>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</si>
  <si>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</si>
  <si>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</si>
  <si>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</si>
  <si>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</si>
  <si>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</si>
  <si>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</si>
  <si>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</si>
  <si>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</si>
  <si>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</si>
  <si>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</si>
  <si>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</si>
  <si>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</si>
  <si>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</si>
  <si>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</si>
  <si>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</si>
  <si>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</si>
  <si>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</si>
  <si>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</si>
  <si>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</si>
  <si>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</si>
  <si>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</si>
  <si>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</si>
  <si>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</si>
  <si>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</si>
  <si>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</si>
  <si>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</si>
  <si>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</si>
  <si>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</si>
  <si>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</si>
  <si>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</si>
  <si>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</si>
  <si>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</si>
  <si>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</si>
  <si>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</si>
  <si>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</si>
  <si>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</si>
  <si>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</si>
  <si>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</si>
  <si>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</si>
  <si>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</si>
  <si>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</si>
  <si>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</si>
  <si>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</si>
  <si>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</si>
  <si>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</si>
  <si>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</si>
  <si>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</si>
  <si>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</si>
  <si>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</si>
  <si>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</si>
  <si>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</si>
  <si>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</si>
  <si>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</si>
  <si>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</si>
  <si>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</si>
  <si>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</si>
  <si>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</si>
  <si>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</si>
  <si>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</si>
  <si>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</si>
  <si>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</si>
  <si>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</si>
  <si>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</si>
  <si>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</si>
  <si>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</si>
  <si>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</si>
  <si>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</si>
  <si>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</si>
  <si>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</si>
  <si>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</si>
  <si>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</si>
  <si>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</si>
  <si>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</si>
  <si>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</si>
  <si>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</si>
  <si>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</si>
  <si>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</si>
  <si>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</si>
  <si>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</si>
  <si>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</si>
  <si>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</si>
  <si>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</si>
  <si>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</si>
  <si>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</si>
  <si>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</si>
  <si>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</si>
  <si>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</si>
  <si>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</si>
  <si>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</si>
  <si>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</si>
  <si>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</si>
  <si>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</si>
  <si>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</si>
  <si>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</si>
  <si>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</si>
  <si>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</si>
  <si>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</si>
  <si>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</si>
  <si>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</si>
  <si>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</si>
  <si>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</si>
  <si>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</si>
  <si>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</si>
  <si>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</si>
  <si>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</si>
  <si>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</si>
  <si>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</si>
  <si>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</si>
  <si>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</si>
  <si>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</si>
  <si>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</si>
  <si>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</si>
  <si>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</si>
  <si>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</si>
  <si>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</si>
  <si>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</si>
  <si>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</si>
  <si>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</si>
  <si>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</si>
  <si>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</si>
  <si>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</si>
  <si>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</si>
  <si>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</si>
  <si>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</si>
  <si>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</si>
  <si>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</si>
  <si>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</si>
  <si>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</si>
  <si>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</si>
  <si>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</si>
  <si>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</si>
  <si>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</si>
  <si>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</si>
  <si>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</si>
  <si>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</si>
  <si>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</si>
  <si>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</si>
  <si>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</si>
  <si>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</si>
  <si>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</si>
  <si>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</si>
  <si>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</si>
  <si>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</si>
  <si>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</si>
  <si>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</si>
  <si>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</si>
  <si>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</si>
  <si>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</si>
  <si>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</si>
  <si>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</si>
  <si>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</si>
  <si>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</si>
  <si>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</si>
  <si>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</si>
  <si>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</si>
  <si>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</si>
  <si>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</si>
  <si>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</si>
  <si>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</si>
  <si>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</si>
  <si>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</si>
  <si>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</si>
  <si>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</si>
  <si>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</si>
  <si>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</si>
  <si>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</si>
  <si>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</si>
  <si>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</si>
  <si>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</si>
  <si>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</si>
  <si>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</si>
  <si>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</si>
  <si>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</si>
  <si>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</si>
  <si>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</si>
  <si>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</si>
  <si>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</si>
  <si>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</si>
  <si>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</si>
  <si>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</si>
  <si>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</si>
  <si>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</si>
  <si>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</si>
  <si>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</si>
  <si>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</si>
  <si>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</si>
  <si>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</si>
  <si>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</si>
  <si>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</si>
  <si>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</si>
  <si>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</si>
  <si>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</si>
  <si>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</si>
  <si>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</si>
  <si>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</si>
  <si>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</si>
  <si>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</si>
  <si>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</si>
  <si>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</si>
  <si>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</si>
  <si>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</si>
  <si>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</si>
  <si>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</si>
  <si>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</si>
  <si>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</si>
  <si>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</si>
  <si>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</si>
  <si>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</si>
  <si>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</si>
  <si>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</si>
  <si>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</si>
  <si>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</si>
  <si>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</si>
  <si>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</si>
  <si>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</si>
  <si>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</si>
  <si>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</si>
  <si>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</si>
  <si>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</si>
  <si>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</si>
  <si>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</si>
  <si>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</si>
  <si>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</si>
  <si>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</si>
  <si>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</si>
  <si>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</si>
  <si>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</si>
  <si>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</si>
  <si>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</si>
  <si>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</si>
  <si>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</si>
  <si>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</si>
  <si>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</si>
  <si>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</si>
  <si>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</si>
  <si>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</si>
  <si>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</si>
  <si>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</si>
  <si>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</si>
  <si>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</si>
  <si>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</si>
  <si>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</si>
  <si>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</si>
  <si>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</si>
  <si>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</si>
  <si>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</si>
  <si>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</si>
  <si>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</si>
  <si>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</si>
  <si>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</si>
  <si>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</si>
  <si>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</si>
  <si>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</si>
  <si>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</si>
  <si>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</si>
  <si>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</si>
  <si>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</si>
  <si>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</si>
  <si>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</si>
  <si>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</si>
  <si>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</si>
  <si>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</si>
  <si>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</si>
  <si>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</si>
  <si>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</si>
  <si>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</si>
  <si>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</si>
  <si>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</si>
  <si>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</si>
  <si>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</si>
  <si>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</si>
  <si>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</si>
  <si>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</si>
  <si>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</si>
  <si>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</si>
  <si>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</si>
  <si>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</si>
  <si>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</si>
  <si>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</si>
  <si>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</si>
  <si>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</si>
  <si>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</si>
  <si>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</si>
  <si>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</si>
  <si>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</si>
  <si>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</si>
  <si>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</si>
  <si>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</si>
  <si>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</si>
  <si>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</si>
  <si>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</si>
  <si>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</si>
  <si>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</si>
  <si>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</si>
  <si>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</si>
  <si>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</si>
  <si>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</si>
  <si>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</si>
  <si>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</si>
  <si>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</si>
  <si>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</si>
  <si>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</si>
  <si>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</si>
  <si>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</si>
  <si>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</si>
  <si>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</si>
  <si>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</si>
  <si>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</si>
  <si>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</si>
  <si>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</si>
  <si>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</si>
  <si>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</si>
  <si>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</si>
  <si>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</si>
  <si>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</si>
  <si>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</si>
  <si>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</si>
  <si>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</si>
  <si>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</si>
  <si>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</si>
  <si>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</si>
  <si>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</si>
  <si>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</si>
  <si>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</si>
  <si>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</si>
  <si>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</si>
  <si>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</si>
  <si>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</si>
  <si>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</si>
  <si>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</si>
  <si>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</si>
  <si>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</si>
  <si>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</si>
  <si>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</si>
  <si>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</si>
  <si>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</si>
  <si>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</si>
  <si>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</si>
  <si>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</si>
  <si>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</si>
  <si>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</si>
  <si>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</si>
  <si>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</si>
  <si>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</si>
  <si>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</si>
  <si>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</si>
  <si>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</si>
  <si>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</si>
  <si>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</si>
  <si>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</si>
  <si>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</si>
  <si>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</si>
  <si>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</si>
  <si>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</si>
  <si>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</si>
  <si>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</si>
  <si>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</si>
  <si>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</si>
  <si>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</si>
  <si>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</si>
  <si>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</si>
  <si>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</si>
  <si>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</si>
  <si>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</si>
  <si>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</si>
  <si>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</si>
  <si>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</si>
  <si>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</si>
  <si>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</si>
  <si>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</si>
  <si>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</si>
  <si>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</si>
  <si>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</si>
  <si>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</si>
  <si>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</si>
  <si>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</si>
  <si>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</si>
  <si>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</si>
  <si>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</si>
  <si>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</si>
  <si>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</si>
  <si>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</si>
  <si>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</si>
  <si>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</si>
  <si>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</si>
  <si>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</si>
  <si>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</si>
  <si>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</si>
  <si>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</si>
  <si>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</si>
  <si>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</si>
  <si>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</si>
  <si>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</si>
  <si>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</si>
  <si>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</si>
  <si>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</si>
  <si>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</si>
  <si>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</si>
  <si>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</si>
  <si>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</si>
  <si>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</si>
  <si>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</si>
  <si>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</si>
  <si>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</si>
  <si>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</si>
  <si>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</si>
  <si>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</si>
  <si>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</si>
  <si>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</si>
  <si>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</si>
  <si>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</si>
  <si>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</si>
  <si>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</si>
  <si>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</si>
  <si>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</si>
  <si>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</si>
  <si>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</si>
  <si>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</si>
  <si>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</si>
  <si>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</si>
  <si>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</si>
  <si>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</si>
  <si>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</si>
  <si>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</si>
  <si>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</si>
  <si>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</si>
  <si>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</si>
  <si>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</si>
  <si>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</si>
  <si>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</si>
  <si>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</si>
  <si>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</si>
  <si>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</si>
  <si>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</si>
  <si>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</si>
  <si>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</si>
  <si>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</si>
  <si>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</si>
  <si>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</si>
  <si>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</si>
  <si>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</si>
  <si>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</si>
  <si>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</si>
  <si>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</si>
  <si>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</si>
  <si>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</si>
  <si>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</si>
  <si>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</si>
  <si>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</si>
  <si>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</si>
  <si>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</si>
  <si>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</si>
  <si>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</si>
  <si>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</si>
  <si>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</si>
  <si>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</si>
  <si>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</si>
  <si>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</si>
  <si>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</si>
  <si>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</si>
  <si>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</si>
  <si>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</si>
  <si>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</si>
  <si>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</si>
  <si>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</si>
  <si>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</si>
  <si>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</si>
  <si>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</si>
  <si>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</si>
  <si>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</si>
  <si>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</si>
  <si>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</si>
  <si>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</si>
  <si>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</si>
  <si>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</si>
  <si>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</si>
  <si>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</si>
  <si>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</si>
  <si>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</si>
  <si>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</si>
  <si>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</si>
  <si>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</si>
  <si>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</si>
  <si>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</si>
  <si>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</si>
  <si>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</si>
  <si>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</si>
  <si>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</si>
  <si>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</si>
  <si>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</si>
  <si>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</si>
  <si>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</si>
  <si>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</si>
  <si>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</si>
  <si>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</si>
  <si>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</si>
  <si>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</si>
  <si>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</si>
  <si>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</si>
  <si>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</si>
  <si>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</si>
  <si>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</si>
  <si>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</si>
  <si>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</si>
  <si>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</si>
  <si>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</si>
  <si>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</si>
  <si>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</si>
  <si>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</si>
  <si>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</si>
  <si>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</si>
  <si>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</si>
  <si>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</si>
  <si>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</si>
  <si>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</si>
  <si>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</si>
  <si>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</si>
  <si>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</si>
  <si>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</si>
  <si>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</si>
  <si>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</si>
  <si>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</si>
  <si>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</si>
  <si>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</si>
  <si>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</si>
  <si>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</si>
  <si>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</si>
  <si>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</si>
  <si>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</si>
  <si>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</si>
  <si>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</si>
  <si>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</si>
  <si>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</si>
  <si>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</si>
  <si>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</si>
  <si>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</si>
  <si>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</si>
  <si>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</si>
  <si>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</si>
  <si>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</si>
  <si>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</si>
  <si>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</si>
  <si>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</si>
  <si>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</si>
  <si>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</si>
  <si>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</si>
  <si>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</si>
  <si>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</si>
  <si>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</si>
  <si>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</si>
  <si>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</si>
  <si>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</si>
  <si>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</si>
  <si>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</si>
  <si>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</si>
  <si>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</si>
  <si>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</si>
  <si>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</si>
  <si>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</si>
  <si>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</si>
  <si>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</si>
  <si>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</si>
  <si>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</si>
  <si>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</si>
  <si>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</si>
  <si>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</si>
  <si>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</si>
  <si>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</si>
  <si>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</si>
  <si>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</si>
  <si>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</si>
  <si>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</si>
  <si>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</si>
  <si>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</si>
  <si>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</si>
  <si>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</si>
  <si>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</si>
  <si>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</si>
  <si>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</si>
  <si>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</si>
  <si>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</si>
  <si>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</si>
  <si>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</si>
  <si>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</si>
  <si>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</si>
  <si>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</si>
  <si>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</si>
  <si>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</si>
  <si>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</si>
  <si>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</si>
  <si>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</si>
  <si>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</si>
  <si>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</si>
  <si>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</si>
  <si>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</si>
  <si>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</si>
  <si>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</si>
  <si>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</si>
  <si>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</si>
  <si>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</si>
  <si>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</si>
  <si>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</si>
  <si>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</si>
  <si>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</si>
  <si>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</si>
  <si>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</si>
  <si>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</si>
  <si>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</si>
  <si>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</si>
  <si>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</si>
  <si>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</si>
  <si>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</si>
  <si>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</si>
  <si>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</si>
  <si>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</si>
  <si>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</si>
  <si>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</si>
  <si>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</si>
  <si>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</si>
  <si>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</si>
  <si>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</si>
  <si>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</si>
  <si>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</si>
  <si>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</si>
  <si>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</si>
  <si>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</si>
  <si>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</si>
  <si>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</si>
  <si>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</si>
  <si>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</si>
  <si>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</si>
  <si>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</si>
  <si>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</si>
  <si>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</si>
  <si>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</si>
  <si>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</si>
  <si>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</si>
  <si>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</si>
  <si>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</si>
  <si>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</si>
  <si>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</si>
  <si>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</si>
  <si>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</si>
  <si>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</si>
  <si>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</si>
  <si>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</si>
  <si>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</si>
  <si>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</si>
  <si>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</si>
  <si>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</si>
  <si>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</si>
  <si>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</si>
  <si>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</si>
  <si>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</si>
  <si>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</si>
  <si>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</si>
  <si>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</si>
  <si>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</si>
  <si>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</si>
  <si>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</si>
  <si>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</si>
  <si>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</si>
  <si>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</si>
  <si>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</si>
  <si>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</si>
  <si>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</si>
  <si>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</si>
  <si>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</si>
  <si>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</si>
  <si>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</si>
  <si>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</si>
  <si>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</si>
  <si>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</si>
  <si>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</si>
  <si>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</si>
  <si>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</si>
  <si>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</si>
  <si>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</si>
  <si>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</si>
  <si>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</si>
  <si>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</si>
  <si>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</si>
  <si>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</si>
  <si>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</si>
  <si>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</si>
  <si>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</si>
  <si>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</si>
  <si>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</si>
  <si>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</si>
  <si>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</si>
  <si>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</si>
  <si>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</si>
  <si>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</si>
  <si>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</si>
  <si>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</si>
  <si>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</si>
  <si>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</si>
  <si>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</si>
  <si>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</si>
  <si>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</si>
  <si>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</si>
  <si>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</si>
  <si>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</si>
  <si>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</si>
  <si>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</si>
  <si>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</si>
  <si>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</si>
  <si>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</si>
  <si>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</si>
  <si>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</si>
  <si>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</si>
  <si>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</si>
  <si>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</si>
  <si>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</si>
  <si>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</si>
  <si>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</si>
  <si>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</si>
  <si>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</si>
  <si>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</si>
  <si>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</si>
  <si>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</si>
  <si>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</si>
  <si>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</si>
  <si>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</si>
  <si>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</si>
  <si>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</si>
  <si>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</si>
  <si>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</si>
  <si>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</si>
  <si>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</si>
  <si>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</si>
  <si>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</si>
  <si>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</si>
  <si>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</si>
  <si>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</si>
  <si>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</si>
  <si>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</si>
  <si>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</si>
  <si>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</si>
  <si>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</si>
  <si>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</si>
  <si>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</si>
  <si>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</si>
  <si>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</si>
  <si>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</si>
  <si>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</si>
  <si>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</si>
  <si>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</si>
  <si>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</si>
  <si>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</si>
  <si>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</si>
  <si>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</si>
  <si>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</si>
  <si>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</si>
  <si>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</si>
  <si>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</si>
  <si>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</si>
  <si>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</si>
  <si>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</si>
  <si>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</si>
  <si>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</si>
  <si>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</si>
  <si>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</si>
  <si>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</si>
  <si>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</si>
  <si>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</si>
  <si>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</si>
  <si>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</si>
  <si>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</si>
  <si>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</si>
  <si>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</si>
  <si>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</si>
  <si>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</si>
  <si>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</si>
  <si>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</si>
  <si>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</si>
  <si>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</si>
  <si>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</si>
  <si>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</si>
  <si>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</si>
  <si>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</si>
  <si>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</si>
  <si>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</si>
  <si>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</si>
  <si>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</si>
  <si>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</si>
  <si>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</si>
  <si>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</si>
  <si>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</si>
  <si>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</si>
  <si>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</si>
  <si>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</si>
  <si>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</si>
  <si>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</si>
  <si>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</si>
  <si>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</si>
  <si>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</si>
  <si>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</si>
  <si>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</si>
  <si>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</si>
  <si>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</si>
  <si>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</si>
  <si>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</si>
  <si>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</si>
  <si>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</si>
  <si>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</si>
  <si>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</si>
  <si>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</si>
  <si>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</si>
  <si>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</si>
  <si>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</si>
  <si>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</si>
  <si>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</si>
  <si>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</si>
  <si>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</si>
  <si>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</si>
  <si>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</si>
  <si>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</si>
  <si>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</si>
  <si>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</si>
  <si>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</si>
  <si>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</si>
  <si>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</si>
  <si>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</si>
  <si>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</si>
  <si>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</si>
  <si>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</si>
  <si>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</si>
  <si>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</si>
  <si>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</si>
  <si>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</si>
  <si>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</si>
  <si>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</si>
  <si>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</si>
  <si>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</si>
  <si>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</si>
  <si>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</si>
  <si>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</si>
  <si>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</si>
  <si>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</si>
  <si>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</si>
  <si>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</si>
  <si>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</si>
  <si>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</si>
  <si>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</si>
  <si>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</si>
  <si>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</si>
  <si>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</si>
  <si>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</si>
  <si>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</si>
  <si>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</si>
  <si>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</si>
  <si>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</si>
  <si>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</si>
  <si>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</si>
  <si>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</si>
  <si>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</si>
  <si>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</si>
  <si>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</si>
  <si>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</si>
  <si>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</si>
  <si>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</si>
  <si>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</si>
  <si>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</si>
  <si>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</si>
  <si>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</si>
  <si>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</si>
  <si>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</si>
  <si>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</si>
  <si>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</si>
  <si>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</si>
  <si>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</si>
  <si>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</si>
  <si>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</si>
  <si>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</si>
  <si>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</si>
  <si>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</si>
  <si>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</si>
  <si>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</si>
  <si>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</si>
  <si>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</si>
  <si>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</si>
  <si>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</si>
  <si>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</si>
  <si>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</si>
  <si>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</si>
  <si>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</si>
  <si>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</si>
  <si>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</si>
  <si>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</si>
  <si>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</si>
  <si>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</si>
  <si>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</si>
  <si>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</si>
  <si>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</si>
  <si>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</si>
  <si>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</si>
  <si>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</si>
  <si>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</si>
  <si>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</si>
  <si>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</si>
  <si>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</si>
  <si>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</si>
  <si>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</si>
  <si>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</si>
  <si>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</si>
  <si>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</si>
  <si>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</si>
  <si>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</si>
  <si>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</si>
  <si>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</si>
  <si>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</si>
  <si>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</si>
  <si>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</si>
  <si>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</si>
  <si>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</si>
  <si>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</si>
  <si>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</si>
  <si>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</si>
  <si>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</si>
  <si>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</si>
  <si>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</si>
  <si>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</si>
  <si>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</si>
  <si>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</si>
  <si>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</si>
  <si>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</si>
  <si>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</si>
  <si>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</si>
  <si>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</si>
  <si>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</si>
  <si>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</si>
  <si>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</si>
  <si>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</si>
  <si>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</si>
  <si>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</si>
  <si>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</si>
  <si>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</si>
  <si>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</si>
  <si>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</si>
  <si>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</si>
  <si>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</si>
  <si>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</si>
  <si>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</si>
  <si>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</si>
  <si>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</si>
  <si>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</si>
  <si>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</si>
  <si>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</si>
  <si>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</si>
  <si>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</si>
  <si>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</si>
  <si>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</si>
  <si>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</si>
  <si>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</si>
  <si>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</si>
  <si>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</si>
  <si>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</si>
  <si>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</si>
  <si>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</si>
  <si>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</si>
  <si>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</si>
  <si>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</si>
  <si>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</si>
  <si>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</si>
  <si>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</si>
  <si>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</si>
  <si>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</si>
  <si>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</si>
  <si>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</si>
  <si>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</si>
  <si>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</si>
  <si>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</si>
  <si>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</si>
  <si>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</si>
  <si>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</si>
  <si>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</si>
  <si>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</si>
  <si>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</si>
  <si>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</si>
  <si>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</si>
  <si>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</si>
  <si>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</si>
  <si>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</si>
  <si>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</si>
  <si>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</si>
  <si>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</si>
  <si>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</si>
  <si>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</si>
  <si>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</si>
  <si>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</si>
  <si>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</si>
  <si>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</si>
  <si>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</si>
  <si>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</si>
  <si>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</si>
  <si>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</si>
  <si>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</si>
  <si>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</si>
  <si>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</si>
  <si>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</si>
  <si>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</si>
  <si>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</si>
  <si>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</si>
  <si>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</si>
  <si>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</si>
  <si>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</si>
  <si>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</si>
  <si>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</si>
  <si>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</si>
  <si>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</si>
  <si>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</si>
  <si>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</si>
  <si>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</si>
  <si>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</si>
  <si>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</si>
  <si>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</si>
  <si>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</si>
  <si>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</si>
  <si>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</si>
  <si>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</si>
  <si>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</si>
  <si>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</si>
  <si>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</si>
  <si>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</si>
  <si>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</si>
  <si>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</si>
  <si>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</si>
  <si>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</si>
  <si>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</si>
  <si>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</si>
  <si>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</si>
  <si>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</si>
  <si>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</si>
  <si>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</si>
  <si>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</si>
  <si>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</si>
  <si>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</si>
  <si>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</si>
  <si>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</si>
  <si>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</si>
  <si>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</si>
  <si>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</si>
  <si>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</si>
  <si>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</si>
  <si>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</si>
  <si>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</si>
  <si>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</si>
  <si>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</si>
  <si>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</si>
  <si>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</si>
  <si>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</si>
  <si>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</si>
  <si>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</si>
  <si>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</si>
  <si>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</si>
  <si>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</si>
  <si>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</si>
  <si>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</si>
  <si>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</si>
  <si>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</si>
  <si>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</si>
  <si>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</si>
  <si>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</si>
  <si>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</si>
  <si>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</si>
  <si>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</si>
  <si>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</si>
  <si>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</si>
  <si>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</si>
  <si>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</si>
  <si>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</si>
  <si>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</si>
  <si>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</si>
  <si>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</si>
  <si>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</si>
  <si>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</si>
  <si>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</si>
  <si>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</si>
  <si>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</si>
  <si>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</si>
  <si>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</si>
  <si>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</si>
  <si>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</si>
  <si>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</si>
  <si>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</si>
  <si>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</si>
  <si>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</si>
  <si>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</si>
  <si>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</si>
  <si>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</si>
  <si>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</si>
  <si>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</si>
  <si>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</si>
  <si>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</si>
  <si>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</si>
  <si>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</si>
  <si>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</si>
  <si>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</si>
  <si>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</si>
  <si>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</si>
  <si>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</si>
  <si>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</si>
  <si>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</si>
  <si>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</si>
  <si>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</si>
  <si>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</si>
  <si>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</si>
  <si>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</si>
  <si>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</si>
  <si>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</si>
  <si>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</si>
  <si>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</si>
  <si>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</si>
  <si>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</si>
  <si>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</si>
  <si>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</si>
  <si>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</si>
  <si>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</si>
  <si>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</si>
  <si>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</si>
  <si>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</si>
  <si>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</si>
  <si>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</si>
  <si>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</si>
  <si>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</si>
  <si>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</si>
  <si>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</si>
  <si>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</si>
  <si>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</si>
  <si>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</si>
  <si>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</si>
  <si>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</si>
  <si>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</si>
  <si>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</si>
  <si>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</si>
  <si>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</si>
  <si>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</si>
  <si>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</si>
  <si>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</si>
  <si>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</si>
  <si>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</si>
  <si>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</si>
  <si>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</si>
  <si>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</si>
  <si>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</si>
  <si>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</si>
  <si>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</si>
  <si>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</si>
  <si>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</si>
  <si>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</si>
  <si>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</si>
  <si>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</si>
  <si>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</si>
  <si>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</si>
  <si>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</si>
  <si>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</si>
  <si>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</si>
  <si>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</si>
  <si>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</si>
  <si>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</si>
  <si>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</si>
  <si>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</si>
  <si>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</si>
  <si>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</si>
  <si>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</si>
  <si>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</si>
  <si>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</si>
  <si>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</si>
  <si>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</si>
  <si>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</si>
  <si>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</si>
  <si>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</si>
  <si>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</si>
  <si>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</si>
  <si>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</si>
  <si>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</si>
  <si>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</si>
  <si>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</si>
  <si>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</si>
  <si>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</si>
  <si>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</si>
  <si>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</si>
  <si>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</si>
  <si>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</si>
  <si>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</si>
  <si>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</si>
  <si>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</si>
  <si>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</si>
  <si>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</si>
  <si>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</si>
  <si>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</si>
  <si>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</si>
  <si>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</si>
  <si>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</si>
  <si>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</si>
  <si>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</si>
  <si>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</si>
  <si>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</si>
  <si>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</si>
  <si>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</si>
  <si>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</si>
  <si>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</si>
  <si>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</si>
  <si>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</si>
  <si>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</si>
  <si>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</si>
  <si>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</si>
  <si>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</si>
  <si>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</si>
  <si>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</si>
  <si>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</si>
  <si>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</si>
  <si>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</si>
  <si>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</si>
  <si>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</si>
  <si>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</si>
  <si>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</si>
  <si>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</si>
  <si>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</si>
  <si>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</si>
  <si>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</si>
  <si>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</si>
  <si>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</si>
  <si>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</si>
  <si>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</si>
  <si>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</si>
  <si>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</si>
  <si>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</si>
  <si>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</si>
  <si>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</si>
  <si>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</si>
  <si>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</si>
  <si>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</si>
  <si>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</si>
  <si>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</si>
  <si>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</si>
  <si>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</si>
  <si>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</si>
  <si>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</si>
  <si>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</si>
  <si>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</si>
  <si>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</si>
  <si>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</si>
  <si>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</si>
  <si>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</si>
  <si>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</si>
  <si>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</si>
  <si>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</si>
  <si>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</si>
  <si>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</si>
  <si>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</si>
  <si>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</si>
  <si>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</si>
  <si>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</si>
  <si>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</si>
  <si>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</si>
  <si>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</si>
  <si>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</si>
  <si>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</si>
  <si>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</si>
  <si>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</si>
  <si>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</si>
  <si>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</si>
  <si>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</si>
  <si>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</si>
  <si>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</si>
  <si>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</si>
  <si>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</si>
  <si>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</si>
  <si>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</si>
  <si>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</si>
  <si>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</si>
  <si>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</si>
  <si>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</si>
  <si>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</si>
  <si>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</si>
  <si>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</si>
  <si>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</si>
  <si>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</si>
  <si>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</si>
  <si>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</si>
  <si>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</si>
  <si>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</si>
  <si>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</si>
  <si>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</si>
  <si>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</si>
  <si>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</si>
  <si>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</si>
  <si>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</si>
  <si>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</si>
  <si>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</si>
  <si>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</si>
  <si>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</si>
  <si>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</si>
  <si>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</si>
  <si>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</si>
  <si>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</si>
  <si>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</si>
  <si>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</si>
  <si>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</si>
  <si>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</si>
  <si>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</si>
  <si>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</si>
  <si>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</si>
  <si>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</si>
  <si>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</si>
  <si>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</si>
  <si>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</si>
  <si>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</si>
  <si>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</si>
  <si>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</si>
  <si>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</si>
  <si>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</si>
  <si>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</si>
  <si>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</si>
  <si>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</si>
  <si>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</si>
  <si>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</si>
  <si>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</si>
  <si>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</si>
  <si>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</si>
  <si>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</si>
  <si>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</si>
  <si>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</si>
  <si>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</si>
  <si>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</si>
  <si>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</si>
  <si>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</si>
  <si>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</si>
  <si>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</si>
  <si>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</si>
  <si>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</si>
  <si>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</si>
  <si>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</si>
  <si>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</si>
  <si>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</si>
  <si>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</si>
  <si>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</si>
  <si>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</si>
  <si>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</si>
  <si>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</si>
  <si>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</si>
  <si>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</si>
  <si>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</si>
  <si>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</si>
  <si>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</si>
  <si>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</si>
  <si>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</si>
  <si>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</si>
  <si>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</si>
  <si>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</si>
  <si>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</si>
  <si>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</si>
  <si>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</si>
  <si>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</si>
  <si>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</si>
  <si>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</si>
  <si>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</si>
  <si>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</si>
  <si>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</si>
  <si>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</si>
  <si>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</si>
  <si>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</si>
  <si>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</si>
  <si>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</si>
  <si>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</si>
  <si>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</si>
  <si>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</si>
  <si>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</si>
  <si>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</si>
  <si>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</si>
  <si>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</si>
  <si>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</si>
  <si>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</si>
  <si>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</si>
  <si>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</si>
  <si>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</si>
  <si>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</si>
  <si>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</si>
  <si>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</si>
  <si>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</si>
  <si>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</si>
  <si>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</si>
  <si>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</si>
  <si>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</si>
  <si>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</si>
  <si>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</si>
  <si>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</si>
  <si>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</si>
  <si>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</si>
  <si>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</si>
  <si>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</si>
  <si>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</si>
  <si>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</si>
  <si>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</si>
  <si>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</si>
  <si>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</si>
  <si>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</si>
  <si>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</si>
  <si>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</si>
  <si>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</si>
  <si>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</si>
  <si>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</si>
  <si>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</si>
  <si>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</si>
  <si>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</si>
  <si>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</si>
  <si>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</si>
  <si>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</si>
  <si>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</si>
  <si>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</si>
  <si>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</si>
  <si>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</si>
  <si>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</si>
  <si>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</si>
  <si>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</si>
  <si>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</si>
  <si>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</si>
  <si>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</si>
  <si>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</si>
  <si>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</si>
  <si>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</si>
  <si>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</si>
  <si>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</si>
  <si>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</si>
  <si>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</si>
  <si>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</si>
  <si>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</si>
  <si>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</si>
  <si>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</si>
  <si>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</si>
  <si>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</si>
  <si>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</si>
  <si>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</si>
  <si>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</si>
  <si>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</si>
  <si>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</si>
  <si>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</si>
  <si>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</si>
  <si>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</si>
  <si>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</si>
  <si>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</si>
  <si>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</si>
  <si>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</si>
  <si>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</si>
  <si>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</si>
  <si>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</si>
  <si>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</si>
  <si>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</si>
  <si>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</si>
  <si>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</si>
  <si>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</si>
  <si>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</si>
  <si>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</si>
  <si>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</si>
  <si>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</si>
  <si>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</si>
  <si>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</si>
  <si>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</si>
  <si>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</si>
  <si>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</si>
  <si>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</si>
  <si>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</si>
  <si>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</si>
  <si>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</si>
  <si>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</si>
  <si>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</si>
  <si>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</si>
  <si>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</si>
  <si>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</si>
  <si>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</si>
  <si>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</si>
  <si>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</si>
  <si>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</si>
  <si>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</si>
  <si>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</si>
  <si>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</si>
  <si>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</si>
  <si>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</si>
  <si>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</si>
  <si>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</si>
  <si>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</si>
  <si>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</si>
  <si>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</si>
  <si>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</si>
  <si>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</si>
  <si>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</si>
  <si>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</si>
  <si>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</si>
  <si>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</si>
  <si>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</si>
  <si>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</si>
  <si>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</si>
  <si>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</si>
  <si>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</si>
  <si>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</si>
  <si>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</si>
  <si>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</si>
  <si>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</si>
  <si>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</si>
  <si>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</si>
  <si>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</si>
  <si>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</si>
  <si>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</si>
  <si>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</si>
  <si>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</si>
  <si>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</si>
  <si>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</si>
  <si>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</si>
  <si>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</si>
  <si>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</si>
  <si>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</si>
  <si>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</si>
  <si>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</si>
  <si>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</si>
  <si>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</si>
  <si>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</si>
  <si>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</si>
  <si>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</si>
  <si>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</si>
  <si>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</si>
  <si>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</si>
  <si>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</si>
  <si>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</si>
  <si>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</si>
  <si>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</si>
  <si>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</si>
  <si>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</si>
  <si>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</si>
  <si>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</si>
  <si>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</si>
  <si>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</si>
  <si>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</si>
  <si>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</si>
  <si>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</si>
  <si>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</si>
  <si>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</si>
  <si>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</si>
  <si>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</si>
  <si>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</si>
  <si>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</si>
  <si>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</si>
  <si>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</si>
  <si>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</si>
  <si>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</si>
  <si>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</si>
  <si>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</si>
  <si>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</si>
  <si>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</si>
  <si>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</si>
  <si>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</si>
  <si>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</si>
  <si>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</si>
  <si>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</si>
  <si>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</si>
  <si>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</si>
  <si>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</si>
  <si>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</si>
  <si>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</si>
  <si>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</si>
  <si>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</si>
  <si>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</si>
  <si>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</si>
  <si>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</si>
  <si>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</si>
  <si>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</si>
  <si>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</si>
  <si>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</si>
  <si>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</si>
  <si>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</si>
  <si>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</si>
  <si>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</si>
  <si>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</si>
  <si>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</si>
  <si>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</si>
  <si>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</si>
  <si>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</si>
  <si>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</si>
  <si>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</si>
  <si>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</si>
  <si>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</si>
  <si>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</si>
  <si>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</si>
  <si>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</si>
  <si>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</si>
  <si>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</si>
  <si>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</si>
  <si>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</si>
  <si>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</si>
  <si>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</si>
  <si>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</si>
  <si>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</si>
  <si>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</si>
  <si>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</si>
  <si>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</si>
  <si>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</si>
  <si>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</si>
  <si>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</si>
  <si>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</si>
  <si>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</si>
  <si>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</si>
  <si>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</si>
  <si>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</si>
  <si>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</si>
  <si>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</si>
  <si>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</si>
  <si>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</si>
  <si>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</si>
  <si>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</si>
  <si>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</si>
  <si>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</si>
  <si>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</si>
  <si>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</si>
  <si>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</si>
  <si>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</si>
  <si>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</si>
  <si>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</si>
  <si>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</si>
  <si>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</si>
  <si>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</si>
  <si>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</si>
  <si>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</si>
  <si>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</si>
  <si>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</si>
  <si>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</si>
  <si>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</si>
  <si>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</si>
  <si>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</si>
  <si>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</si>
  <si>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</si>
  <si>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</si>
  <si>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</si>
  <si>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</si>
  <si>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</si>
  <si>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</si>
  <si>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</si>
  <si>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</si>
  <si>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</si>
  <si>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</si>
  <si>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</si>
  <si>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</si>
  <si>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</si>
  <si>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</si>
  <si>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</si>
  <si>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</si>
  <si>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</si>
  <si>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</si>
  <si>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</si>
  <si>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</si>
  <si>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</si>
  <si>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</si>
  <si>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</si>
  <si>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</si>
  <si>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</si>
  <si>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</si>
  <si>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</si>
  <si>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</si>
  <si>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</si>
  <si>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</si>
  <si>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</si>
  <si>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</si>
  <si>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</si>
  <si>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</si>
  <si>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</si>
  <si>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</si>
  <si>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</si>
  <si>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</si>
  <si>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</si>
  <si>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</si>
  <si>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</si>
  <si>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</si>
  <si>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</si>
  <si>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</si>
  <si>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</si>
  <si>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</si>
  <si>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</si>
  <si>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</si>
  <si>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</si>
  <si>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</si>
  <si>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</si>
  <si>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</si>
  <si>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</si>
  <si>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</si>
  <si>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</si>
  <si>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</si>
  <si>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</si>
  <si>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</si>
  <si>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</si>
  <si>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</si>
  <si>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</si>
  <si>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</si>
  <si>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</si>
  <si>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</si>
  <si>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</si>
  <si>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</si>
  <si>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</si>
  <si>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</si>
  <si>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</si>
  <si>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</si>
  <si>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</si>
  <si>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</si>
  <si>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</si>
  <si>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</si>
  <si>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</si>
  <si>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</si>
  <si>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</si>
  <si>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</si>
  <si>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</si>
  <si>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</si>
  <si>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</si>
  <si>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</si>
  <si>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</si>
  <si>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</si>
  <si>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</si>
  <si>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</si>
  <si>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</si>
  <si>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</si>
  <si>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</si>
  <si>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</si>
  <si>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</si>
  <si>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</si>
  <si>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</si>
  <si>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</si>
  <si>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</si>
  <si>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</si>
  <si>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</si>
  <si>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</si>
  <si>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</si>
  <si>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</si>
  <si>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</si>
  <si>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</si>
  <si>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</si>
  <si>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</si>
  <si>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</si>
  <si>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</si>
  <si>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</si>
  <si>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</si>
  <si>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</si>
  <si>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</si>
  <si>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</si>
  <si>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</si>
  <si>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</si>
  <si>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</si>
  <si>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</si>
  <si>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</si>
  <si>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</si>
  <si>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</si>
  <si>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</si>
  <si>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</si>
  <si>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</si>
  <si>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</si>
  <si>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</si>
  <si>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</si>
  <si>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</si>
  <si>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</si>
  <si>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</si>
  <si>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</si>
  <si>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</si>
  <si>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</si>
  <si>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</si>
  <si>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</si>
  <si>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</si>
  <si>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</si>
  <si>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</si>
  <si>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</si>
  <si>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</si>
  <si>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</si>
  <si>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</si>
  <si>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</si>
  <si>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</si>
  <si>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</si>
  <si>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</si>
  <si>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</si>
  <si>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</si>
  <si>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</si>
  <si>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</si>
  <si>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</si>
  <si>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</si>
  <si>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</si>
  <si>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</si>
  <si>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</si>
  <si>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</si>
  <si>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</si>
  <si>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</si>
  <si>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</si>
  <si>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</si>
  <si>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</si>
  <si>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</si>
  <si>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</si>
  <si>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</si>
  <si>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</si>
  <si>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</si>
  <si>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</si>
  <si>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</si>
  <si>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</si>
  <si>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</si>
  <si>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</si>
  <si>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</si>
  <si>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</si>
  <si>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</si>
  <si>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</si>
  <si>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</si>
  <si>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</si>
  <si>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</si>
  <si>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</si>
  <si>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</si>
  <si>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</si>
  <si>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</si>
  <si>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</si>
  <si>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</si>
  <si>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</si>
  <si>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</si>
  <si>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</si>
  <si>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</si>
  <si>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</si>
  <si>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</si>
  <si>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</si>
  <si>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</si>
  <si>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</si>
  <si>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</si>
  <si>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</si>
  <si>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</si>
  <si>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</si>
  <si>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</si>
  <si>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</si>
  <si>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</si>
  <si>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</si>
  <si>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</si>
  <si>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</si>
  <si>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</si>
  <si>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</si>
  <si>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</si>
  <si>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</si>
  <si>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</si>
  <si>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</si>
  <si>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</si>
  <si>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</si>
  <si>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</si>
  <si>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</si>
  <si>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</si>
  <si>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</si>
  <si>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</si>
  <si>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</si>
  <si>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</si>
  <si>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</si>
  <si>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</si>
  <si>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</si>
  <si>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</si>
  <si>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</si>
  <si>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</si>
  <si>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</si>
  <si>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</si>
  <si>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</si>
  <si>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</si>
  <si>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</si>
  <si>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</si>
  <si>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</si>
  <si>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</si>
  <si>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</si>
  <si>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</si>
  <si>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</si>
  <si>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</si>
  <si>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</si>
  <si>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</si>
  <si>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</si>
  <si>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</si>
  <si>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</si>
  <si>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</si>
  <si>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</si>
  <si>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</si>
  <si>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</si>
  <si>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</si>
  <si>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</si>
  <si>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</si>
  <si>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</si>
  <si>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</si>
  <si>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</si>
  <si>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</si>
  <si>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</si>
  <si>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</si>
  <si>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</si>
  <si>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</si>
  <si>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</si>
  <si>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</si>
  <si>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</si>
  <si>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</si>
  <si>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</si>
  <si>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</si>
  <si>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</si>
  <si>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</si>
  <si>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</si>
  <si>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</si>
  <si>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</si>
  <si>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</si>
  <si>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</si>
  <si>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</si>
  <si>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</si>
  <si>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</si>
  <si>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</si>
  <si>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</si>
  <si>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</si>
  <si>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</si>
  <si>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</si>
  <si>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</si>
  <si>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</si>
  <si>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</si>
  <si>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</si>
  <si>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</si>
  <si>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</si>
  <si>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</si>
  <si>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</si>
  <si>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</si>
  <si>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</si>
  <si>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</si>
  <si>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</si>
  <si>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</si>
  <si>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</si>
  <si>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</si>
  <si>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</si>
  <si>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</si>
  <si>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</si>
  <si>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</si>
  <si>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</si>
  <si>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</si>
  <si>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</si>
  <si>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</si>
  <si>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</si>
  <si>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</si>
  <si>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</si>
  <si>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</si>
  <si>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</si>
  <si>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</si>
  <si>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</si>
  <si>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</si>
  <si>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</si>
  <si>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</si>
  <si>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</si>
  <si>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</si>
  <si>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</si>
  <si>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</si>
  <si>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</si>
  <si>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</si>
  <si>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</si>
  <si>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</si>
  <si>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</si>
  <si>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</si>
  <si>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</si>
  <si>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</si>
  <si>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</si>
  <si>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</si>
  <si>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</si>
  <si>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</si>
  <si>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</si>
  <si>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</si>
  <si>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</si>
  <si>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</si>
  <si>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</si>
  <si>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</si>
  <si>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</si>
  <si>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</si>
  <si>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</si>
  <si>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</si>
  <si>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</si>
  <si>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</si>
  <si>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</si>
  <si>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</si>
  <si>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</si>
  <si>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</si>
  <si>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</si>
  <si>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</si>
  <si>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</si>
  <si>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</si>
  <si>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</si>
  <si>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</si>
  <si>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</si>
  <si>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</si>
  <si>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</si>
  <si>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</si>
  <si>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</si>
  <si>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</si>
  <si>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</si>
  <si>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</si>
  <si>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</si>
  <si>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</si>
  <si>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</si>
  <si>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</si>
  <si>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</si>
  <si>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</si>
  <si>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</si>
  <si>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</si>
  <si>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</si>
  <si>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</si>
  <si>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</si>
  <si>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</si>
  <si>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</si>
  <si>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</si>
  <si>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</si>
  <si>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</si>
  <si>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</si>
  <si>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</si>
  <si>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</si>
  <si>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</si>
  <si>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</si>
  <si>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</si>
  <si>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</si>
  <si>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</si>
  <si>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</si>
  <si>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</si>
  <si>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</si>
  <si>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</si>
  <si>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</si>
  <si>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</si>
  <si>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</si>
  <si>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</si>
  <si>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</si>
  <si>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</si>
  <si>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</si>
  <si>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</si>
  <si>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</si>
  <si>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</si>
  <si>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</si>
  <si>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</si>
  <si>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</si>
  <si>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</si>
  <si>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</si>
  <si>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</si>
  <si>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</si>
  <si>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</si>
  <si>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</si>
  <si>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</si>
  <si>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</si>
  <si>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</si>
  <si>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</si>
  <si>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</si>
  <si>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</si>
  <si>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</si>
  <si>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</si>
  <si>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</si>
  <si>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</si>
  <si>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</si>
  <si>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</si>
  <si>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</si>
  <si>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</si>
  <si>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</si>
  <si>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</si>
  <si>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</si>
  <si>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</si>
  <si>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</si>
  <si>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</si>
  <si>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</si>
  <si>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</si>
  <si>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</si>
  <si>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</si>
  <si>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</si>
  <si>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</si>
  <si>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</si>
  <si>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</si>
  <si>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</si>
  <si>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</si>
  <si>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</si>
  <si>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</si>
  <si>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</si>
  <si>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</si>
  <si>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</si>
  <si>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</si>
  <si>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</si>
  <si>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</si>
  <si>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</si>
  <si>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</si>
  <si>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</si>
  <si>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</si>
  <si>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</si>
  <si>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</si>
  <si>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</si>
  <si>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</si>
  <si>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</si>
  <si>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</si>
  <si>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</si>
  <si>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</si>
  <si>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</si>
  <si>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</si>
  <si>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</si>
  <si>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</si>
  <si>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</si>
  <si>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</si>
  <si>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</si>
  <si>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</si>
  <si>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</si>
  <si>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</si>
  <si>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</si>
  <si>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</si>
  <si>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</si>
  <si>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</si>
  <si>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</si>
  <si>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</si>
  <si>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</si>
  <si>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</si>
  <si>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</si>
  <si>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</si>
  <si>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</si>
  <si>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</si>
  <si>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</si>
  <si>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</si>
  <si>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</si>
  <si>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</si>
  <si>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</si>
  <si>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</si>
  <si>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</si>
  <si>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</si>
  <si>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</si>
  <si>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</si>
  <si>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</si>
  <si>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</si>
  <si>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</si>
  <si>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</si>
  <si>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</si>
  <si>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</si>
  <si>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</si>
  <si>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</si>
  <si>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</si>
  <si>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</si>
  <si>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</si>
  <si>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</si>
  <si>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</si>
  <si>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</si>
  <si>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</si>
  <si>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</si>
  <si>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</si>
  <si>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</si>
  <si>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</si>
  <si>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</si>
  <si>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</si>
  <si>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</si>
  <si>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</si>
  <si>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</si>
  <si>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</si>
  <si>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</si>
  <si>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</si>
  <si>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</si>
  <si>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</si>
  <si>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</si>
  <si>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</si>
  <si>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</si>
  <si>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</si>
  <si>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</si>
  <si>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</si>
  <si>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</si>
  <si>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</si>
  <si>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</si>
  <si>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</si>
  <si>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</si>
  <si>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</si>
  <si>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</si>
  <si>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</si>
  <si>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</si>
  <si>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</si>
  <si>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</si>
  <si>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</si>
  <si>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</si>
  <si>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</si>
  <si>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</si>
  <si>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</si>
  <si>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</si>
  <si>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</si>
  <si>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</si>
  <si>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</si>
  <si>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</si>
  <si>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</si>
  <si>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</si>
  <si>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</si>
  <si>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</si>
  <si>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</si>
  <si>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</si>
  <si>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</si>
  <si>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</si>
  <si>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</si>
  <si>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</si>
  <si>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</si>
  <si>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</si>
  <si>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</si>
  <si>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</si>
  <si>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</si>
  <si>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</si>
  <si>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</si>
  <si>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</si>
  <si>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</si>
  <si>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</si>
  <si>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</si>
  <si>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</si>
  <si>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</si>
  <si>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</si>
  <si>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</si>
  <si>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</si>
  <si>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</si>
  <si>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</si>
  <si>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</si>
  <si>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</si>
  <si>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</si>
  <si>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</si>
  <si>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</si>
  <si>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</si>
  <si>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</si>
  <si>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</si>
  <si>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</si>
  <si>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</si>
  <si>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</si>
  <si>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</si>
  <si>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</si>
  <si>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</si>
  <si>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</si>
  <si>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</si>
  <si>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</si>
  <si>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</si>
  <si>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</si>
  <si>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</si>
  <si>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</si>
  <si>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</si>
  <si>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</si>
  <si>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</si>
  <si>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</si>
  <si>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</si>
  <si>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</si>
  <si>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</si>
  <si>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</si>
  <si>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</si>
  <si>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</si>
  <si>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</si>
  <si>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</si>
  <si>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</si>
  <si>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</si>
  <si>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</si>
  <si>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</si>
  <si>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</si>
  <si>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</si>
  <si>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</si>
  <si>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</si>
  <si>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</si>
  <si>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</si>
  <si>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</si>
  <si>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</si>
  <si>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</si>
  <si>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</si>
  <si>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</si>
  <si>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</si>
  <si>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</si>
  <si>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</si>
  <si>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</si>
  <si>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</si>
  <si>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</si>
  <si>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</si>
  <si>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</si>
  <si>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</si>
  <si>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</si>
  <si>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</si>
  <si>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</si>
  <si>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</si>
  <si>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</si>
  <si>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</si>
  <si>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</si>
  <si>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</si>
  <si>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</si>
  <si>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</si>
  <si>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</si>
  <si>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</si>
  <si>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</si>
  <si>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</si>
  <si>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</si>
  <si>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</si>
  <si>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</si>
  <si>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</si>
  <si>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</si>
  <si>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</si>
  <si>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</si>
  <si>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</si>
  <si>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</si>
  <si>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</si>
  <si>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</si>
  <si>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</si>
  <si>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</si>
  <si>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</si>
  <si>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</si>
  <si>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</si>
  <si>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</si>
  <si>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</si>
  <si>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</si>
  <si>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</si>
  <si>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</si>
  <si>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</si>
  <si>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</si>
  <si>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</si>
  <si>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</si>
  <si>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</si>
  <si>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</si>
  <si>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</si>
  <si>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</si>
  <si>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</si>
  <si>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</si>
  <si>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</si>
  <si>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</si>
  <si>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</si>
  <si>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</si>
  <si>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</si>
  <si>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</si>
  <si>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</si>
  <si>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</si>
  <si>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</si>
  <si>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</si>
  <si>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</si>
  <si>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</si>
  <si>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</si>
  <si>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</si>
  <si>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</si>
  <si>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</si>
  <si>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</si>
  <si>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</si>
  <si>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</si>
  <si>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</si>
  <si>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</si>
  <si>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</si>
  <si>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</si>
  <si>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</si>
  <si>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</si>
  <si>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</si>
  <si>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</si>
  <si>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</si>
  <si>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</si>
  <si>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</si>
  <si>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</si>
  <si>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</si>
  <si>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</si>
  <si>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</si>
  <si>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</si>
  <si>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</si>
  <si>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</si>
  <si>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</si>
  <si>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</si>
  <si>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</si>
  <si>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</si>
  <si>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</si>
  <si>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</si>
  <si>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</si>
  <si>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</si>
  <si>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</si>
  <si>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</si>
  <si>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</si>
  <si>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</si>
  <si>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</si>
  <si>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</si>
  <si>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</si>
  <si>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</si>
  <si>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</si>
  <si>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</si>
  <si>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</si>
  <si>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</si>
  <si>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</si>
  <si>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</si>
  <si>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</si>
  <si>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</si>
  <si>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</si>
  <si>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</si>
  <si>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</si>
  <si>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</si>
  <si>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</si>
  <si>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</si>
  <si>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</si>
  <si>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</si>
  <si>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</si>
  <si>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</si>
  <si>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</si>
  <si>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</si>
  <si>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</si>
  <si>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</si>
  <si>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</si>
  <si>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</si>
  <si>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</si>
  <si>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</si>
  <si>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</si>
  <si>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</si>
  <si>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</si>
  <si>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</si>
  <si>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</si>
  <si>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</si>
  <si>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</si>
  <si>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</si>
  <si>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</si>
  <si>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</si>
  <si>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</si>
  <si>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</si>
  <si>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</si>
  <si>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</si>
  <si>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</si>
  <si>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</si>
  <si>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</si>
  <si>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</si>
  <si>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</si>
  <si>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</si>
  <si>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</si>
  <si>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</si>
  <si>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</si>
  <si>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</si>
  <si>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</si>
  <si>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</si>
  <si>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</si>
  <si>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</si>
  <si>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</si>
  <si>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</si>
  <si>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</si>
  <si>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</si>
  <si>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</si>
  <si>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</si>
  <si>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</si>
  <si>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</si>
  <si>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</si>
  <si>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</si>
  <si>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</si>
  <si>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</si>
  <si>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</si>
  <si>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</si>
  <si>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</si>
  <si>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</si>
  <si>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</si>
  <si>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</si>
  <si>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</si>
  <si>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</si>
  <si>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</si>
  <si>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</si>
  <si>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</si>
  <si>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</si>
  <si>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</si>
  <si>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</si>
  <si>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</si>
  <si>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</si>
  <si>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</si>
  <si>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</si>
  <si>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</si>
  <si>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</si>
  <si>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</si>
  <si>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</si>
  <si>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</si>
  <si>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</si>
  <si>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</si>
  <si>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</si>
  <si>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</si>
  <si>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</si>
  <si>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</si>
  <si>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</si>
  <si>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</si>
  <si>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</si>
  <si>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</si>
  <si>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</si>
  <si>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</si>
  <si>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</si>
  <si>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</si>
  <si>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</si>
  <si>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</si>
  <si>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</si>
  <si>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</si>
  <si>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</si>
  <si>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</si>
  <si>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</si>
  <si>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</si>
  <si>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</si>
  <si>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</si>
  <si>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</si>
  <si>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</si>
  <si>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</si>
  <si>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</si>
  <si>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</si>
  <si>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</si>
  <si>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</si>
  <si>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</si>
  <si>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</si>
  <si>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</si>
  <si>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</si>
  <si>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</si>
  <si>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</si>
  <si>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</si>
  <si>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</si>
  <si>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</si>
  <si>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</si>
  <si>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</si>
  <si>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</si>
  <si>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</si>
  <si>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</si>
  <si>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</si>
  <si>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</si>
  <si>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</si>
  <si>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</si>
  <si>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</si>
  <si>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</si>
  <si>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</si>
  <si>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</si>
  <si>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</si>
  <si>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</si>
  <si>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</si>
  <si>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</si>
  <si>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</si>
  <si>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</si>
  <si>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</si>
  <si>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</si>
  <si>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</si>
  <si>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</si>
  <si>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</si>
  <si>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</si>
  <si>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</si>
  <si>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</si>
  <si>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</si>
  <si>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</si>
  <si>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</si>
  <si>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</si>
  <si>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</si>
  <si>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</si>
  <si>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</si>
  <si>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</si>
  <si>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</si>
  <si>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</si>
  <si>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</si>
  <si>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</si>
  <si>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</si>
  <si>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</si>
  <si>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</si>
  <si>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</si>
  <si>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</si>
  <si>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</si>
  <si>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</si>
  <si>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</si>
  <si>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</si>
  <si>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</si>
  <si>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</si>
  <si>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</si>
  <si>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</si>
  <si>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</si>
  <si>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</si>
  <si>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</si>
  <si>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</si>
  <si>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</si>
  <si>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</si>
  <si>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</si>
  <si>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</si>
  <si>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</si>
  <si>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</si>
  <si>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</si>
  <si>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</si>
  <si>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</si>
  <si>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</si>
  <si>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</si>
  <si>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</si>
  <si>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</si>
  <si>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</si>
  <si>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</si>
  <si>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</si>
  <si>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</si>
  <si>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</si>
  <si>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</si>
  <si>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</si>
  <si>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</si>
  <si>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</si>
  <si>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</si>
  <si>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</si>
  <si>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</si>
  <si>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</si>
  <si>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</si>
  <si>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</si>
  <si>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</si>
  <si>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</si>
  <si>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</si>
  <si>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</si>
  <si>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</si>
  <si>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</si>
  <si>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</si>
  <si>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</si>
  <si>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</si>
  <si>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</si>
  <si>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</si>
  <si>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</si>
  <si>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</si>
  <si>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</si>
  <si>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</si>
  <si>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</si>
  <si>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</si>
  <si>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</si>
  <si>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</si>
  <si>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</si>
  <si>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</si>
  <si>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</si>
  <si>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</si>
  <si>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</si>
  <si>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</si>
  <si>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</si>
  <si>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</si>
  <si>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</si>
  <si>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</si>
  <si>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</si>
  <si>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</si>
  <si>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</si>
  <si>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</si>
  <si>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</si>
  <si>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</si>
  <si>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</si>
  <si>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</si>
  <si>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</si>
  <si>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</si>
  <si>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</si>
  <si>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</si>
  <si>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</si>
  <si>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</si>
  <si>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</si>
  <si>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</si>
  <si>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</si>
  <si>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</si>
  <si>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</si>
  <si>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</si>
  <si>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</si>
  <si>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</si>
  <si>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</si>
  <si>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</si>
  <si>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</si>
  <si>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</si>
  <si>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</si>
  <si>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</si>
  <si>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</si>
  <si>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</si>
  <si>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</si>
  <si>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</si>
  <si>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</si>
  <si>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</si>
  <si>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</si>
  <si>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</si>
  <si>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</si>
  <si>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</si>
  <si>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</si>
  <si>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</si>
  <si>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</si>
  <si>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</si>
  <si>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</si>
  <si>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</si>
  <si>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</si>
  <si>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</si>
  <si>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</si>
  <si>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</si>
  <si>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</si>
  <si>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</si>
  <si>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</si>
  <si>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</si>
  <si>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</si>
  <si>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</si>
  <si>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</si>
  <si>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</si>
  <si>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</si>
  <si>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</si>
  <si>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</si>
  <si>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</si>
  <si>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</si>
  <si>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</si>
  <si>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</si>
  <si>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</si>
  <si>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</si>
  <si>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</si>
  <si>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</si>
  <si>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</si>
  <si>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</si>
  <si>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</si>
  <si>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</si>
  <si>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</si>
  <si>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</si>
  <si>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</si>
  <si>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</si>
  <si>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</si>
  <si>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</si>
  <si>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</si>
  <si>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</si>
  <si>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</si>
  <si>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</si>
  <si>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</si>
  <si>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</si>
  <si>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</si>
  <si>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</si>
  <si>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</si>
  <si>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</si>
  <si>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</si>
  <si>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</si>
  <si>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</si>
  <si>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</si>
  <si>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</si>
  <si>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</si>
  <si>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</si>
  <si>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</si>
  <si>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</si>
  <si>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</si>
  <si>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</si>
  <si>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</si>
  <si>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</si>
  <si>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</si>
  <si>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</si>
  <si>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</si>
  <si>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</si>
  <si>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</si>
  <si>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</si>
  <si>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</si>
  <si>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</si>
  <si>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</si>
  <si>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</si>
  <si>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</si>
  <si>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</si>
  <si>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</si>
  <si>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</si>
  <si>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</si>
  <si>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</si>
  <si>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</si>
  <si>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</si>
  <si>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</si>
  <si>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</si>
  <si>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</si>
  <si>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</si>
  <si>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</si>
  <si>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</si>
  <si>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</si>
  <si>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</si>
  <si>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</si>
  <si>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</si>
  <si>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</si>
  <si>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</si>
  <si>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</si>
  <si>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</si>
  <si>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</si>
  <si>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</si>
  <si>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</si>
  <si>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</si>
  <si>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</si>
  <si>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</si>
  <si>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</si>
  <si>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</si>
  <si>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</si>
  <si>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</si>
  <si>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</si>
  <si>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</si>
  <si>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</si>
  <si>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</si>
  <si>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</si>
  <si>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</si>
  <si>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</si>
  <si>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</si>
  <si>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</si>
  <si>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</si>
  <si>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</si>
  <si>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</si>
  <si>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</si>
  <si>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</si>
  <si>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</si>
  <si>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</si>
  <si>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</si>
  <si>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</si>
  <si>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</si>
  <si>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</si>
  <si>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</si>
  <si>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</si>
  <si>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</si>
  <si>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</si>
  <si>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</si>
  <si>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</si>
  <si>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</si>
  <si>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</si>
  <si>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</si>
  <si>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</si>
  <si>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</si>
  <si>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</si>
  <si>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</si>
  <si>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</si>
  <si>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</si>
  <si>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</si>
  <si>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</si>
  <si>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</si>
  <si>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</si>
  <si>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</si>
  <si>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</si>
  <si>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</si>
  <si>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</si>
  <si>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</si>
  <si>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</si>
  <si>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</si>
  <si>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</si>
  <si>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</si>
  <si>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</si>
  <si>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</si>
  <si>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</si>
  <si>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</si>
  <si>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</si>
  <si>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</si>
  <si>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</si>
  <si>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</si>
  <si>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</si>
  <si>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</si>
  <si>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</si>
  <si>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</si>
  <si>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</si>
  <si>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</si>
  <si>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</si>
  <si>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</si>
  <si>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</si>
  <si>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</si>
  <si>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</si>
  <si>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</si>
  <si>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</si>
  <si>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</si>
  <si>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</si>
  <si>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</si>
  <si>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</si>
  <si>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</si>
  <si>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</si>
  <si>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</si>
  <si>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</si>
  <si>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</si>
  <si>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</si>
  <si>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</si>
  <si>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</si>
  <si>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</si>
  <si>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</si>
  <si>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</si>
  <si>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</si>
  <si>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</si>
  <si>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</si>
  <si>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</si>
  <si>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</si>
  <si>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</si>
  <si>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</si>
  <si>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</si>
  <si>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</si>
  <si>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</si>
  <si>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</si>
  <si>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</si>
  <si>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</si>
  <si>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</si>
  <si>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</si>
  <si>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</si>
  <si>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</si>
  <si>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</si>
  <si>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</si>
  <si>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</si>
  <si>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</si>
  <si>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</si>
  <si>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</si>
  <si>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</si>
  <si>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</si>
  <si>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</si>
  <si>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</si>
  <si>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</si>
  <si>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</si>
  <si>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</si>
  <si>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</si>
  <si>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</si>
  <si>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</si>
  <si>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</si>
  <si>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</si>
  <si>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</si>
  <si>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</si>
  <si>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</si>
  <si>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</si>
  <si>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</si>
  <si>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</si>
  <si>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</si>
  <si>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</si>
  <si>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</si>
  <si>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</si>
  <si>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</si>
  <si>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</si>
  <si>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</si>
  <si>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</si>
  <si>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</si>
  <si>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</si>
  <si>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</si>
  <si>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</si>
  <si>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</si>
  <si>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</si>
  <si>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</si>
  <si>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</si>
  <si>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</si>
  <si>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</si>
  <si>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</si>
  <si>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</si>
  <si>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</si>
  <si>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</si>
  <si>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</si>
  <si>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</si>
  <si>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</si>
  <si>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</si>
  <si>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</si>
  <si>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</si>
  <si>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</si>
  <si>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</si>
  <si>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</si>
  <si>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</si>
  <si>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</si>
  <si>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</si>
  <si>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</si>
  <si>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</si>
  <si>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</si>
  <si>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</si>
  <si>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</si>
  <si>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</si>
  <si>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</si>
  <si>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</si>
  <si>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</si>
  <si>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</si>
  <si>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</si>
  <si>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</si>
  <si>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</si>
  <si>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</si>
  <si>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</si>
  <si>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</si>
  <si>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</si>
  <si>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</si>
  <si>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</si>
  <si>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</si>
  <si>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</si>
  <si>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</si>
  <si>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</si>
  <si>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</si>
  <si>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</si>
  <si>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</si>
  <si>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</si>
  <si>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</si>
  <si>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</si>
  <si>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</si>
  <si>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</si>
  <si>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</si>
  <si>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</si>
  <si>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</si>
  <si>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</si>
  <si>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</si>
  <si>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</si>
  <si>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</si>
  <si>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</si>
  <si>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</si>
  <si>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</si>
  <si>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</si>
  <si>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</si>
  <si>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</si>
  <si>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</si>
  <si>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</si>
  <si>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</si>
  <si>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</si>
  <si>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</si>
  <si>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</si>
  <si>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</si>
  <si>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</si>
  <si>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</si>
  <si>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</si>
  <si>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</si>
  <si>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</si>
  <si>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</si>
  <si>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</si>
  <si>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</si>
  <si>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</si>
  <si>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</si>
  <si>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</si>
  <si>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</si>
  <si>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</si>
  <si>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</si>
  <si>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</si>
  <si>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</si>
  <si>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</si>
  <si>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</si>
  <si>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</si>
  <si>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</si>
  <si>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</si>
  <si>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</si>
  <si>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</si>
  <si>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</si>
  <si>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</si>
  <si>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</si>
  <si>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</si>
  <si>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</si>
  <si>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</si>
  <si>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</si>
  <si>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</si>
  <si>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</si>
  <si>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</si>
  <si>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</si>
  <si>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</si>
  <si>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</si>
  <si>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</si>
  <si>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</si>
  <si>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</si>
  <si>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</si>
  <si>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</si>
  <si>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</si>
  <si>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</si>
  <si>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</si>
  <si>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</si>
  <si>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</si>
  <si>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</si>
  <si>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</si>
  <si>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</si>
  <si>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</si>
  <si>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</si>
  <si>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</si>
  <si>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</si>
  <si>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</si>
  <si>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</si>
  <si>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</si>
  <si>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</si>
  <si>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</si>
  <si>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</si>
  <si>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</si>
  <si>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</si>
  <si>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</si>
  <si>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</si>
  <si>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</si>
  <si>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</si>
  <si>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</si>
  <si>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</si>
  <si>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</si>
  <si>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</si>
  <si>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</si>
  <si>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</si>
  <si>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</si>
  <si>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</si>
  <si>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成本法</t>
  </si>
  <si>
    <t>总价</t>
  </si>
  <si>
    <t>成本比率</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</si>
  <si>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</si>
  <si>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</si>
  <si>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</si>
  <si>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</si>
  <si>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</si>
  <si>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</si>
  <si>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</si>
  <si>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</si>
  <si>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</si>
  <si>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</si>
  <si>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</si>
  <si>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</si>
  <si>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</si>
  <si>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</si>
  <si>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</si>
  <si>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</si>
  <si>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</si>
  <si>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</si>
  <si>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</si>
  <si>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</si>
  <si>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</si>
  <si>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</si>
  <si>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</si>
  <si>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</si>
  <si>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</si>
  <si>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</si>
  <si>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</si>
  <si>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</si>
  <si>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</si>
  <si>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</si>
  <si>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</si>
  <si>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</si>
  <si>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</si>
  <si>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</si>
  <si>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</si>
  <si>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</si>
  <si>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</si>
  <si>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</si>
  <si>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</si>
  <si>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</si>
  <si>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</si>
  <si>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与级别开发程度不一致</t>
  </si>
  <si>
    <t>中心城区以外</t>
  </si>
  <si>
    <t>不临65条商业街</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</si>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</sst>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估价对象为北京市房地产，为所有。根据《国有土地使用证》[]，估价对象（分摊）出让国有建设用地使用权面积为0平方米，建筑面积为232.31平方米。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估价对象为北京市房地产,属开发建设的工业项目，该项目尚在开发建设中。根据《国有土地使用证》[]，估价对象（分摊）出让国有建设用地使用权面积为0平方米，规划建筑面积为232.31平方米。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2024年10月21日</v>
      </c>
    </row>
    <row r="13" spans="1:2" s="1203" customFormat="1">
      <c r="A13" s="1201" t="s">
        <v>529</v>
      </c>
      <c r="B13" s="1202"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293</v>
      </c>
    </row>
    <row r="21" spans="1:2" s="1203" customFormat="1">
      <c r="A21" s="1201" t="s">
        <v>537</v>
      </c>
      <c r="B21" s="1202">
        <f ca="1">'预评函-2'!D7</f>
        <v>12612</v>
      </c>
    </row>
    <row r="22" spans="1:2" s="1203" customFormat="1">
      <c r="A22" s="1201" t="s">
        <v>538</v>
      </c>
      <c r="B22" s="1202" t="str">
        <f ca="1">'预评函-2'!D6</f>
        <v>贰佰玖拾叁万元整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293</v>
      </c>
    </row>
    <row r="31" spans="1:2" s="1203" customFormat="1">
      <c r="A31" s="1201" t="s">
        <v>576</v>
      </c>
      <c r="B31" s="1202">
        <f ca="1">'预评函-2'!D15</f>
        <v>12612</v>
      </c>
    </row>
    <row r="32" spans="1:2" s="1203" customFormat="1">
      <c r="A32" s="1201" t="s">
        <v>543</v>
      </c>
      <c r="B32" s="1202" t="str">
        <f ca="1">'预评函-2'!D14</f>
        <v>贰佰玖拾叁万元整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232.31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292</v>
      </c>
    </row>
    <row r="48" spans="1:2" s="1203" customFormat="1">
      <c r="A48" s="1201" t="s">
        <v>549</v>
      </c>
      <c r="B48" s="1202">
        <f ca="1">'预评函-3'!E4</f>
        <v>12569</v>
      </c>
    </row>
    <row r="49" spans="1:2" s="1203" customFormat="1">
      <c r="A49" s="1201" t="s">
        <v>550</v>
      </c>
      <c r="B49" s="1202" t="str">
        <f ca="1">'预评函-3'!D5</f>
        <v>贰佰玖拾贰万元整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43</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8" t="s">
        <v>2582</v>
      </c>
      <c r="J2" s="3498"/>
      <c r="K2" s="3498"/>
      <c r="L2" s="3498"/>
      <c r="M2" s="3498"/>
      <c r="N2" s="3498"/>
      <c r="O2" s="3498"/>
      <c r="P2" s="3498"/>
      <c r="Q2" s="3498"/>
      <c r="R2" s="3498"/>
    </row>
    <row r="3" spans="1:18">
      <c r="A3" s="3020" t="s">
        <v>2503</v>
      </c>
      <c r="B3" s="3021">
        <f>项目基本情况!D3</f>
        <v>45586</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2.16</v>
      </c>
      <c r="D5" s="3025">
        <f>IF(ISERROR(ROUND(POWER(1+E5,A5-C5)*(POWER(1+E5,C5)-1)/(POWER(1+E5,A5)-1),3)),0,ROUND(POWER(1+E5,A5-C5)*(POWER(1+E5,C5)-1)/(POWER(1+E5,A5)-1),4))</f>
        <v>0.1026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12.16</v>
      </c>
      <c r="D6" s="3025">
        <f>IF(ISERROR(ROUND(POWER(1+E6,A6-C6)*(POWER(1+E6,C6)-1)/(POWER(1+E6,A6)-1),3)),0,ROUND(POWER(1+E6,A6-C6)*(POWER(1+E6,C6)-1)/(POWER(1+E6,A6)-1),4))</f>
        <v>0.44140000000000001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32.18</v>
      </c>
      <c r="D7" s="3025">
        <f>IF(ISERROR(ROUND(POWER(1+E7,A7-C7)*(POWER(1+E7,C7)-1)/(POWER(1+E7,A7)-1),3)),0,ROUND(POWER(1+E7,A7-C7)*(POWER(1+E7,C7)-1)/(POWER(1+E7,A7)-1),4))</f>
        <v>0.7661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7" sqref="B37: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502" t="s">
        <v>2177</v>
      </c>
      <c r="E8" s="2391" t="s">
        <v>3389</v>
      </c>
      <c r="F8" s="2392"/>
      <c r="G8" s="2663"/>
      <c r="H8" s="2663"/>
      <c r="I8" s="2663"/>
      <c r="J8" s="2439"/>
      <c r="K8" s="2614"/>
      <c r="L8" s="2613"/>
      <c r="M8" s="2613"/>
      <c r="N8" s="2439"/>
      <c r="O8" s="2450"/>
      <c r="P8" s="2439"/>
      <c r="Q8" s="2439"/>
      <c r="R8" s="2439"/>
    </row>
    <row r="9" spans="1:30" ht="13.5" thickBot="1">
      <c r="A9" s="2393" t="s">
        <v>2178</v>
      </c>
      <c r="B9" s="2394" t="s">
        <v>3389</v>
      </c>
      <c r="C9" s="2395"/>
      <c r="D9" s="3503"/>
      <c r="E9" s="2394"/>
      <c r="F9" s="2396"/>
      <c r="G9" s="2665"/>
      <c r="H9" s="2665"/>
      <c r="I9" s="2665"/>
      <c r="J9" s="2439"/>
      <c r="K9" s="2616"/>
      <c r="L9" s="2613"/>
      <c r="M9" s="2613"/>
      <c r="N9" s="2439"/>
      <c r="O9" s="2450"/>
      <c r="P9" s="2439"/>
      <c r="Q9" s="2439"/>
      <c r="R9" s="2439"/>
    </row>
    <row r="10" spans="1:30" ht="13.5" thickTop="1">
      <c r="A10" s="2397" t="s">
        <v>2179</v>
      </c>
      <c r="B10" s="2398" t="s">
        <v>3390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v>53618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232.31</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v>2008</v>
      </c>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f>2024-(2008)</f>
        <v>16</v>
      </c>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40-(G22+2)</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t="s">
        <v>3392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t="s">
        <v>3393</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t="s">
        <v>3394</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t="s">
        <v>3395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3452</v>
      </c>
      <c r="C38" s="2432"/>
      <c r="D38" s="2432"/>
      <c r="E38" s="2432" t="s">
        <v>3452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232.31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232.31</v>
      </c>
      <c r="H5" s="13">
        <f t="shared" ref="H5:AT5" si="0">SUM(H13:H656)</f>
        <v>232.31</v>
      </c>
      <c r="I5" s="13">
        <f t="shared" si="0"/>
        <v>232.31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232.31</v>
      </c>
      <c r="BA5" s="15">
        <f t="shared" si="1"/>
        <v>232.31</v>
      </c>
      <c r="BB5" s="15">
        <f t="shared" si="1"/>
        <v>232.31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3397</v>
      </c>
      <c r="E13" s="13">
        <f>IF($C$3="是",ROUND($A$3*G13/$B$3,2),ROUND($A$3*(G13-AT13)/$B$3,2))</f>
        <v>0</v>
      </c>
      <c r="F13" s="29"/>
      <c r="G13" s="30">
        <f>H13+AC13+AT13</f>
        <v>232.31</v>
      </c>
      <c r="H13" s="17">
        <f>SUMIF(I$12:AB$12,"总值",I13:AB13)</f>
        <v>232.31</v>
      </c>
      <c r="I13" s="1626">
        <v>232.31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232.31</v>
      </c>
      <c r="BA13" s="13">
        <f>SUM(BB13:BK13)</f>
        <v>232.31</v>
      </c>
      <c r="BB13" s="13">
        <f>IF($D13="是",I13-J13,0)</f>
        <v>232.31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232.31</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232.31</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232.31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232.31</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商业</v>
      </c>
      <c r="D19" s="45">
        <f>ROUND($D$3*E19/$E$3,2)</f>
        <v>0</v>
      </c>
      <c r="E19" s="53">
        <f t="shared" ref="E19:E26" si="1">SUM(F19:G19)</f>
        <v>232.31</v>
      </c>
      <c r="F19" s="2795">
        <f>'数据-基础表'!I13</f>
        <v>232.31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232.31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232.31</v>
      </c>
      <c r="F27" s="1140">
        <f>IF(SUM(F19:F26)=E8,SUM(F19:F26),"地上面积有误")</f>
        <v>232.31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232.31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232.31</v>
      </c>
      <c r="F31" s="677">
        <f>F27+F30</f>
        <v>232.31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21"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53618</v>
      </c>
      <c r="F6" s="64">
        <f>SUMIF(项目基本情况!C$12:I$12,C6,项目基本情况!C$15:I$15)</f>
        <v>22</v>
      </c>
      <c r="G6" s="65">
        <f>IF(ISERROR(ROUND(POWER(1+H6,D6-F6)*(POWER(1+H6,F6)-1)/(POWER(1+H6,D6)-1),3)),0,ROUND(POWER(1+H6,D6-F6)*(POWER(1+H6,F6)-1)/(POWER(1+H6,D6)-1),3))</f>
        <v>0.76700000000000002</v>
      </c>
      <c r="H6" s="732">
        <v>0.05</v>
      </c>
      <c r="I6" s="732">
        <v>5.5E-2</v>
      </c>
      <c r="J6" s="66">
        <v>7.0000000000000007E-2</v>
      </c>
      <c r="K6" s="1030">
        <f>SUMIF('数据-汇总表'!C$19:C$33,A6,'数据-汇总表'!E$19:E$33)</f>
        <v>232.31</v>
      </c>
      <c r="L6" s="733">
        <v>4500</v>
      </c>
      <c r="M6" s="67">
        <f t="shared" ref="M6:M14" si="0">ROUND(K6*L6/10000,0)</f>
        <v>105</v>
      </c>
      <c r="N6" s="731">
        <f>N20</f>
        <v>0.74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1.4999999999999999E-2</v>
      </c>
      <c r="W6" s="70">
        <v>0.1</v>
      </c>
      <c r="X6" s="1040"/>
      <c r="Y6" s="71">
        <f>N6</f>
        <v>0.74</v>
      </c>
      <c r="Z6" s="72"/>
      <c r="AA6" s="66"/>
      <c r="AB6" s="66"/>
      <c r="AC6" s="1040"/>
      <c r="AD6" s="73"/>
      <c r="AE6" s="1041">
        <f ca="1">IF(AN6="",0,SUMIF(INDIRECT("'"&amp;AN6&amp;"'"&amp;"!E:E"),$AE$5,INDIRECT("'"&amp;AN6&amp;"'"&amp;"!F:F")))</f>
        <v>22</v>
      </c>
      <c r="AF6" s="1348"/>
      <c r="AG6" s="138">
        <f>IF(AF6="",0,AE6-AF6)</f>
        <v>0</v>
      </c>
      <c r="AH6" s="74"/>
      <c r="AI6" s="76">
        <v>365</v>
      </c>
      <c r="AJ6" s="77"/>
      <c r="AK6" s="78">
        <v>5.0000000000000001E-3</v>
      </c>
      <c r="AL6" s="79">
        <v>1E-3</v>
      </c>
      <c r="AM6" s="80">
        <v>5.0000000000000001E-3</v>
      </c>
      <c r="AN6" s="1715" t="s">
        <v>3424</v>
      </c>
      <c r="AO6" s="52">
        <f ca="1">SUMIF(INDIRECT("'"&amp;AN6&amp;"'"&amp;"!A:A"),"总价",INDIRECT("'"&amp;AN6&amp;"'"&amp;"!B:B"))</f>
        <v>226.5068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0.76700000000000002</v>
      </c>
      <c r="H16" s="90">
        <f>ROUND(SUMPRODUCT(H6:H13,K6:K13)/SUMPRODUCT((H6:H13&gt;0)*(K6:K13)),3)</f>
        <v>0.05</v>
      </c>
      <c r="I16" s="91"/>
      <c r="J16" s="91"/>
      <c r="K16" s="92">
        <f>SUM(K6:K15)</f>
        <v>232.31</v>
      </c>
      <c r="L16" s="93">
        <f>ROUND(M16*10000/SUM(K6:K14),0)</f>
        <v>4520</v>
      </c>
      <c r="M16" s="93">
        <f>SUM(M6:M14)</f>
        <v>105</v>
      </c>
      <c r="N16" s="94">
        <f>ROUND(SUMPRODUCT(M6:M14,N6:N14)/M16,3)</f>
        <v>0.74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项目基本情况!G21</f>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v>0.5</v>
      </c>
      <c r="P18" s="2671"/>
      <c r="Q18" s="2671"/>
      <c r="R18" s="2671"/>
      <c r="S18" s="2671"/>
      <c r="T18" s="2675">
        <f>K6</f>
        <v>232.31</v>
      </c>
      <c r="U18" s="2671">
        <f>20000*12</f>
        <v>240000</v>
      </c>
      <c r="V18" s="2671">
        <f>U18/T18/365</f>
        <v>2.8304173155496644</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0.8</v>
      </c>
      <c r="O19" s="2671">
        <f>1-O18</f>
        <v>0.5</v>
      </c>
      <c r="P19" s="2671"/>
      <c r="Q19" s="2671"/>
      <c r="R19" s="2671"/>
      <c r="S19" s="2671"/>
      <c r="T19" s="2671"/>
      <c r="U19" s="2671">
        <v>180000</v>
      </c>
      <c r="V19" s="2671">
        <f>U19/T18/365</f>
        <v>2.122812986662248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ROUND(N18*O18+N19*O19,2)</f>
        <v>0.74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46462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3376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22" sqref="F2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232.31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45586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293</v>
      </c>
      <c r="C5" s="2512">
        <f ca="1">IF(B5=D14,结果表!H102,ROUND(B5*10000/$B$1,0))</f>
        <v>12612</v>
      </c>
      <c r="D5" s="2512" t="e">
        <f ca="1">ROUND(B5*10000/$B$2,0)</f>
        <v>#DIV/0!</v>
      </c>
      <c r="E5" s="2686"/>
      <c r="F5" s="2687"/>
      <c r="G5" s="2687"/>
      <c r="H5" s="2688"/>
      <c r="I5" s="2688"/>
      <c r="J5" s="2688"/>
      <c r="K5" s="2688"/>
    </row>
    <row r="6" spans="1:11" ht="16.5">
      <c r="A6" s="2512" t="s">
        <v>656</v>
      </c>
      <c r="B6" s="2512">
        <f ca="1">SUM(G14:G23)</f>
        <v>293</v>
      </c>
      <c r="C6" s="2512">
        <f ca="1">IF(B6=G14,结果表!H108,ROUND(B6*10000/$B$1,0))</f>
        <v>12612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232.31</v>
      </c>
      <c r="C14" s="2518"/>
      <c r="D14" s="2518">
        <f ca="1">结果表!H107</f>
        <v>293</v>
      </c>
      <c r="E14" s="2518">
        <f ca="1">ROUND(D14*10000/B14,0)</f>
        <v>12612</v>
      </c>
      <c r="F14" s="2518" t="e">
        <f ca="1">ROUND(D14*10000/C14,0)</f>
        <v>#DIV/0!</v>
      </c>
      <c r="G14" s="2518">
        <f ca="1">D14</f>
        <v>293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37" sqref="D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3457</v>
      </c>
      <c r="D4" s="1756" t="s">
        <v>3424</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4</v>
      </c>
      <c r="D14" s="3607">
        <v>6</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8" t="s">
        <v>2131</v>
      </c>
      <c r="F18" s="3639"/>
      <c r="G18" s="3639"/>
      <c r="H18" s="3639"/>
      <c r="I18" s="3639"/>
      <c r="K18" s="302" t="s">
        <v>1289</v>
      </c>
      <c r="L18" s="302">
        <f>IF(C1="",'数据-汇总表'!E3,SUMIF(项目类型,C1,'数据-汇总表'!E17:E26)+SUMIF(项目类型,C1,'数据-汇总表'!I17:I26))</f>
        <v>232.31</v>
      </c>
      <c r="M18" s="302">
        <f>IF(C1="",'数据-汇总表'!E3,SUMIF(项目类型,C1,'数据-汇总表'!E17:E26))</f>
        <v>232.31</v>
      </c>
    </row>
    <row r="19" spans="1:36" ht="15">
      <c r="A19" s="1761" t="s">
        <v>1290</v>
      </c>
      <c r="B19" s="1762" t="s">
        <v>1291</v>
      </c>
      <c r="C19" s="134">
        <f ca="1">SUMIF(INDIRECT("'"&amp;C4&amp;"'"&amp;"!A:A"),结果表!B19,INDIRECT("'"&amp;C4&amp;"'"&amp;"!B:B"))</f>
        <v>391.69409999999999</v>
      </c>
      <c r="D19" s="135">
        <f ca="1">SUMIF(INDIRECT("'"&amp;D4&amp;"'"&amp;"!A:A"),结果表!B19,INDIRECT("'"&amp;D4&amp;"'"&amp;"!B:B"))</f>
        <v>226.5068</v>
      </c>
      <c r="E19" s="1761" t="s">
        <v>1292</v>
      </c>
      <c r="F19" s="1762" t="s">
        <v>1291</v>
      </c>
      <c r="G19" s="136">
        <f ca="1">ROUND(C19*$C$18+D19*$D$18,0)</f>
        <v>293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16861</v>
      </c>
      <c r="D20" s="138">
        <f ca="1">SUMIF(INDIRECT("'"&amp;D4&amp;"'"&amp;"!A:A"),结果表!B20,INDIRECT("'"&amp;D4&amp;"'"&amp;"!B:B"))</f>
        <v>9750</v>
      </c>
      <c r="E20" s="1764"/>
      <c r="F20" s="1026" t="s">
        <v>1295</v>
      </c>
      <c r="G20" s="139">
        <f ca="1">ROUND(C20*$C$18+D20*$D$18,0)</f>
        <v>12594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0.72928185820469849</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v>1</v>
      </c>
      <c r="F26" s="129"/>
      <c r="G26" s="129">
        <f ca="1">G20/H26</f>
        <v>15742.5</v>
      </c>
      <c r="H26" s="129">
        <v>0.8</v>
      </c>
      <c r="I26" s="129"/>
    </row>
    <row r="27" spans="1:36" ht="14.25">
      <c r="A27" s="1771"/>
      <c r="B27" s="142">
        <v>0</v>
      </c>
      <c r="C27" s="142">
        <v>0</v>
      </c>
      <c r="D27" s="143">
        <f>ROUND(C27*B27/10000,0)</f>
        <v>0</v>
      </c>
      <c r="E27" s="129">
        <v>0.6</v>
      </c>
      <c r="F27" s="129"/>
      <c r="G27" s="129"/>
      <c r="H27" s="129"/>
      <c r="I27" s="129"/>
    </row>
    <row r="28" spans="1:36" ht="14.25">
      <c r="A28" s="1771"/>
      <c r="B28" s="142"/>
      <c r="C28" s="142"/>
      <c r="D28" s="143"/>
      <c r="E28" s="129">
        <f>(E26+E27)/2</f>
        <v>0.8</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293</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取值（总价）</v>
      </c>
      <c r="G33" s="129"/>
      <c r="H33" s="129"/>
      <c r="I33" s="129"/>
    </row>
    <row r="34" spans="1:15" ht="15">
      <c r="A34" s="1781"/>
      <c r="B34" s="1782" t="s">
        <v>1308</v>
      </c>
      <c r="C34" s="148">
        <f ca="1">IF(C33="自定义",F34,C32-C35)</f>
        <v>292</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1</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293</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45586</v>
      </c>
      <c r="N47" s="3551"/>
      <c r="O47" s="3551"/>
    </row>
    <row r="48" spans="1:15" ht="25.5">
      <c r="A48" s="3611" t="s">
        <v>1338</v>
      </c>
      <c r="B48" s="3612"/>
      <c r="C48" s="3612"/>
      <c r="D48" s="2324">
        <f ca="1">IF(H48="情况1",0,IF(H48="情况2",D52,IF(H48="情况3",D53,IF(H48="情况4",D54))))</f>
        <v>15</v>
      </c>
      <c r="E48" s="2334" t="str">
        <f>IF(H48="情况4","(销售额-原购置价)×税（费）率","销售额×税（费）率")</f>
        <v>销售额×税（费）率</v>
      </c>
      <c r="F48" s="2548">
        <f>IF(H48="情况1","免征",'数据-取费表'!B41)</f>
        <v>5.5000000000000007E-2</v>
      </c>
      <c r="G48" s="2549" t="s">
        <v>1339</v>
      </c>
      <c r="H48" s="2550" t="s">
        <v>3414</v>
      </c>
      <c r="I48" s="1806"/>
      <c r="J48" s="2523">
        <v>3</v>
      </c>
      <c r="K48" s="3549" t="s">
        <v>1340</v>
      </c>
      <c r="L48" s="3549"/>
      <c r="M48" s="3552">
        <f ca="1">H101</f>
        <v>293</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293</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15</v>
      </c>
      <c r="E52" s="2334" t="s">
        <v>1354</v>
      </c>
      <c r="F52" s="2554">
        <f>'数据-取费表'!B41</f>
        <v>5.5000000000000007E-2</v>
      </c>
      <c r="G52" s="2555"/>
      <c r="H52" s="2544"/>
      <c r="I52" s="1807"/>
      <c r="J52" s="2523">
        <v>1</v>
      </c>
      <c r="K52" s="3574" t="s">
        <v>1355</v>
      </c>
      <c r="L52" s="3574"/>
      <c r="M52" s="2525">
        <f ca="1">D48</f>
        <v>15</v>
      </c>
      <c r="N52" s="2523" t="str">
        <f>E48</f>
        <v>销售额×税（费）率</v>
      </c>
      <c r="O52" s="2526">
        <f>F48</f>
        <v>5.5000000000000007E-2</v>
      </c>
    </row>
    <row r="53" spans="1:35" ht="12" customHeight="1">
      <c r="A53" s="2335" t="s">
        <v>1356</v>
      </c>
      <c r="B53" s="3598" t="s">
        <v>2291</v>
      </c>
      <c r="C53" s="3599"/>
      <c r="D53" s="1087">
        <f ca="1">ROUND(D45*'数据-取费表'!B41/(1+'数据-取费表'!C42),0)</f>
        <v>15</v>
      </c>
      <c r="E53" s="2334" t="s">
        <v>1354</v>
      </c>
      <c r="F53" s="2554">
        <f>'数据-取费表'!B41</f>
        <v>5.5000000000000007E-2</v>
      </c>
      <c r="G53" s="2555"/>
      <c r="H53" s="2544"/>
      <c r="I53" s="1807"/>
      <c r="J53" s="2523">
        <v>2</v>
      </c>
      <c r="K53" s="3574" t="s">
        <v>1357</v>
      </c>
      <c r="L53" s="3574"/>
      <c r="M53" s="2525">
        <f t="shared" ref="M53:O54" ca="1" si="0">D55</f>
        <v>0</v>
      </c>
      <c r="N53" s="2523" t="str">
        <f t="shared" si="0"/>
        <v>销售额×税（费）率</v>
      </c>
      <c r="O53" s="2526">
        <f t="shared" si="0"/>
        <v>5.0000000000000001E-4</v>
      </c>
    </row>
    <row r="54" spans="1:35" ht="12" customHeight="1">
      <c r="A54" s="2335" t="s">
        <v>1358</v>
      </c>
      <c r="B54" s="3598" t="s">
        <v>2292</v>
      </c>
      <c r="C54" s="3599"/>
      <c r="D54" s="1087">
        <f ca="1">C68</f>
        <v>15</v>
      </c>
      <c r="E54" s="327" t="s">
        <v>1359</v>
      </c>
      <c r="F54" s="2554">
        <f>'数据-取费表'!B41</f>
        <v>5.5000000000000007E-2</v>
      </c>
      <c r="G54" s="2555"/>
      <c r="H54" s="2556"/>
      <c r="I54" s="1807"/>
      <c r="J54" s="2523">
        <v>3</v>
      </c>
      <c r="K54" s="3574" t="s">
        <v>1360</v>
      </c>
      <c r="L54" s="3574"/>
      <c r="M54" s="2525">
        <f t="shared" ca="1" si="0"/>
        <v>0</v>
      </c>
      <c r="N54" s="2523" t="str">
        <f t="shared" si="0"/>
        <v>增值额×税（费）率</v>
      </c>
      <c r="O54" s="2527" t="str">
        <f t="shared" si="0"/>
        <v>——</v>
      </c>
    </row>
    <row r="55" spans="1:35" ht="24" customHeight="1">
      <c r="A55" s="3634" t="s">
        <v>1361</v>
      </c>
      <c r="B55" s="3612"/>
      <c r="C55" s="3612"/>
      <c r="D55" s="2324">
        <f ca="1">IF(H55="个人住宅",0,ROUND(D45*I55,0))</f>
        <v>0</v>
      </c>
      <c r="E55" s="2334" t="s">
        <v>1362</v>
      </c>
      <c r="F55" s="2554">
        <f>IF(H55="正常",I55,"免征")</f>
        <v>5.0000000000000001E-4</v>
      </c>
      <c r="G55" s="2555"/>
      <c r="H55" s="2550" t="s">
        <v>3415</v>
      </c>
      <c r="I55" s="165">
        <f>'数据-取费表'!B49</f>
        <v>5.0000000000000001E-4</v>
      </c>
      <c r="J55" s="2523" t="str">
        <f>IF(H59="非个人房产","",4)</f>
        <v/>
      </c>
      <c r="K55" s="3574" t="str">
        <f>IF(H59="非个人房产","——","个人所得税")</f>
        <v>——</v>
      </c>
      <c r="L55" s="3574"/>
      <c r="M55" s="2528" t="str">
        <f>D59</f>
        <v>——</v>
      </c>
      <c r="N55" s="2040" t="str">
        <f>E59</f>
        <v>——</v>
      </c>
      <c r="O55" s="2529" t="str">
        <f>F59</f>
        <v>——</v>
      </c>
    </row>
    <row r="56" spans="1:35" ht="24.75">
      <c r="A56" s="3634" t="s">
        <v>1363</v>
      </c>
      <c r="B56" s="3612"/>
      <c r="C56" s="3612"/>
      <c r="D56" s="2324">
        <f ca="1">IF(H56="个人住宅",D57,D58)</f>
        <v>0</v>
      </c>
      <c r="E56" s="2334" t="s">
        <v>1364</v>
      </c>
      <c r="F56" s="2554" t="str">
        <f>IF(H56="正常",F58,"免征")</f>
        <v>——</v>
      </c>
      <c r="G56" s="2557" t="s">
        <v>1365</v>
      </c>
      <c r="H56" s="2558" t="s">
        <v>3415</v>
      </c>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4</v>
      </c>
      <c r="K57" s="3574" t="s">
        <v>1367</v>
      </c>
      <c r="L57" s="2530" t="s">
        <v>1368</v>
      </c>
      <c r="M57" s="2531"/>
      <c r="N57" s="2532">
        <f ca="1">SUMIF(M52:M56,"&lt;9e307")</f>
        <v>15</v>
      </c>
      <c r="O57" s="2533"/>
      <c r="P57" s="2690">
        <f ca="1">N57/M49</f>
        <v>5.1194539249146756E-2</v>
      </c>
    </row>
    <row r="58" spans="1:35" ht="24.75">
      <c r="A58" s="2335" t="s">
        <v>1352</v>
      </c>
      <c r="B58" s="3598" t="s">
        <v>1369</v>
      </c>
      <c r="C58" s="3597"/>
      <c r="D58" s="2324">
        <f ca="1">IF(H58="转让取得",C81,C97)</f>
        <v>0</v>
      </c>
      <c r="E58" s="2334" t="s">
        <v>1364</v>
      </c>
      <c r="F58" s="302" t="s">
        <v>28</v>
      </c>
      <c r="G58" s="2555"/>
      <c r="H58" s="2558" t="s">
        <v>3416</v>
      </c>
      <c r="I58" s="1808"/>
      <c r="J58" s="3574"/>
      <c r="K58" s="3574"/>
      <c r="L58" s="2530" t="s">
        <v>1370</v>
      </c>
      <c r="M58" s="2534"/>
      <c r="N58" s="2535" t="str">
        <f ca="1">NUMBERSTRING(INT(N57*10000),2)&amp;"元整"</f>
        <v>壹拾伍万元整</v>
      </c>
      <c r="O58" s="2536"/>
    </row>
    <row r="59" spans="1:35" ht="24.75" thickBot="1">
      <c r="A59" s="3578" t="s">
        <v>1371</v>
      </c>
      <c r="B59" s="3579"/>
      <c r="C59" s="357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3417</v>
      </c>
      <c r="I59" s="2313" t="s">
        <v>2137</v>
      </c>
      <c r="J59" s="3576">
        <f>J57+1</f>
        <v>5</v>
      </c>
      <c r="K59" s="3574" t="s">
        <v>1372</v>
      </c>
      <c r="L59" s="2523" t="s">
        <v>1368</v>
      </c>
      <c r="M59" s="2537"/>
      <c r="N59" s="2538">
        <f ca="1">M49-N57</f>
        <v>278</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贰佰柒拾捌万元整</v>
      </c>
      <c r="O60" s="2536"/>
    </row>
    <row r="61" spans="1:35" ht="13.5" thickBot="1">
      <c r="A61" s="3633" t="s">
        <v>1373</v>
      </c>
      <c r="B61" s="3633"/>
      <c r="C61" s="3633"/>
      <c r="D61" s="3633"/>
      <c r="E61" s="3633"/>
      <c r="F61" s="1808"/>
      <c r="G61" s="1808"/>
      <c r="H61" s="1810"/>
      <c r="I61" s="129"/>
      <c r="J61" s="2523">
        <f>J59+1</f>
        <v>6</v>
      </c>
      <c r="K61" s="3574" t="s">
        <v>1374</v>
      </c>
      <c r="L61" s="3574"/>
      <c r="M61" s="2540"/>
      <c r="N61" s="2541">
        <f ca="1">ROUND(N59*10000/'数据-汇总表'!E3,0)</f>
        <v>11967</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279</v>
      </c>
      <c r="D63" s="167"/>
      <c r="E63" s="168"/>
      <c r="F63" s="1808"/>
      <c r="G63" s="1808"/>
      <c r="H63" s="1810"/>
      <c r="I63" s="129"/>
      <c r="J63" s="3557" t="s">
        <v>1379</v>
      </c>
      <c r="K63" s="1332" t="s">
        <v>1380</v>
      </c>
      <c r="L63" s="1332">
        <f ca="1">IF(M49&gt;10000,M49*0.5%,IF(AND(M49&gt;1000,M49&lt;=10000),M49*1%,IF(AND(M49&gt;100,M49&lt;=1000),M49*3%,IF(AND(M49&gt;10,M49&lt;=100),M49*5%,M49*8%))))</f>
        <v>8.7899999999999991</v>
      </c>
      <c r="M63" s="302">
        <f ca="1">ROUND(L63,1)</f>
        <v>8.8000000000000007</v>
      </c>
      <c r="N63" s="2543"/>
      <c r="Z63" s="1752"/>
      <c r="AI63" s="1753"/>
    </row>
    <row r="64" spans="1:35" ht="14.25" customHeight="1">
      <c r="A64" s="169" t="s">
        <v>325</v>
      </c>
      <c r="B64" s="170" t="s">
        <v>1381</v>
      </c>
      <c r="C64" s="2565">
        <f ca="1">D45</f>
        <v>293</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2.3439999999999999</v>
      </c>
      <c r="M64" s="302">
        <f t="shared" ref="M64:M65" ca="1" si="1">ROUND(L64,1)</f>
        <v>2.2999999999999998</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2.93</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1.4650000000000001</v>
      </c>
      <c r="M66" s="302">
        <f ca="1">IF(L66&gt;0.5,0.5,ROUND(L66,0))</f>
        <v>0.5</v>
      </c>
      <c r="N66" s="2544" t="s">
        <v>1388</v>
      </c>
      <c r="Z66" s="1752"/>
      <c r="AI66" s="1753"/>
    </row>
    <row r="67" spans="1:35" ht="14.25" customHeight="1">
      <c r="A67" s="173" t="s">
        <v>328</v>
      </c>
      <c r="B67" s="174" t="s">
        <v>1389</v>
      </c>
      <c r="C67" s="2568">
        <f ca="1">C63-C66</f>
        <v>279</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0.98249999999999993</v>
      </c>
      <c r="M67" s="302">
        <f ca="1">ROUND(L67*0.9,1)</f>
        <v>0.9</v>
      </c>
      <c r="N67" s="2543"/>
      <c r="Z67" s="1752"/>
      <c r="AI67" s="1753"/>
    </row>
    <row r="68" spans="1:35" ht="14.25" customHeight="1" thickBot="1">
      <c r="A68" s="176" t="s">
        <v>329</v>
      </c>
      <c r="B68" s="177" t="s">
        <v>1391</v>
      </c>
      <c r="C68" s="2569">
        <f ca="1">IF(C67&lt;=0,0,ROUND(C67*D68,0))</f>
        <v>15</v>
      </c>
      <c r="D68" s="2570">
        <f>'数据-取费表'!B41</f>
        <v>5.5000000000000007E-2</v>
      </c>
      <c r="E68" s="178"/>
      <c r="F68" s="1808"/>
      <c r="G68" s="1808"/>
      <c r="H68" s="1810"/>
      <c r="I68" s="129"/>
      <c r="J68" s="3557"/>
      <c r="K68" s="1332" t="s">
        <v>1392</v>
      </c>
      <c r="L68" s="1332">
        <f ca="1">IF(M49&gt;10000,M49*0.5%,IF(AND(M49&gt;5000,M49&lt;=10000),M49*1%,IF(AND(M49&gt;1000,M49&lt;=5000),M49*2%,IF(AND(M49&gt;200,M49&lt;=1000),M49*3%,M49*5%))))</f>
        <v>8.7899999999999991</v>
      </c>
      <c r="M68" s="302">
        <f ca="1">ROUND(L68,1)</f>
        <v>8.8000000000000007</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24</v>
      </c>
      <c r="N69" s="2545">
        <f ca="1">M69/M49</f>
        <v>8.191126279863481E-2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2830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2061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2000</v>
      </c>
      <c r="D88" s="2577"/>
      <c r="E88" s="193" t="s">
        <v>1413</v>
      </c>
      <c r="F88" s="2327"/>
      <c r="G88" s="194" t="s">
        <v>1414</v>
      </c>
      <c r="H88" s="1824" t="s">
        <v>3413</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61</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115</v>
      </c>
      <c r="D91" s="2577"/>
      <c r="E91" s="3590" t="s">
        <v>1419</v>
      </c>
      <c r="F91" s="3591"/>
      <c r="G91" s="359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218</v>
      </c>
      <c r="D92" s="2583">
        <v>0.1</v>
      </c>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435</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成本法 (元)</v>
      </c>
      <c r="D101" s="2586" t="str">
        <f>D4</f>
        <v>收益法 (元)</v>
      </c>
      <c r="E101" s="3553" t="s">
        <v>1431</v>
      </c>
      <c r="F101" s="3554"/>
      <c r="G101" s="1827" t="s">
        <v>1432</v>
      </c>
      <c r="H101" s="2595">
        <f ca="1">H118</f>
        <v>293</v>
      </c>
      <c r="I101" s="129"/>
    </row>
    <row r="102" spans="1:35" ht="18.75" customHeight="1">
      <c r="A102" s="3585" t="s">
        <v>1433</v>
      </c>
      <c r="B102" s="2584" t="s">
        <v>1432</v>
      </c>
      <c r="C102" s="2585">
        <f ca="1">IF(D32="楼面单价",ROUND(C19,0),C19)</f>
        <v>391.69409999999999</v>
      </c>
      <c r="D102" s="2586">
        <f ca="1">IF(D32="楼面单价",ROUND(D19,0),D19)</f>
        <v>226.5068</v>
      </c>
      <c r="E102" s="3553"/>
      <c r="F102" s="3554"/>
      <c r="G102" s="1827" t="s">
        <v>1434</v>
      </c>
      <c r="H102" s="2555">
        <f ca="1">I118</f>
        <v>12612</v>
      </c>
      <c r="I102" s="129"/>
    </row>
    <row r="103" spans="1:35" ht="42.75" customHeight="1">
      <c r="A103" s="3585"/>
      <c r="B103" s="2584" t="s">
        <v>1434</v>
      </c>
      <c r="C103" s="2587">
        <f ca="1">C20</f>
        <v>16861</v>
      </c>
      <c r="D103" s="2588">
        <f ca="1">D20</f>
        <v>9750</v>
      </c>
      <c r="E103" s="3546" t="s">
        <v>1435</v>
      </c>
      <c r="F103" s="3547"/>
      <c r="G103" s="1828" t="s">
        <v>1436</v>
      </c>
      <c r="H103" s="2595">
        <f>IF(D36="正常操作",H104+H105+H106,H105+H106)</f>
        <v>0</v>
      </c>
      <c r="I103" s="129"/>
    </row>
    <row r="104" spans="1:35" ht="18.75" customHeight="1">
      <c r="A104" s="3585" t="s">
        <v>1437</v>
      </c>
      <c r="B104" s="2589" t="s">
        <v>1432</v>
      </c>
      <c r="C104" s="2590">
        <f ca="1">H118</f>
        <v>293</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12612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293</v>
      </c>
      <c r="I107" s="129"/>
    </row>
    <row r="108" spans="1:35" ht="18.75" customHeight="1">
      <c r="A108" s="129"/>
      <c r="B108" s="129"/>
      <c r="C108" s="129"/>
      <c r="D108" s="129"/>
      <c r="E108" s="3586"/>
      <c r="F108" s="3554"/>
      <c r="G108" s="1827" t="s">
        <v>1434</v>
      </c>
      <c r="H108" s="2555">
        <f ca="1">IF(H107=H101,H102,ROUND(H107*10000/'数据-汇总表'!E3,0))</f>
        <v>12612</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232.31</v>
      </c>
      <c r="C118" s="2329">
        <f>M19</f>
        <v>0</v>
      </c>
      <c r="D118" s="2329">
        <f ca="1">ROUND(IF(D32="总价",C34,E118*B118/10000),0)</f>
        <v>292</v>
      </c>
      <c r="E118" s="2329">
        <f ca="1">ROUND(IF(C33="自定义",IF(D32="楼面单价",C34,D118*10000/B118),I118-G118),0)</f>
        <v>12569</v>
      </c>
      <c r="F118" s="2329">
        <f ca="1">ROUND(IF(D32="总价",C35,G118*B118/10000),0)</f>
        <v>1</v>
      </c>
      <c r="G118" s="2329">
        <f ca="1">ROUND(IF(D32="楼面单价",C35,F118*10000/B118),0)</f>
        <v>43</v>
      </c>
      <c r="H118" s="2329">
        <f ca="1">ROUND(IF(D32="总价",C32,I118*B118/10000),0)</f>
        <v>293</v>
      </c>
      <c r="I118" s="2329">
        <f ca="1">ROUND(IF(D32="楼面单价",C32,H118*10000/B118),0)</f>
        <v>12612</v>
      </c>
    </row>
    <row r="119" spans="1:27" ht="18.75" customHeight="1">
      <c r="A119" s="3561" t="s">
        <v>1452</v>
      </c>
      <c r="B119" s="3561"/>
      <c r="C119" s="3561"/>
      <c r="D119" s="3567" t="str">
        <f ca="1">NUMBERSTRING(INT(D118*10000),2)&amp;"元整"</f>
        <v>贰佰玖拾贰万元整</v>
      </c>
      <c r="E119" s="3568"/>
      <c r="F119" s="3567" t="str">
        <f ca="1">NUMBERSTRING(INT(F118*10000),2)&amp;"元整"</f>
        <v>壹万元整</v>
      </c>
      <c r="G119" s="3568"/>
      <c r="H119" s="3567" t="str">
        <f ca="1">NUMBERSTRING(INT(H118*10000),2)&amp;"元整"</f>
        <v>贰佰玖拾叁万元整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293</v>
      </c>
      <c r="E122" s="3563"/>
      <c r="F122" s="3563"/>
      <c r="G122" s="3563"/>
      <c r="H122" s="3563"/>
      <c r="I122" s="3564"/>
      <c r="AA122" s="725"/>
    </row>
    <row r="123" spans="1:27" ht="18.75" customHeight="1">
      <c r="A123" s="3561" t="s">
        <v>1452</v>
      </c>
      <c r="B123" s="3561"/>
      <c r="C123" s="3561"/>
      <c r="D123" s="3567" t="str">
        <f ca="1">NUMBERSTRING(INT(D122*10000),2)&amp;"元整"</f>
        <v>贰佰玖拾叁万元整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64929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2794929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46462</v>
      </c>
      <c r="D5" s="211" t="s">
        <v>1469</v>
      </c>
      <c r="E5" s="212" t="s">
        <v>1470</v>
      </c>
      <c r="F5" s="212" t="s">
        <v>1471</v>
      </c>
      <c r="G5" s="213"/>
    </row>
    <row r="6" spans="1:9" s="214" customFormat="1" ht="13.5" customHeight="1">
      <c r="A6" s="778" t="s">
        <v>1472</v>
      </c>
      <c r="B6" s="215" t="s">
        <v>1473</v>
      </c>
      <c r="C6" s="216">
        <f>基准地价修正!B2</f>
        <v>0</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46462</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232.31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232.31</v>
      </c>
      <c r="E19" s="211">
        <f>'数据-取费表'!B31</f>
        <v>200</v>
      </c>
      <c r="F19" s="231"/>
      <c r="G19" s="1856" t="s">
        <v>3406</v>
      </c>
    </row>
    <row r="20" spans="1:7" s="214" customFormat="1" ht="13.5" customHeight="1">
      <c r="A20" s="255" t="s">
        <v>1493</v>
      </c>
      <c r="B20" s="210" t="s">
        <v>1494</v>
      </c>
      <c r="C20" s="232">
        <f ca="1">ROUND((C5+C19)*F20,0)</f>
        <v>929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2954</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9478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9478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64814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232.31</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5.9999999999999995E-4</v>
      </c>
      <c r="D44" s="238"/>
      <c r="E44" s="238"/>
      <c r="F44" s="239"/>
      <c r="G44" s="3642"/>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80" t="s">
        <v>346</v>
      </c>
      <c r="B46" s="248" t="s">
        <v>1549</v>
      </c>
      <c r="C46" s="249">
        <f ca="1">ROUND((C33+C39)*F27,0)</f>
        <v>23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115</v>
      </c>
      <c r="D51" s="232"/>
      <c r="E51" s="232"/>
      <c r="F51" s="264"/>
      <c r="G51" s="234" t="s">
        <v>1560</v>
      </c>
    </row>
    <row r="52" spans="1:7" s="208" customFormat="1" ht="16.5" thickBot="1">
      <c r="A52" s="265" t="s">
        <v>1561</v>
      </c>
      <c r="B52" s="266"/>
      <c r="C52" s="267">
        <f ca="1">C31+C51</f>
        <v>64929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391.69409999999999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16861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1982214</v>
      </c>
      <c r="D5" s="211" t="s">
        <v>1469</v>
      </c>
      <c r="E5" s="212" t="s">
        <v>1470</v>
      </c>
      <c r="F5" s="212" t="s">
        <v>1471</v>
      </c>
      <c r="G5" s="213"/>
    </row>
    <row r="6" spans="1:8" s="214" customFormat="1" ht="13.5" customHeight="1">
      <c r="A6" s="778" t="s">
        <v>1472</v>
      </c>
      <c r="B6" s="215" t="s">
        <v>1473</v>
      </c>
      <c r="C6" s="216">
        <f>ROUND(基准地价修正!C33*基准地价修正!D33,0)</f>
        <v>1878459</v>
      </c>
      <c r="D6" s="217"/>
      <c r="E6" s="218"/>
      <c r="F6" s="218"/>
      <c r="G6" s="219"/>
    </row>
    <row r="7" spans="1:8" s="214" customFormat="1" ht="13.5" customHeight="1">
      <c r="A7" s="778" t="s">
        <v>1474</v>
      </c>
      <c r="B7" s="215" t="s">
        <v>1475</v>
      </c>
      <c r="C7" s="220">
        <f>ROUND(C6*F7,0)</f>
        <v>57293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46462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46462</v>
      </c>
      <c r="D10" s="845">
        <f ca="1">IF(B1="",'数据-汇总表'!E6,IF(INDIRECT("'数据-取费表'!c"&amp;$G$1)="住宅",INDIRECT("'数据-取费表'!s"&amp;$G$1),INDIRECT("'数据-取费表'!k"&amp;$G$1)+INDIRECT("'数据-取费表'!s"&amp;$G$1)))</f>
        <v>232.31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232.31</v>
      </c>
      <c r="E19" s="211">
        <f>'数据-取费表'!B31</f>
        <v>200</v>
      </c>
      <c r="F19" s="231"/>
      <c r="G19" s="1856" t="s">
        <v>3406</v>
      </c>
    </row>
    <row r="20" spans="1:7" s="214" customFormat="1" ht="13.5" customHeight="1">
      <c r="A20" s="255" t="s">
        <v>1574</v>
      </c>
      <c r="B20" s="210" t="s">
        <v>1575</v>
      </c>
      <c r="C20" s="232">
        <f ca="1">ROUND((C5+C19)*F20,0)</f>
        <v>39644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126031</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124802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1229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404372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404372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2765180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1144127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1045395</v>
      </c>
      <c r="D34" s="217"/>
      <c r="E34" s="220"/>
      <c r="F34" s="257"/>
      <c r="G34" s="219"/>
    </row>
    <row r="35" spans="1:7" ht="13.5" customHeight="1">
      <c r="A35" s="780" t="s">
        <v>351</v>
      </c>
      <c r="B35" s="215" t="s">
        <v>1527</v>
      </c>
      <c r="C35" s="220">
        <f ca="1">ROUND(C34*F35,0)</f>
        <v>31362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46462</v>
      </c>
      <c r="D37" s="217">
        <f ca="1">D19</f>
        <v>232.31</v>
      </c>
      <c r="E37" s="249">
        <f>'数据-取费表'!B35</f>
        <v>200</v>
      </c>
      <c r="F37" s="259"/>
      <c r="G37" s="261"/>
    </row>
    <row r="38" spans="1:7" ht="13.5" customHeight="1">
      <c r="A38" s="780" t="s">
        <v>354</v>
      </c>
      <c r="B38" s="215" t="s">
        <v>1533</v>
      </c>
      <c r="C38" s="220">
        <f ca="1">ROUND(C34*F38,0)</f>
        <v>20908</v>
      </c>
      <c r="D38" s="220"/>
      <c r="E38" s="220"/>
      <c r="F38" s="259">
        <f>'数据-取费表'!B36</f>
        <v>0.02</v>
      </c>
      <c r="G38" s="219" t="s">
        <v>1528</v>
      </c>
    </row>
    <row r="39" spans="1:7" s="214" customFormat="1" ht="13.5" customHeight="1">
      <c r="A39" s="255" t="s">
        <v>1534</v>
      </c>
      <c r="B39" s="210" t="s">
        <v>1535</v>
      </c>
      <c r="C39" s="232">
        <f ca="1">ROUND(C33*F20,0)</f>
        <v>22883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36177</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35468</v>
      </c>
      <c r="D42" s="238"/>
      <c r="E42" s="238"/>
      <c r="F42" s="239"/>
      <c r="G42" s="3640" t="s">
        <v>1591</v>
      </c>
    </row>
    <row r="43" spans="1:7" ht="13.5" customHeight="1">
      <c r="A43" s="780" t="s">
        <v>347</v>
      </c>
      <c r="B43" s="215" t="s">
        <v>1545</v>
      </c>
      <c r="C43" s="238">
        <f ca="1">ROUND(IF('数据-取费表'!B22&lt;=1,C39*F22*'数据-取费表'!B20/2,C39*(POWER((1+F22),'数据-取费表'!B20/2)-1)),0)</f>
        <v>709</v>
      </c>
      <c r="D43" s="238"/>
      <c r="E43" s="238"/>
      <c r="F43" s="239"/>
      <c r="G43" s="3641"/>
    </row>
    <row r="44" spans="1:7" ht="13.5" customHeight="1">
      <c r="A44" s="780" t="s">
        <v>348</v>
      </c>
      <c r="B44" s="215" t="s">
        <v>1546</v>
      </c>
      <c r="C44" s="238">
        <f ca="1">ROUND(IF('数据-取费表'!B22&lt;=1,C40*F22*'数据-取费表'!B20/2,C40*(POWER((1+F22),'数据-取费表'!B20/2)-1)),4)</f>
        <v>5.9999999999999995E-4</v>
      </c>
      <c r="D44" s="238"/>
      <c r="E44" s="238"/>
      <c r="F44" s="239"/>
      <c r="G44" s="3642"/>
    </row>
    <row r="45" spans="1:7" s="214" customFormat="1" ht="13.5" customHeight="1">
      <c r="A45" s="255" t="s">
        <v>1547</v>
      </c>
      <c r="B45" s="244" t="s">
        <v>1513</v>
      </c>
      <c r="C45" s="245">
        <f ca="1">C46</f>
        <v>233402</v>
      </c>
      <c r="D45" s="235">
        <f ca="1">C47</f>
        <v>4.0000000000000001E-3</v>
      </c>
      <c r="E45" s="236" t="s">
        <v>1539</v>
      </c>
      <c r="F45" s="246">
        <f ca="1">F27</f>
        <v>0.2</v>
      </c>
      <c r="G45" s="247" t="s">
        <v>1548</v>
      </c>
    </row>
    <row r="46" spans="1:7" s="214" customFormat="1" ht="13.5" customHeight="1">
      <c r="A46" s="780" t="s">
        <v>346</v>
      </c>
      <c r="B46" s="248" t="s">
        <v>1549</v>
      </c>
      <c r="C46" s="249">
        <f ca="1">ROUND((C33+C39)*F27,0)</f>
        <v>233402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1556434</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1151761</v>
      </c>
      <c r="D51" s="232"/>
      <c r="E51" s="232"/>
      <c r="F51" s="264"/>
      <c r="G51" s="234" t="s">
        <v>1560</v>
      </c>
    </row>
    <row r="52" spans="1:7" s="208" customFormat="1" ht="16.5" thickBot="1">
      <c r="A52" s="265" t="s">
        <v>1561</v>
      </c>
      <c r="B52" s="266"/>
      <c r="C52" s="267">
        <f ca="1">C31+C51</f>
        <v>3916941</v>
      </c>
      <c r="D52" s="266"/>
      <c r="E52" s="266"/>
      <c r="F52" s="266"/>
      <c r="G52" s="268"/>
    </row>
    <row r="55" spans="1:7" ht="15">
      <c r="B55" s="270" t="s">
        <v>1562</v>
      </c>
      <c r="C55" s="271"/>
    </row>
    <row r="56" spans="1:7">
      <c r="B56" s="273" t="s">
        <v>802</v>
      </c>
      <c r="C56" s="275">
        <f ca="1">1-C57</f>
        <v>0.70599999999999996</v>
      </c>
    </row>
    <row r="57" spans="1:7">
      <c r="B57" s="273" t="s">
        <v>803</v>
      </c>
      <c r="C57" s="274">
        <f ca="1">ROUND(C51/C52,3)</f>
        <v>0.29399999999999998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55260</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232.31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232.31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-46457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232.31</v>
      </c>
      <c r="E20" s="21">
        <f>'数据-取费表'!B28</f>
        <v>200</v>
      </c>
      <c r="F20" s="804"/>
      <c r="G20" s="12"/>
      <c r="H20" s="809"/>
      <c r="I20" s="809"/>
      <c r="J20" s="809"/>
      <c r="K20" s="810"/>
    </row>
    <row r="21" spans="1:33" s="803" customFormat="1" ht="13.5" customHeight="1">
      <c r="A21" s="790" t="s">
        <v>357</v>
      </c>
      <c r="B21" s="813" t="s">
        <v>1628</v>
      </c>
      <c r="C21" s="814">
        <f ca="1">C16+C17+C18</f>
        <v>-46457</v>
      </c>
      <c r="D21" s="815"/>
      <c r="E21" s="281"/>
      <c r="F21" s="281"/>
      <c r="G21" s="131" t="s">
        <v>1629</v>
      </c>
      <c r="H21" s="807"/>
      <c r="I21" s="807"/>
      <c r="J21" s="807"/>
      <c r="K21" s="808"/>
    </row>
    <row r="22" spans="1:33" s="803" customFormat="1" ht="13.5" customHeight="1">
      <c r="A22" s="790" t="s">
        <v>1601</v>
      </c>
      <c r="B22" s="813" t="s">
        <v>1630</v>
      </c>
      <c r="C22" s="814">
        <f ca="1">ROUND(C21*F22,0)</f>
        <v>-929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-9477</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-9477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55260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5" t="s">
        <v>694</v>
      </c>
      <c r="C6" s="1074" t="e">
        <f ca="1">ROUND(F6*F8*F7*(1-F9)/10000,0)</f>
        <v>#N/A</v>
      </c>
      <c r="D6" s="155" t="s">
        <v>2109</v>
      </c>
      <c r="E6" s="302" t="s">
        <v>696</v>
      </c>
      <c r="F6" s="303" t="e">
        <f ca="1">INDIRECT("'数据-取费表'!u"&amp;$G$1)</f>
        <v>#N/A</v>
      </c>
      <c r="G6" s="1384"/>
      <c r="H6" s="1069" t="s">
        <v>398</v>
      </c>
      <c r="I6" s="3645" t="s">
        <v>694</v>
      </c>
      <c r="J6" s="301" t="e">
        <f ca="1">ROUND(M6*M8*M7*(1-M9)/10000,0)</f>
        <v>#N/A</v>
      </c>
      <c r="K6" s="155" t="s">
        <v>2108</v>
      </c>
      <c r="L6" s="302" t="s">
        <v>696</v>
      </c>
      <c r="M6" s="303" t="e">
        <f ca="1">INDIRECT("'数据-取费表'!z"&amp;$G$1)</f>
        <v>#N/A</v>
      </c>
    </row>
    <row r="7" spans="1:37" ht="18" customHeight="1">
      <c r="A7" s="1073"/>
      <c r="B7" s="3646"/>
      <c r="C7" s="1075"/>
      <c r="D7" s="307"/>
      <c r="E7" s="1076" t="s">
        <v>697</v>
      </c>
      <c r="F7" s="303" t="e">
        <f ca="1">IF(INDIRECT("'数据-取费表'!ah"&amp;$G$1)="",INDIRECT("'数据-取费表'!k"&amp;$G$1),INDIRECT("'数据-取费表'!ah"&amp;$G$1))</f>
        <v>#N/A</v>
      </c>
      <c r="G7" s="1384"/>
      <c r="H7" s="304"/>
      <c r="I7" s="3646"/>
      <c r="J7" s="306"/>
      <c r="K7" s="307"/>
      <c r="L7" s="302" t="s">
        <v>697</v>
      </c>
      <c r="M7" s="303" t="e">
        <f ca="1">F7</f>
        <v>#N/A</v>
      </c>
    </row>
    <row r="8" spans="1:37" ht="18" customHeight="1">
      <c r="A8" s="304"/>
      <c r="B8" s="3646"/>
      <c r="C8" s="306"/>
      <c r="D8" s="307"/>
      <c r="E8" s="302" t="s">
        <v>698</v>
      </c>
      <c r="F8" s="303" t="e">
        <f ca="1">INDIRECT("'数据-取费表'!ai"&amp;$G$1)</f>
        <v>#N/A</v>
      </c>
      <c r="G8" s="1384"/>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4"/>
      <c r="H9" s="304"/>
      <c r="I9" s="364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2117</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3336</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2110</v>
      </c>
      <c r="E49" s="1372" t="s">
        <v>780</v>
      </c>
      <c r="F49" s="1060"/>
      <c r="G49" s="1425"/>
      <c r="H49" s="723"/>
      <c r="I49" s="1421" t="s">
        <v>823</v>
      </c>
      <c r="J49" s="1426">
        <f>'数据-取费表'!N17</f>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50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43" t="s">
        <v>837</v>
      </c>
      <c r="L53" s="3644"/>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3394</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3336</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3426</v>
      </c>
      <c r="F1" s="1879" t="s">
        <v>3427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15741</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657" t="s">
        <v>3449</v>
      </c>
      <c r="F5" s="3658"/>
      <c r="G5" s="3663" t="s">
        <v>3451</v>
      </c>
      <c r="H5" s="3660"/>
      <c r="I5" s="3663" t="s">
        <v>3450</v>
      </c>
      <c r="J5" s="3660"/>
      <c r="K5" s="559"/>
      <c r="L5" s="913"/>
      <c r="M5" s="914"/>
      <c r="N5" s="914"/>
      <c r="O5" s="914"/>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559" t="s">
        <v>1678</v>
      </c>
      <c r="L6" s="913"/>
      <c r="M6" s="914"/>
      <c r="N6" s="914"/>
      <c r="O6" s="914"/>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45586</v>
      </c>
      <c r="D7" s="365">
        <v>100</v>
      </c>
      <c r="E7" s="366">
        <v>45566</v>
      </c>
      <c r="F7" s="367">
        <f>SUMIF(52:52,YEAR(E7)&amp;"-"&amp;MONTH(E7),53:53)</f>
        <v>100</v>
      </c>
      <c r="G7" s="366">
        <v>45566</v>
      </c>
      <c r="H7" s="365">
        <f>SUMIF(52:52,YEAR(G7)&amp;"-"&amp;MONTH(G7),53:53)</f>
        <v>100</v>
      </c>
      <c r="I7" s="366">
        <v>45566</v>
      </c>
      <c r="J7" s="365">
        <f>SUMIF(52:52,YEAR(I7)&amp;"-"&amp;MONTH(I7),53:53)</f>
        <v>100</v>
      </c>
      <c r="K7" s="560"/>
      <c r="L7" s="915"/>
      <c r="M7" s="916"/>
      <c r="N7" s="916"/>
      <c r="O7" s="916"/>
      <c r="P7" s="3651" t="s">
        <v>1680</v>
      </c>
      <c r="Q7" s="3680"/>
      <c r="R7" s="701" t="s">
        <v>14</v>
      </c>
      <c r="S7" s="702">
        <f t="shared" ref="S7:S15" si="0">F7</f>
        <v>100</v>
      </c>
      <c r="T7" s="701" t="s">
        <v>14</v>
      </c>
      <c r="U7" s="702">
        <f t="shared" ref="U7:U15" si="1">H7</f>
        <v>100</v>
      </c>
      <c r="V7" s="701" t="s">
        <v>14</v>
      </c>
      <c r="W7" s="702">
        <f t="shared" ref="W7:W15" si="2">J7</f>
        <v>100</v>
      </c>
      <c r="X7" s="703"/>
      <c r="Y7" s="3651" t="s">
        <v>1680</v>
      </c>
      <c r="Z7" s="3652"/>
      <c r="AA7" s="704">
        <f>D7/F7</f>
        <v>1</v>
      </c>
      <c r="AB7" s="704">
        <f>D7/H7</f>
        <v>1</v>
      </c>
      <c r="AC7" s="704">
        <f>D7/J7</f>
        <v>1</v>
      </c>
    </row>
    <row r="8" spans="1:29" s="108" customFormat="1" ht="15.75" thickBot="1">
      <c r="A8" s="362" t="s">
        <v>1681</v>
      </c>
      <c r="B8" s="363"/>
      <c r="C8" s="368" t="s">
        <v>3415</v>
      </c>
      <c r="D8" s="365">
        <v>100</v>
      </c>
      <c r="E8" s="368" t="s">
        <v>3444</v>
      </c>
      <c r="F8" s="367">
        <f>SUMIF(55:55,E8,56:56)-SUMIF(55:55,C8,56:56)+100</f>
        <v>103</v>
      </c>
      <c r="G8" s="368" t="s">
        <v>3444</v>
      </c>
      <c r="H8" s="365">
        <f>SUMIF(55:55,G8,56:56)-SUMIF(55:55,C8,56:56)+100</f>
        <v>103</v>
      </c>
      <c r="I8" s="368" t="s">
        <v>3444</v>
      </c>
      <c r="J8" s="365">
        <f>SUMIF(55:55,I8,56:56)-SUMIF(55:55,C8,56:56)+100</f>
        <v>103</v>
      </c>
      <c r="K8" s="560"/>
      <c r="L8" s="915"/>
      <c r="M8" s="916"/>
      <c r="N8" s="916"/>
      <c r="O8" s="916"/>
      <c r="P8" s="3651" t="s">
        <v>1683</v>
      </c>
      <c r="Q8" s="3652"/>
      <c r="R8" s="701" t="s">
        <v>14</v>
      </c>
      <c r="S8" s="702">
        <f t="shared" si="0"/>
        <v>103</v>
      </c>
      <c r="T8" s="701" t="s">
        <v>14</v>
      </c>
      <c r="U8" s="702">
        <f t="shared" si="1"/>
        <v>103</v>
      </c>
      <c r="V8" s="701" t="s">
        <v>14</v>
      </c>
      <c r="W8" s="702">
        <f t="shared" si="2"/>
        <v>103</v>
      </c>
      <c r="X8" s="703"/>
      <c r="Y8" s="3651" t="s">
        <v>1683</v>
      </c>
      <c r="Z8" s="3652"/>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49" t="s">
        <v>3429</v>
      </c>
      <c r="D9" s="126">
        <v>100</v>
      </c>
      <c r="E9" s="373" t="s">
        <v>3428</v>
      </c>
      <c r="F9" s="126">
        <f>SUMIF(57:57,E9,58:58)-SUMIF(57:57,C9,58:58)+100</f>
        <v>100</v>
      </c>
      <c r="G9" s="373" t="s">
        <v>3428</v>
      </c>
      <c r="H9" s="126">
        <f>SUMIF(57:57,G9,58:58)-SUMIF(57:57,C9,58:58)+100</f>
        <v>100</v>
      </c>
      <c r="I9" s="373" t="s">
        <v>3428</v>
      </c>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t="s">
        <v>3399</v>
      </c>
      <c r="D18" s="401"/>
      <c r="E18" s="398" t="s">
        <v>3399</v>
      </c>
      <c r="F18" s="404"/>
      <c r="G18" s="398" t="s">
        <v>3399</v>
      </c>
      <c r="H18" s="399"/>
      <c r="I18" s="398" t="s">
        <v>3399</v>
      </c>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t="s">
        <v>3431</v>
      </c>
      <c r="D22" s="399"/>
      <c r="E22" s="398" t="s">
        <v>3431</v>
      </c>
      <c r="F22" s="400"/>
      <c r="G22" s="398" t="s">
        <v>3431</v>
      </c>
      <c r="H22" s="399"/>
      <c r="I22" s="398" t="s">
        <v>3431</v>
      </c>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t="s">
        <v>3399</v>
      </c>
      <c r="D24" s="399"/>
      <c r="E24" s="398" t="s">
        <v>3399</v>
      </c>
      <c r="F24" s="400"/>
      <c r="G24" s="398" t="s">
        <v>3399</v>
      </c>
      <c r="H24" s="399"/>
      <c r="I24" s="398" t="s">
        <v>3399</v>
      </c>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t="s">
        <v>3432</v>
      </c>
      <c r="D29" s="418">
        <v>100</v>
      </c>
      <c r="E29" s="1967" t="s">
        <v>3432</v>
      </c>
      <c r="F29" s="412">
        <f>SUMIF(88:88,E29,89:89)-SUMIF(88:88,C29,89:89)+100</f>
        <v>100</v>
      </c>
      <c r="G29" s="1967" t="s">
        <v>3432</v>
      </c>
      <c r="H29" s="386">
        <f>SUMIF(88:88,G29,89:89)-SUMIF(88:88,C29,89:89)+100</f>
        <v>100</v>
      </c>
      <c r="I29" s="1967" t="s">
        <v>3432</v>
      </c>
      <c r="J29" s="418">
        <f>SUMIF(88:88,I29,89:89)-SUMIF(88:88,C29,89:89)+100</f>
        <v>100</v>
      </c>
      <c r="K29" s="561"/>
      <c r="L29" s="923"/>
      <c r="M29" s="914"/>
      <c r="N29" s="914"/>
      <c r="O29" s="922"/>
      <c r="P29" s="3683"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f>'数据-基础表'!B3</f>
        <v>232.31</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1"/>
      <c r="M30" s="924"/>
      <c r="N30" s="924"/>
      <c r="O30" s="925"/>
      <c r="P30" s="3684"/>
      <c r="Q30" s="707" t="str">
        <f t="shared" si="11"/>
        <v>项目建筑规模</v>
      </c>
      <c r="R30" s="708" t="s">
        <v>14</v>
      </c>
      <c r="S30" s="709">
        <f t="shared" si="12"/>
        <v>99</v>
      </c>
      <c r="T30" s="708" t="s">
        <v>14</v>
      </c>
      <c r="U30" s="709">
        <f t="shared" si="13"/>
        <v>99</v>
      </c>
      <c r="V30" s="708" t="s">
        <v>14</v>
      </c>
      <c r="W30" s="709">
        <f t="shared" si="14"/>
        <v>98</v>
      </c>
      <c r="X30" s="710"/>
      <c r="Y30" s="3684"/>
      <c r="Z30" s="711" t="str">
        <f t="shared" si="15"/>
        <v>项目建筑规模</v>
      </c>
      <c r="AA30" s="1353">
        <f t="shared" si="3"/>
        <v>1.0101010101010102</v>
      </c>
      <c r="AB30" s="1353">
        <f t="shared" si="4"/>
        <v>1.0101010101010102</v>
      </c>
      <c r="AC30" s="1353">
        <f t="shared" si="5"/>
        <v>1.0204081632653061</v>
      </c>
    </row>
    <row r="31" spans="1:29" ht="15">
      <c r="A31" s="423"/>
      <c r="B31" s="375" t="s">
        <v>1698</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3452">
        <f>'数据-取费表'!N6</f>
        <v>0.74</v>
      </c>
      <c r="D33" s="386">
        <v>100</v>
      </c>
      <c r="E33" s="3452">
        <f>C33</f>
        <v>0.74</v>
      </c>
      <c r="F33" s="412">
        <f>LOOKUP(E33,98:98,99:99)-LOOKUP(C33,98:98,99:99)+100</f>
        <v>100</v>
      </c>
      <c r="G33" s="3452">
        <f>C33</f>
        <v>0.74</v>
      </c>
      <c r="H33" s="412">
        <f>LOOKUP(G33,98:98,99:99)-LOOKUP(C33,98:98,99:99)+100</f>
        <v>100</v>
      </c>
      <c r="I33" s="3452">
        <f>C33</f>
        <v>0.74</v>
      </c>
      <c r="J33" s="386">
        <f>LOOKUP(I33,98:98,99:99)-LOOKUP(C33,98:98,99:99)+100</f>
        <v>100</v>
      </c>
      <c r="K33" s="561"/>
      <c r="L33" s="923"/>
      <c r="M33" s="914"/>
      <c r="N33" s="914"/>
      <c r="O33" s="922"/>
      <c r="P33" s="3684"/>
      <c r="Q33" s="1352" t="str">
        <f t="shared" si="11"/>
        <v>成新度</v>
      </c>
      <c r="R33" s="705" t="s">
        <v>14</v>
      </c>
      <c r="S33" s="706">
        <f t="shared" si="12"/>
        <v>100</v>
      </c>
      <c r="T33" s="705" t="s">
        <v>14</v>
      </c>
      <c r="U33" s="706">
        <f t="shared" si="13"/>
        <v>100</v>
      </c>
      <c r="V33" s="705" t="s">
        <v>14</v>
      </c>
      <c r="W33" s="706">
        <f t="shared" si="14"/>
        <v>100</v>
      </c>
      <c r="X33" s="1355"/>
      <c r="Y33" s="3684"/>
      <c r="Z33" s="1356" t="str">
        <f t="shared" si="15"/>
        <v>成新度</v>
      </c>
      <c r="AA33" s="1353">
        <f t="shared" si="3"/>
        <v>1</v>
      </c>
      <c r="AB33" s="1353">
        <f t="shared" si="4"/>
        <v>1</v>
      </c>
      <c r="AC33" s="1353">
        <f t="shared" si="5"/>
        <v>1</v>
      </c>
    </row>
    <row r="34" spans="1:29" s="108" customFormat="1" ht="15">
      <c r="A34" s="424"/>
      <c r="B34" s="375" t="s">
        <v>1819</v>
      </c>
      <c r="C34" s="411" t="s">
        <v>3435</v>
      </c>
      <c r="D34" s="127">
        <v>100</v>
      </c>
      <c r="E34" s="411" t="s">
        <v>3435</v>
      </c>
      <c r="F34" s="412">
        <f>SUMIF(100:100,E34,101:101)-SUMIF(100:100,C34,101:101)+100</f>
        <v>100</v>
      </c>
      <c r="G34" s="411" t="s">
        <v>3435</v>
      </c>
      <c r="H34" s="386">
        <f>SUMIF(100:100,G34,101:101)-SUMIF(100:100,C34,101:101)+100</f>
        <v>100</v>
      </c>
      <c r="I34" s="411" t="s">
        <v>3435</v>
      </c>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t="s">
        <v>3441</v>
      </c>
      <c r="D36" s="386">
        <v>100</v>
      </c>
      <c r="E36" s="411" t="s">
        <v>3441</v>
      </c>
      <c r="F36" s="412">
        <f>SUMIF(104:104,E36,105:105)-SUMIF(104:104,C36,105:105)+100</f>
        <v>100</v>
      </c>
      <c r="G36" s="411" t="s">
        <v>3441</v>
      </c>
      <c r="H36" s="386">
        <f>SUMIF(104:104,G36,105:105)-SUMIF(104:104,C36,105:105)+100</f>
        <v>100</v>
      </c>
      <c r="I36" s="411" t="s">
        <v>3441</v>
      </c>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t="s">
        <v>3399</v>
      </c>
      <c r="D37" s="386">
        <v>100</v>
      </c>
      <c r="E37" s="565" t="s">
        <v>3399</v>
      </c>
      <c r="F37" s="412">
        <f>SUMIF(106:106,E37,107:107)-SUMIF(106:106,C37,107:107)+100</f>
        <v>100</v>
      </c>
      <c r="G37" s="565" t="s">
        <v>3399</v>
      </c>
      <c r="H37" s="386">
        <f>SUMIF(106:106,G37,107:107)-SUMIF(106:106,C37,107:107)+100</f>
        <v>100</v>
      </c>
      <c r="I37" s="565" t="s">
        <v>3399</v>
      </c>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3454" t="s">
        <v>3446</v>
      </c>
      <c r="C38" s="3455"/>
      <c r="D38" s="386">
        <v>100</v>
      </c>
      <c r="E38" s="3456"/>
      <c r="F38" s="412">
        <f>SUMIF(108:108,E38,109:109)-SUMIF(108:108,C38,109:109)+100</f>
        <v>100</v>
      </c>
      <c r="G38" s="3455"/>
      <c r="H38" s="386">
        <f>SUMIF(108:108,G38,109:109)-SUMIF(108:108,C38,109:109)+100</f>
        <v>100</v>
      </c>
      <c r="I38" s="3455"/>
      <c r="J38" s="386">
        <f>SUMIF(108:108,I38,109:1038)-SUMIF(108:108,C38,109:109)+100</f>
        <v>100</v>
      </c>
      <c r="K38" s="562"/>
      <c r="L38" s="921"/>
      <c r="M38" s="924"/>
      <c r="N38" s="924"/>
      <c r="O38" s="925"/>
      <c r="P38" s="3684"/>
      <c r="Q38" s="707" t="str">
        <f t="shared" si="11"/>
        <v>是否有地下</v>
      </c>
      <c r="R38" s="708" t="s">
        <v>14</v>
      </c>
      <c r="S38" s="709">
        <f t="shared" si="12"/>
        <v>100</v>
      </c>
      <c r="T38" s="708" t="s">
        <v>14</v>
      </c>
      <c r="U38" s="709">
        <f t="shared" si="13"/>
        <v>100</v>
      </c>
      <c r="V38" s="708" t="s">
        <v>14</v>
      </c>
      <c r="W38" s="709">
        <f t="shared" si="14"/>
        <v>100</v>
      </c>
      <c r="X38" s="710"/>
      <c r="Y38" s="3684"/>
      <c r="Z38" s="711" t="str">
        <f t="shared" si="15"/>
        <v>是否有地下</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v>15000</v>
      </c>
      <c r="F41" s="1157"/>
      <c r="G41" s="1158">
        <v>18000</v>
      </c>
      <c r="H41" s="1159"/>
      <c r="I41" s="1156">
        <v>15000</v>
      </c>
      <c r="J41" s="1159"/>
      <c r="K41" s="714"/>
      <c r="L41" s="926"/>
      <c r="M41" s="927"/>
      <c r="N41" s="914"/>
      <c r="O41" s="927"/>
      <c r="P41" s="3666" t="str">
        <f>A41</f>
        <v>成交单价（元/平方米）</v>
      </c>
      <c r="Q41" s="3666"/>
      <c r="R41" s="3686">
        <f>E41</f>
        <v>15000</v>
      </c>
      <c r="S41" s="3686"/>
      <c r="T41" s="3686">
        <f>G41</f>
        <v>18000</v>
      </c>
      <c r="U41" s="3686"/>
      <c r="V41" s="3686">
        <f>I41</f>
        <v>15000</v>
      </c>
      <c r="W41" s="3686"/>
      <c r="X41" s="690"/>
      <c r="Y41" s="712"/>
      <c r="Z41" s="690"/>
      <c r="AA41" s="690"/>
      <c r="AB41" s="690"/>
      <c r="AC41" s="690"/>
    </row>
    <row r="42" spans="1:29" ht="15.75" thickBot="1">
      <c r="A42" s="437" t="s">
        <v>1793</v>
      </c>
      <c r="B42" s="438"/>
      <c r="C42" s="1160">
        <f>R43</f>
        <v>15741</v>
      </c>
      <c r="D42" s="2317" t="s">
        <v>2138</v>
      </c>
      <c r="E42" s="1161">
        <f>R42</f>
        <v>14710</v>
      </c>
      <c r="F42" s="2318"/>
      <c r="G42" s="1160">
        <f>T42</f>
        <v>17652</v>
      </c>
      <c r="H42" s="2318"/>
      <c r="I42" s="1161">
        <f>V42</f>
        <v>14860</v>
      </c>
      <c r="J42" s="2318"/>
      <c r="K42" s="2320">
        <f>F42+H42+J42</f>
        <v>0</v>
      </c>
      <c r="L42" s="926"/>
      <c r="M42" s="927"/>
      <c r="N42" s="914"/>
      <c r="O42" s="927"/>
      <c r="P42" s="3666" t="str">
        <f>A42</f>
        <v>比较价值（元/平方米）</v>
      </c>
      <c r="Q42" s="3666"/>
      <c r="R42" s="3686">
        <f>IF(F1="售价",ROUND(PRODUCT(R41,AA7:AA40),0),ROUND(PRODUCT(R41,AA7:AA40),1))</f>
        <v>14710</v>
      </c>
      <c r="S42" s="3686"/>
      <c r="T42" s="3686">
        <f>IF(F1="售价",ROUND(PRODUCT(T41,AB7:AB40),0),ROUND(PRODUCT(T41,AB7:AB40),1))</f>
        <v>17652</v>
      </c>
      <c r="U42" s="3686"/>
      <c r="V42" s="3686">
        <f>IF(F1="售价",ROUND(PRODUCT(V41,AC7:AC40),0),ROUND(PRODUCT(V41,AC7:AC40),1))</f>
        <v>14860</v>
      </c>
      <c r="W42" s="3686"/>
      <c r="X42" s="690"/>
      <c r="Y42" s="690"/>
      <c r="Z42" s="690"/>
      <c r="AA42" s="690"/>
      <c r="AB42" s="690"/>
      <c r="AC42" s="690"/>
    </row>
    <row r="43" spans="1:29" ht="15.75" thickBot="1">
      <c r="A43" s="441" t="s">
        <v>1794</v>
      </c>
      <c r="B43" s="442"/>
      <c r="C43" s="1163">
        <f>R43</f>
        <v>15741</v>
      </c>
      <c r="D43" s="1163"/>
      <c r="E43" s="1163"/>
      <c r="F43" s="1163"/>
      <c r="G43" s="1163"/>
      <c r="H43" s="1163"/>
      <c r="I43" s="1163"/>
      <c r="J43" s="1163"/>
      <c r="K43" s="715"/>
      <c r="L43" s="926"/>
      <c r="M43" s="927"/>
      <c r="N43" s="927"/>
      <c r="O43" s="927"/>
      <c r="P43" s="3687" t="str">
        <f>A43</f>
        <v>估价对象XX用房的比较价值（楼面单价，元/平方米）</v>
      </c>
      <c r="Q43" s="3688"/>
      <c r="R43" s="3689">
        <f>IF(F1="售价",ROUND(IF(D42="简单平均",AVERAGE(R42:V42),R42*F42+T42*H42+V42*J42),0),ROUND(IF(D42="简单平均",AVERAGE(R42:V42),R42*F42+T42*H42+V42*J42),1))</f>
        <v>15741</v>
      </c>
      <c r="S43" s="3689"/>
      <c r="T43" s="3689"/>
      <c r="U43" s="3689"/>
      <c r="V43" s="3689"/>
      <c r="W43" s="368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1.971447994561526E-2</v>
      </c>
      <c r="F46" s="449" t="str">
        <f>IF(OR(E46&gt;=0.3,E46&lt;=-0.3),"超过30%","")</f>
        <v/>
      </c>
      <c r="G46" s="448">
        <f>IF(G41&lt;G42,G42/G41-1,G41/G42-1)</f>
        <v>1.971447994561526E-2</v>
      </c>
      <c r="H46" s="449" t="str">
        <f>IF(OR(G46&gt;=0.3,G46&lt;=-0.3),"超过30%","")</f>
        <v/>
      </c>
      <c r="I46" s="448">
        <f>IF(I41&lt;I42,I42/I41-1,I41/I42-1)</f>
        <v>9.421265141319024E-3</v>
      </c>
      <c r="J46" s="449" t="str">
        <f>IF(OR(I46&gt;=0.3,I46&lt;=-0.3),"超过30%","")</f>
        <v/>
      </c>
      <c r="K46" s="2730"/>
      <c r="L46" s="889"/>
      <c r="M46" s="927"/>
      <c r="N46" s="927"/>
      <c r="O46" s="927"/>
    </row>
    <row r="47" spans="1:29" ht="13.5" customHeight="1">
      <c r="A47" s="2725"/>
      <c r="B47" s="2725"/>
      <c r="C47" s="446" t="s">
        <v>1796</v>
      </c>
      <c r="D47" s="450"/>
      <c r="E47" s="448">
        <f>IF(E42&lt;G42,G42/E42-1,E42/G42-1)</f>
        <v>0.19999999999999996</v>
      </c>
      <c r="F47" s="449" t="str">
        <f>IF(OR(E47&gt;=0.2,E47&lt;=-0.2),"超过20%","")</f>
        <v>超过20%</v>
      </c>
      <c r="G47" s="448">
        <f>IF(G42&lt;I42,I42/G42-1,G42/I42-1)</f>
        <v>0.18788694481830426</v>
      </c>
      <c r="H47" s="449" t="str">
        <f>IF(OR(G47&gt;=0.2,G47&lt;=-0.2),"超过20%","")</f>
        <v/>
      </c>
      <c r="I47" s="448">
        <f>IF(I42&lt;E42,E42/I42-1,I42/E42-1)</f>
        <v>1.0197144799456215E-2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3" t="s">
        <v>3445</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1719</v>
      </c>
      <c r="B57" s="477" t="s">
        <v>1685</v>
      </c>
      <c r="C57" s="478" t="str">
        <f>C9</f>
        <v>工业（办公）</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3433</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4000</v>
      </c>
      <c r="F91" s="544">
        <v>6000</v>
      </c>
      <c r="G91" s="544"/>
      <c r="H91" s="544"/>
      <c r="I91" s="544"/>
      <c r="J91" s="545"/>
      <c r="K91" s="545"/>
      <c r="L91" s="546"/>
      <c r="M91" s="547"/>
      <c r="N91" s="935"/>
      <c r="O91" s="935"/>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4"/>
      <c r="O92" s="934"/>
      <c r="P92" s="507"/>
      <c r="Q92" s="508"/>
    </row>
    <row r="93" spans="1:17" ht="15" thickTop="1">
      <c r="A93" s="548"/>
      <c r="B93" s="487" t="s">
        <v>1738</v>
      </c>
      <c r="C93" s="3451" t="s">
        <v>3434</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3451" t="s">
        <v>3436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t="s">
        <v>3431</v>
      </c>
      <c r="D102" s="503" t="s">
        <v>3437</v>
      </c>
      <c r="E102" s="503" t="s">
        <v>3430</v>
      </c>
      <c r="F102" s="503" t="s">
        <v>3438</v>
      </c>
      <c r="G102" s="503" t="s">
        <v>3439</v>
      </c>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451" t="s">
        <v>3440</v>
      </c>
      <c r="D104" s="3451" t="s">
        <v>3442</v>
      </c>
      <c r="E104" s="3451" t="s">
        <v>3443</v>
      </c>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t="str">
        <f>B38</f>
        <v>是否有地下</v>
      </c>
      <c r="C108" s="3451" t="s">
        <v>3447</v>
      </c>
      <c r="D108" s="3451" t="s">
        <v>3448</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G35" sqref="G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226.5068</v>
      </c>
      <c r="C2" s="1387" t="s">
        <v>879</v>
      </c>
      <c r="D2" s="1471">
        <f ca="1">C40+J29+L46</f>
        <v>2265068</v>
      </c>
      <c r="E2" s="1388" t="s">
        <v>880</v>
      </c>
      <c r="F2" s="1389"/>
      <c r="G2" s="2706"/>
      <c r="H2" s="2695"/>
      <c r="I2" s="2695"/>
      <c r="J2" s="2695"/>
      <c r="K2" s="2696"/>
      <c r="L2" s="2695"/>
      <c r="M2" s="2695"/>
    </row>
    <row r="3" spans="1:37" ht="18" customHeight="1" thickBot="1">
      <c r="A3" s="1390" t="s">
        <v>881</v>
      </c>
      <c r="B3" s="1391">
        <f ca="1">IF(ISERROR(D2/F43),0,ROUND(D2/F43,0))</f>
        <v>9750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191023</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190785</v>
      </c>
      <c r="D6" s="155" t="s">
        <v>2106</v>
      </c>
      <c r="E6" s="302" t="s">
        <v>696</v>
      </c>
      <c r="F6" s="303">
        <f ca="1">INDIRECT("'数据-取费表'!u"&amp;$G$1)</f>
        <v>2.5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232.31</v>
      </c>
      <c r="G7" s="1384"/>
      <c r="H7" s="304"/>
      <c r="I7" s="3646"/>
      <c r="J7" s="306"/>
      <c r="K7" s="307"/>
      <c r="L7" s="302" t="s">
        <v>697</v>
      </c>
      <c r="M7" s="303">
        <f ca="1">F7</f>
        <v>232.31</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238</v>
      </c>
      <c r="D10" s="1366" t="s">
        <v>2116</v>
      </c>
      <c r="E10" s="313" t="s">
        <v>701</v>
      </c>
      <c r="F10" s="1116" t="s">
        <v>3409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1151761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1045395</v>
      </c>
      <c r="D14" s="1345" t="s">
        <v>708</v>
      </c>
      <c r="E14" s="1342"/>
      <c r="F14" s="319"/>
      <c r="G14" s="1384"/>
      <c r="H14" s="982" t="s">
        <v>398</v>
      </c>
      <c r="I14" s="302" t="s">
        <v>709</v>
      </c>
      <c r="J14" s="21">
        <f ca="1">C29</f>
        <v>1556434</v>
      </c>
      <c r="K14" s="12"/>
      <c r="L14" s="807"/>
      <c r="M14" s="808"/>
    </row>
    <row r="15" spans="1:37" s="1397" customFormat="1" ht="18" customHeight="1" thickBot="1">
      <c r="A15" s="982" t="s">
        <v>399</v>
      </c>
      <c r="B15" s="302" t="s">
        <v>710</v>
      </c>
      <c r="C15" s="21">
        <f ca="1">ROUND(C14*F15,0)</f>
        <v>31362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7782</v>
      </c>
      <c r="K16" s="1087" t="s">
        <v>715</v>
      </c>
      <c r="L16" s="1088"/>
      <c r="M16" s="1072"/>
    </row>
    <row r="17" spans="1:37" s="1397" customFormat="1" ht="18" customHeight="1">
      <c r="A17" s="982" t="s">
        <v>681</v>
      </c>
      <c r="B17" s="302" t="s">
        <v>716</v>
      </c>
      <c r="C17" s="21">
        <f ca="1">ROUND(F17*(F43+INDIRECT("'数据-取费表'!S"&amp;$G$1)),0)</f>
        <v>46462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20908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1144127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22883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7782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36177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-7782</v>
      </c>
      <c r="K25" s="1095" t="s">
        <v>753</v>
      </c>
      <c r="L25" s="1096"/>
      <c r="M25" s="1097"/>
    </row>
    <row r="26" spans="1:37" ht="18" customHeight="1">
      <c r="A26" s="982" t="s">
        <v>397</v>
      </c>
      <c r="B26" s="302" t="s">
        <v>754</v>
      </c>
      <c r="C26" s="21">
        <f ca="1">ROUND((C19+C20)*F26,0)</f>
        <v>233402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1556434</v>
      </c>
      <c r="D29" s="1092"/>
      <c r="E29" s="1090"/>
      <c r="F29" s="1093"/>
      <c r="G29" s="1396"/>
      <c r="H29" s="334" t="s">
        <v>396</v>
      </c>
      <c r="I29" s="335" t="s">
        <v>768</v>
      </c>
      <c r="J29" s="336">
        <f ca="1">ROUND(J26/(1+F40)^F41,0)</f>
        <v>0</v>
      </c>
      <c r="K29" s="337" t="s">
        <v>769</v>
      </c>
      <c r="L29" s="338"/>
      <c r="M29" s="339">
        <f ca="1">INDIRECT("'数据-取费表'!k"&amp;$G$1)</f>
        <v>232.31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41687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31798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9994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21804</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7782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1152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955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149336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2138243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9204</v>
      </c>
      <c r="D43" s="337" t="s">
        <v>777</v>
      </c>
      <c r="E43" s="338" t="s">
        <v>778</v>
      </c>
      <c r="F43" s="339">
        <f ca="1">INDIRECT("'数据-取费表'!k"&amp;$G$1)</f>
        <v>232.31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-225.06610000000001</v>
      </c>
      <c r="D45" s="3432" t="s">
        <v>3353</v>
      </c>
      <c r="E45" s="1400"/>
      <c r="F45" s="1400"/>
      <c r="O45" s="1403" t="s">
        <v>808</v>
      </c>
      <c r="P45" s="1461"/>
      <c r="Q45" s="1461"/>
      <c r="R45" s="1461"/>
    </row>
    <row r="46" spans="1:18" s="1384" customFormat="1" ht="13.5" thickBot="1">
      <c r="A46" s="1404" t="s">
        <v>809</v>
      </c>
      <c r="C46" s="1405">
        <f ca="1">ROUND(C45,0)</f>
        <v>-225</v>
      </c>
      <c r="D46" s="1406" t="str">
        <f>C2</f>
        <v>万元</v>
      </c>
      <c r="I46" s="1407" t="s">
        <v>810</v>
      </c>
      <c r="J46" s="1408"/>
      <c r="K46" s="1409"/>
      <c r="L46" s="1410">
        <f ca="1">IF(M47="住宅",0,IF(L48&gt;J51,L60,J60))</f>
        <v>126825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2138243</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22</v>
      </c>
      <c r="O48" s="1418" t="s">
        <v>404</v>
      </c>
      <c r="P48" s="1419" t="s">
        <v>821</v>
      </c>
      <c r="Q48" s="1420">
        <f ca="1">J60</f>
        <v>126825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1556434</v>
      </c>
      <c r="R49" s="1420" t="s">
        <v>818</v>
      </c>
    </row>
    <row r="50" spans="1:18" s="1384" customFormat="1" ht="13.5" thickBot="1">
      <c r="A50" s="976"/>
      <c r="B50" s="979"/>
      <c r="C50" s="980"/>
      <c r="D50" s="953"/>
      <c r="E50" s="1056" t="s">
        <v>697</v>
      </c>
      <c r="F50" s="1057">
        <f ca="1">F7</f>
        <v>232.31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1213657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43" t="s">
        <v>837</v>
      </c>
      <c r="L53" s="3644"/>
      <c r="O53" s="1418" t="s">
        <v>409</v>
      </c>
      <c r="P53" s="1419" t="s">
        <v>838</v>
      </c>
      <c r="Q53" s="1420">
        <f ca="1">Q47+Q48</f>
        <v>2265068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1151761</v>
      </c>
      <c r="D56" s="1447"/>
      <c r="E56" s="1448"/>
      <c r="F56" s="1440"/>
      <c r="I56" s="1449" t="s">
        <v>842</v>
      </c>
      <c r="J56" s="1450" t="s">
        <v>3394</v>
      </c>
      <c r="K56" s="1421" t="s">
        <v>843</v>
      </c>
      <c r="L56" s="1424" t="str">
        <f ca="1">IF(L48&lt;J51,"——",L48-J51)</f>
        <v>——</v>
      </c>
      <c r="O56" s="1418" t="s">
        <v>403</v>
      </c>
      <c r="P56" s="1419" t="s">
        <v>817</v>
      </c>
      <c r="Q56" s="1420">
        <f ca="1">C40+J29</f>
        <v>2138243</v>
      </c>
      <c r="R56" s="1420" t="s">
        <v>818</v>
      </c>
    </row>
    <row r="57" spans="1:18" s="1384" customFormat="1" ht="24.75" thickBot="1">
      <c r="A57" s="1451"/>
      <c r="B57" s="950" t="s">
        <v>767</v>
      </c>
      <c r="C57" s="238">
        <f ca="1">C29</f>
        <v>1556434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8934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622574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126825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2138243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1152</v>
      </c>
      <c r="D65" s="964" t="s">
        <v>743</v>
      </c>
      <c r="E65" s="950" t="s">
        <v>744</v>
      </c>
      <c r="F65" s="330">
        <f t="shared" ca="1" si="0"/>
        <v>1E-3</v>
      </c>
      <c r="I65" s="1462" t="s">
        <v>867</v>
      </c>
      <c r="J65" s="1463">
        <v>40</v>
      </c>
      <c r="K65" s="1463">
        <v>30</v>
      </c>
      <c r="L65" s="1463">
        <v>50</v>
      </c>
      <c r="M65" s="1465">
        <v>0.02</v>
      </c>
      <c r="O65" s="1418" t="s">
        <v>403</v>
      </c>
      <c r="P65" s="1419" t="s">
        <v>868</v>
      </c>
      <c r="Q65" s="1420">
        <f ca="1">C40+J29</f>
        <v>2138243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-8934</v>
      </c>
      <c r="D67" s="963" t="s">
        <v>753</v>
      </c>
      <c r="E67" s="968"/>
      <c r="F67" s="969"/>
      <c r="O67" s="1428" t="s">
        <v>405</v>
      </c>
      <c r="P67" s="1419" t="s">
        <v>850</v>
      </c>
      <c r="Q67" s="1466">
        <f ca="1">L51</f>
        <v>1213657</v>
      </c>
      <c r="R67" s="1420" t="s">
        <v>870</v>
      </c>
    </row>
    <row r="68" spans="1:18" s="1384" customFormat="1" ht="16.5" thickBot="1">
      <c r="A68" s="947" t="s">
        <v>395</v>
      </c>
      <c r="B68" s="948" t="s">
        <v>774</v>
      </c>
      <c r="C68" s="301">
        <f ca="1">ROUND(C67*(1-((1+F70)/(1+F68))^F69)/(F68-F70),0)</f>
        <v>-112418</v>
      </c>
      <c r="D68" s="965" t="s">
        <v>758</v>
      </c>
      <c r="E68" s="950" t="s">
        <v>759</v>
      </c>
      <c r="F68" s="312">
        <f ca="1">F40</f>
        <v>5.5E-2</v>
      </c>
      <c r="O68" s="1428" t="s">
        <v>406</v>
      </c>
      <c r="P68" s="1467" t="s">
        <v>871</v>
      </c>
      <c r="Q68" s="1420">
        <f ca="1">ROUND(Q69-Q70*Q71,0)</f>
        <v>68713</v>
      </c>
      <c r="R68" s="1420" t="s">
        <v>414</v>
      </c>
    </row>
    <row r="69" spans="1:18" s="1384" customFormat="1" ht="13.5" thickBot="1">
      <c r="A69" s="951"/>
      <c r="B69" s="952"/>
      <c r="C69" s="306"/>
      <c r="D69" s="970" t="s">
        <v>762</v>
      </c>
      <c r="E69" s="950" t="s">
        <v>763</v>
      </c>
      <c r="F69" s="333">
        <f ca="1">F41</f>
        <v>22</v>
      </c>
      <c r="O69" s="1428" t="s">
        <v>411</v>
      </c>
      <c r="P69" s="1467" t="s">
        <v>872</v>
      </c>
      <c r="Q69" s="1420">
        <f ca="1">C39</f>
        <v>149336</v>
      </c>
      <c r="R69" s="1420" t="s">
        <v>818</v>
      </c>
    </row>
    <row r="70" spans="1:18" s="1384" customFormat="1" ht="13.5" thickBot="1">
      <c r="A70" s="954"/>
      <c r="B70" s="955"/>
      <c r="C70" s="310"/>
      <c r="D70" s="966"/>
      <c r="E70" s="950" t="s">
        <v>766</v>
      </c>
      <c r="F70" s="1054"/>
      <c r="O70" s="1428" t="s">
        <v>412</v>
      </c>
      <c r="P70" s="1467" t="s">
        <v>873</v>
      </c>
      <c r="Q70" s="1420">
        <f ca="1">C13</f>
        <v>1151761</v>
      </c>
      <c r="R70" s="1420" t="s">
        <v>818</v>
      </c>
    </row>
    <row r="71" spans="1:18" s="1384" customFormat="1" ht="13.5" thickBot="1">
      <c r="A71" s="971" t="s">
        <v>396</v>
      </c>
      <c r="B71" s="972" t="s">
        <v>776</v>
      </c>
      <c r="C71" s="336">
        <f ca="1">ROUND(C68/F71,0)</f>
        <v>-484</v>
      </c>
      <c r="D71" s="973" t="s">
        <v>777</v>
      </c>
      <c r="E71" s="974" t="s">
        <v>778</v>
      </c>
      <c r="F71" s="339">
        <f ca="1">F43</f>
        <v>232.31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80623</v>
      </c>
      <c r="D75" s="1384"/>
      <c r="E75" s="1384"/>
      <c r="F75" s="1384"/>
      <c r="K75" s="1402"/>
      <c r="L75" s="1384"/>
      <c r="O75" s="1418" t="s">
        <v>409</v>
      </c>
      <c r="P75" s="1419" t="s">
        <v>838</v>
      </c>
      <c r="Q75" s="1420">
        <f ca="1">Q65+Q66</f>
        <v>2138243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0.45999999999999996</v>
      </c>
    </row>
    <row r="80" spans="1:18">
      <c r="B80" s="340" t="s">
        <v>800</v>
      </c>
      <c r="C80" s="274">
        <f ca="1">ROUND(C75/C39,3)</f>
        <v>0.54</v>
      </c>
    </row>
    <row r="81" spans="2:3">
      <c r="B81" s="270" t="s">
        <v>801</v>
      </c>
      <c r="C81" s="238"/>
    </row>
    <row r="82" spans="2:3">
      <c r="B82" s="273" t="s">
        <v>802</v>
      </c>
      <c r="C82" s="275">
        <f ca="1">1-C83</f>
        <v>0.46099999999999997</v>
      </c>
    </row>
    <row r="83" spans="2:3">
      <c r="B83" s="273" t="s">
        <v>803</v>
      </c>
      <c r="C83" s="274">
        <f ca="1">ROUND(C13/C40,3)</f>
        <v>0.53900000000000003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90" t="s">
        <v>2319</v>
      </c>
      <c r="K2" s="369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92" t="s">
        <v>2329</v>
      </c>
      <c r="K3" s="369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92" t="s">
        <v>2331</v>
      </c>
      <c r="K4" s="369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94" t="s">
        <v>2335</v>
      </c>
      <c r="B6" s="3695"/>
      <c r="C6" s="3696"/>
      <c r="D6" s="2870"/>
      <c r="E6" s="2871"/>
      <c r="F6" s="2872"/>
      <c r="G6" s="2873"/>
      <c r="H6" s="2848"/>
      <c r="I6" s="2849"/>
      <c r="J6" s="3697">
        <v>1</v>
      </c>
      <c r="K6" s="369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97"/>
      <c r="K7" s="369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01" t="s">
        <v>2349</v>
      </c>
      <c r="C8" s="3702"/>
      <c r="D8" s="2889" t="s">
        <v>2350</v>
      </c>
      <c r="E8" s="2890" t="s">
        <v>2351</v>
      </c>
      <c r="F8" s="2891" t="s">
        <v>2352</v>
      </c>
      <c r="G8" s="2892"/>
      <c r="H8" s="2848"/>
      <c r="I8" s="2849"/>
      <c r="J8" s="3697"/>
      <c r="K8" s="369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01" t="s">
        <v>2355</v>
      </c>
      <c r="C9" s="3702"/>
      <c r="D9" s="2889">
        <f>ROUND(D6*E9,0)</f>
        <v>0</v>
      </c>
      <c r="E9" s="2893"/>
      <c r="F9" s="2894" t="s">
        <v>2356</v>
      </c>
      <c r="G9" s="2873"/>
      <c r="H9" s="2848"/>
      <c r="I9" s="2849"/>
      <c r="J9" s="3697"/>
      <c r="K9" s="3699"/>
      <c r="L9" s="2883" t="s">
        <v>2357</v>
      </c>
      <c r="M9" s="2884"/>
      <c r="N9" s="2860"/>
      <c r="O9" s="2885"/>
      <c r="P9" s="2885"/>
      <c r="Q9" s="2886">
        <v>365</v>
      </c>
      <c r="R9" s="2887">
        <f t="shared" si="0"/>
        <v>0</v>
      </c>
      <c r="S9" s="2841"/>
      <c r="T9" s="2841"/>
      <c r="U9" s="2841"/>
      <c r="V9" s="2849"/>
    </row>
    <row r="10" spans="1:22" s="2853" customFormat="1" ht="13.15" customHeight="1">
      <c r="A10" s="2888">
        <v>2</v>
      </c>
      <c r="B10" s="3701" t="s">
        <v>2358</v>
      </c>
      <c r="C10" s="3702"/>
      <c r="D10" s="2889">
        <f>ROUND(D6*E10,0)</f>
        <v>0</v>
      </c>
      <c r="E10" s="2893"/>
      <c r="F10" s="2894" t="s">
        <v>2359</v>
      </c>
      <c r="G10" s="2873"/>
      <c r="H10" s="2848"/>
      <c r="I10" s="2849"/>
      <c r="J10" s="3697"/>
      <c r="K10" s="3699"/>
      <c r="L10" s="2883" t="s">
        <v>2360</v>
      </c>
      <c r="M10" s="2884"/>
      <c r="N10" s="2860"/>
      <c r="O10" s="2885"/>
      <c r="P10" s="2885"/>
      <c r="Q10" s="2886">
        <v>365</v>
      </c>
      <c r="R10" s="2887">
        <f t="shared" si="0"/>
        <v>0</v>
      </c>
      <c r="S10" s="2841"/>
      <c r="T10" s="2841"/>
      <c r="U10" s="2841"/>
      <c r="V10" s="2849"/>
    </row>
    <row r="11" spans="1:22" s="2853" customFormat="1" ht="13.15" customHeight="1">
      <c r="A11" s="2888">
        <v>3</v>
      </c>
      <c r="B11" s="3701" t="s">
        <v>2361</v>
      </c>
      <c r="C11" s="3702"/>
      <c r="D11" s="2889">
        <f>D12+D14+D15+D16</f>
        <v>0</v>
      </c>
      <c r="E11" s="2895" t="e">
        <f>D11/D6</f>
        <v>#DIV/0!</v>
      </c>
      <c r="F11" s="2891"/>
      <c r="G11" s="2892"/>
      <c r="H11" s="2848"/>
      <c r="I11" s="2849"/>
      <c r="J11" s="3697"/>
      <c r="K11" s="369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703" t="s">
        <v>2364</v>
      </c>
      <c r="C12" s="3704"/>
      <c r="D12" s="2897">
        <f>ROUND(D13*1.2%*(1-30%),0)</f>
        <v>0</v>
      </c>
      <c r="E12" s="2898">
        <v>1.2E-2</v>
      </c>
      <c r="F12" s="2891" t="s">
        <v>2365</v>
      </c>
      <c r="G12" s="2892"/>
      <c r="H12" s="2848"/>
      <c r="I12" s="2849"/>
      <c r="J12" s="3697"/>
      <c r="K12" s="369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97"/>
      <c r="K13" s="369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703" t="s">
        <v>2370</v>
      </c>
      <c r="C14" s="3704"/>
      <c r="D14" s="2897">
        <f>ROUND(E14*B5/10000,0)</f>
        <v>0</v>
      </c>
      <c r="E14" s="2886"/>
      <c r="F14" s="2891" t="s">
        <v>2371</v>
      </c>
      <c r="G14" s="2892"/>
      <c r="H14" s="2848"/>
      <c r="I14" s="2849"/>
      <c r="J14" s="3697"/>
      <c r="K14" s="370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703" t="s">
        <v>2374</v>
      </c>
      <c r="C15" s="3704"/>
      <c r="D15" s="2897">
        <f>ROUND(D6*E15,0)</f>
        <v>0</v>
      </c>
      <c r="E15" s="2898">
        <v>5.5E-2</v>
      </c>
      <c r="F15" s="2891" t="s">
        <v>2375</v>
      </c>
      <c r="G15" s="2873"/>
      <c r="H15" s="2848"/>
      <c r="I15" s="2849"/>
      <c r="J15" s="3697">
        <v>2</v>
      </c>
      <c r="K15" s="369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703" t="s">
        <v>2383</v>
      </c>
      <c r="C16" s="3704"/>
      <c r="D16" s="2908">
        <f>D6*E16</f>
        <v>0</v>
      </c>
      <c r="E16" s="2909"/>
      <c r="F16" s="2894" t="s">
        <v>2384</v>
      </c>
      <c r="G16" s="2873"/>
      <c r="H16" s="2848"/>
      <c r="I16" s="2849"/>
      <c r="J16" s="3697"/>
      <c r="K16" s="369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705" t="s">
        <v>2386</v>
      </c>
      <c r="C17" s="3706"/>
      <c r="D17" s="2911">
        <f>ROUND(D6*E17,0)</f>
        <v>0</v>
      </c>
      <c r="E17" s="2912"/>
      <c r="F17" s="2913" t="s">
        <v>2387</v>
      </c>
      <c r="G17" s="2873"/>
      <c r="H17" s="2848"/>
      <c r="I17" s="2849"/>
      <c r="J17" s="3697"/>
      <c r="K17" s="369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97"/>
      <c r="K18" s="369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97"/>
      <c r="K19" s="370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7">
        <v>3</v>
      </c>
      <c r="K20" s="369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97"/>
      <c r="K21" s="369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97"/>
      <c r="K22" s="369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97"/>
      <c r="K23" s="369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97"/>
      <c r="K24" s="370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70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70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90" t="s">
        <v>2319</v>
      </c>
      <c r="K32" s="369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92" t="s">
        <v>2329</v>
      </c>
      <c r="K33" s="369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92" t="s">
        <v>2331</v>
      </c>
      <c r="K34" s="369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97">
        <v>1</v>
      </c>
      <c r="K36" s="369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97"/>
      <c r="K37" s="369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7"/>
      <c r="K38" s="369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97"/>
      <c r="K39" s="369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97"/>
      <c r="K40" s="370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70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226.5068</v>
      </c>
      <c r="C2" s="1872" t="s">
        <v>1651</v>
      </c>
      <c r="D2" s="1873" t="s">
        <v>1652</v>
      </c>
      <c r="E2" s="2607">
        <f>SUM(E6:E13)</f>
        <v>232.31</v>
      </c>
      <c r="F2" s="2707"/>
      <c r="G2" s="1489"/>
      <c r="H2" s="1489"/>
      <c r="I2" s="1489"/>
      <c r="J2" s="1489"/>
      <c r="K2" s="1489"/>
      <c r="L2" s="1489"/>
      <c r="M2" s="1489"/>
      <c r="N2" s="1489"/>
      <c r="O2" s="1489"/>
      <c r="P2" s="1489"/>
      <c r="Q2" s="1489"/>
      <c r="R2" s="1489"/>
      <c r="S2" s="1489"/>
    </row>
    <row r="3" spans="1:22" ht="15.75">
      <c r="A3" s="1870" t="s">
        <v>686</v>
      </c>
      <c r="B3" s="2601">
        <f ca="1">ROUND(B2*10000/E2,0)</f>
        <v>9750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9" t="s">
        <v>1654</v>
      </c>
      <c r="C5" s="371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226.5068</v>
      </c>
      <c r="C6" s="1872" t="s">
        <v>1651</v>
      </c>
      <c r="D6" s="2709"/>
      <c r="E6" s="2606">
        <f>IF(OR(A6=0,F6="否"),0,'数据-取费表'!K6+'数据-取费表'!S6)</f>
        <v>232.31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232.31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5"/>
      <c r="M4" s="2716"/>
      <c r="N4" s="2716"/>
      <c r="O4" s="2716"/>
      <c r="P4" s="3671" t="s">
        <v>1672</v>
      </c>
      <c r="Q4" s="3672"/>
      <c r="R4" s="3653" t="s">
        <v>1668</v>
      </c>
      <c r="S4" s="3654"/>
      <c r="T4" s="3653" t="s">
        <v>1669</v>
      </c>
      <c r="U4" s="3654"/>
      <c r="V4" s="3679" t="s">
        <v>1670</v>
      </c>
      <c r="W4" s="3679"/>
      <c r="X4" s="1355"/>
      <c r="Y4" s="3653" t="s">
        <v>1672</v>
      </c>
      <c r="Z4" s="3654"/>
      <c r="AA4" s="3648" t="s">
        <v>1668</v>
      </c>
      <c r="AB4" s="3648" t="s">
        <v>1669</v>
      </c>
      <c r="AC4" s="3648" t="s">
        <v>1670</v>
      </c>
    </row>
    <row r="5" spans="1:29" ht="15">
      <c r="A5" s="358"/>
      <c r="B5" s="359"/>
      <c r="C5" s="3659" t="s">
        <v>1673</v>
      </c>
      <c r="D5" s="3660"/>
      <c r="E5" s="3711" t="s">
        <v>1674</v>
      </c>
      <c r="F5" s="3658"/>
      <c r="G5" s="3659" t="s">
        <v>1675</v>
      </c>
      <c r="H5" s="3660"/>
      <c r="I5" s="3659" t="s">
        <v>1676</v>
      </c>
      <c r="J5" s="3660"/>
      <c r="K5" s="1890"/>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1890"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1" t="s">
        <v>1680</v>
      </c>
      <c r="Q7" s="3680"/>
      <c r="R7" s="701" t="s">
        <v>20</v>
      </c>
      <c r="S7" s="702">
        <f t="shared" ref="S7:S15" si="0">F7</f>
        <v>0</v>
      </c>
      <c r="T7" s="701" t="s">
        <v>20</v>
      </c>
      <c r="U7" s="702">
        <f t="shared" ref="U7:U15" si="1">H7</f>
        <v>0</v>
      </c>
      <c r="V7" s="701" t="s">
        <v>20</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1" t="s">
        <v>1683</v>
      </c>
      <c r="Q8" s="3652"/>
      <c r="R8" s="701" t="s">
        <v>20</v>
      </c>
      <c r="S8" s="702">
        <f t="shared" si="0"/>
        <v>100</v>
      </c>
      <c r="T8" s="701" t="s">
        <v>20</v>
      </c>
      <c r="U8" s="702">
        <f t="shared" si="1"/>
        <v>100</v>
      </c>
      <c r="V8" s="701" t="s">
        <v>20</v>
      </c>
      <c r="W8" s="702">
        <f t="shared" si="2"/>
        <v>100</v>
      </c>
      <c r="X8" s="703"/>
      <c r="Y8" s="3651" t="s">
        <v>1683</v>
      </c>
      <c r="Z8" s="365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68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68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68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3"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4"/>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4"/>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4"/>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4"/>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4"/>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4"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4"/>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4"/>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4"/>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4"/>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4"/>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4"/>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4"/>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5"/>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232.31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7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79"/>
      <c r="AC5" s="3649"/>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79"/>
      <c r="AC6" s="3650"/>
    </row>
    <row r="7" spans="1:29" s="108" customFormat="1" ht="15.75" thickBot="1">
      <c r="A7" s="362" t="s">
        <v>1679</v>
      </c>
      <c r="B7" s="363"/>
      <c r="C7" s="364">
        <f>'数据-取费表'!B2</f>
        <v>45586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1"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1" t="s">
        <v>1683</v>
      </c>
      <c r="Q8" s="3652"/>
      <c r="R8" s="701" t="s">
        <v>14</v>
      </c>
      <c r="S8" s="702">
        <f t="shared" si="0"/>
        <v>100</v>
      </c>
      <c r="T8" s="701" t="s">
        <v>14</v>
      </c>
      <c r="U8" s="702">
        <f t="shared" si="1"/>
        <v>100</v>
      </c>
      <c r="V8" s="701" t="s">
        <v>14</v>
      </c>
      <c r="W8" s="702">
        <f t="shared" si="2"/>
        <v>100</v>
      </c>
      <c r="X8" s="703"/>
      <c r="Y8" s="3651" t="s">
        <v>1683</v>
      </c>
      <c r="Z8" s="36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68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68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3"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4"/>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4"/>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4"/>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4"/>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4"/>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4"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4"/>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4"/>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4"/>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4"/>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4"/>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4"/>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4"/>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79">
        <f>E47</f>
        <v>0</v>
      </c>
      <c r="S47" s="3679"/>
      <c r="T47" s="3679">
        <f>G47</f>
        <v>0</v>
      </c>
      <c r="U47" s="3679"/>
      <c r="V47" s="3679">
        <f>I47</f>
        <v>0</v>
      </c>
      <c r="W47" s="367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232.31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59" t="s">
        <v>1673</v>
      </c>
      <c r="D5" s="3660"/>
      <c r="E5" s="3711" t="s">
        <v>1674</v>
      </c>
      <c r="F5" s="3658"/>
      <c r="G5" s="3659" t="s">
        <v>1675</v>
      </c>
      <c r="H5" s="3660"/>
      <c r="I5" s="3659" t="s">
        <v>1676</v>
      </c>
      <c r="J5" s="3660"/>
      <c r="K5" s="559"/>
      <c r="L5" s="2715"/>
      <c r="M5" s="2716"/>
      <c r="N5" s="2716"/>
      <c r="O5" s="2716"/>
      <c r="P5" s="3726"/>
      <c r="Q5" s="3674"/>
      <c r="R5" s="3655"/>
      <c r="S5" s="3656"/>
      <c r="T5" s="3655"/>
      <c r="U5" s="3656"/>
      <c r="V5" s="3679"/>
      <c r="W5" s="3679"/>
      <c r="X5" s="1355"/>
      <c r="Y5" s="3655"/>
      <c r="Z5" s="3656"/>
      <c r="AA5" s="3649"/>
      <c r="AB5" s="3649"/>
      <c r="AC5" s="3722"/>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727"/>
      <c r="Q6" s="3676"/>
      <c r="R6" s="3655"/>
      <c r="S6" s="3656"/>
      <c r="T6" s="3677"/>
      <c r="U6" s="3678"/>
      <c r="V6" s="3679"/>
      <c r="W6" s="3679"/>
      <c r="X6" s="1355"/>
      <c r="Y6" s="3677"/>
      <c r="Z6" s="3678"/>
      <c r="AA6" s="3650"/>
      <c r="AB6" s="3650"/>
      <c r="AC6" s="3723"/>
    </row>
    <row r="7" spans="1:29" s="108" customFormat="1" ht="15.75" thickBot="1">
      <c r="A7" s="362" t="s">
        <v>1679</v>
      </c>
      <c r="B7" s="363"/>
      <c r="C7" s="364">
        <f>'数据-取费表'!B2</f>
        <v>45586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68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68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68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68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68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3"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4"/>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4"/>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4"/>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4"/>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4"/>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4"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4"/>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4"/>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4"/>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4"/>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4"/>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4"/>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5"/>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666"/>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666"/>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估价对象为北京市房地产，为所有。根据《国有土地使用证》[]，估价对象（分摊）出让国有建设用地使用权面积为0平方米，建筑面积为232.31平方米。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估价对象为北京市房地产,属开发建设的工业项目，该项目尚在开发建设中。根据《国有土地使用证》[]，估价对象（分摊）出让国有建设用地使用权面积为0平方米，规划建筑面积为232.31平方米。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1" t="s">
        <v>1680</v>
      </c>
      <c r="Q7" s="3680"/>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1" t="s">
        <v>1683</v>
      </c>
      <c r="Q8" s="3652"/>
      <c r="R8" s="701" t="s">
        <v>14</v>
      </c>
      <c r="S8" s="702">
        <f t="shared" si="0"/>
        <v>100</v>
      </c>
      <c r="T8" s="701" t="s">
        <v>14</v>
      </c>
      <c r="U8" s="702">
        <f t="shared" si="1"/>
        <v>100</v>
      </c>
      <c r="V8" s="701" t="s">
        <v>14</v>
      </c>
      <c r="W8" s="702">
        <f t="shared" si="2"/>
        <v>100</v>
      </c>
      <c r="X8" s="703"/>
      <c r="Y8" s="3651" t="s">
        <v>1683</v>
      </c>
      <c r="Z8" s="36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2"/>
      <c r="Q17" s="1352"/>
      <c r="R17" s="705"/>
      <c r="S17" s="706"/>
      <c r="T17" s="705"/>
      <c r="U17" s="706"/>
      <c r="V17" s="705"/>
      <c r="W17" s="706"/>
      <c r="X17" s="1355"/>
      <c r="Y17" s="368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2"/>
      <c r="Q19" s="1352"/>
      <c r="R19" s="705"/>
      <c r="S19" s="706"/>
      <c r="T19" s="705"/>
      <c r="U19" s="706"/>
      <c r="V19" s="705"/>
      <c r="W19" s="706"/>
      <c r="X19" s="1355"/>
      <c r="Y19" s="368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66" t="str">
        <f>A37</f>
        <v>成交单价</v>
      </c>
      <c r="Q37" s="3666"/>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7" t="str">
        <f>A39</f>
        <v>估价对象XX用房的比较价值（楼面单价，元/平方米）</v>
      </c>
      <c r="Q39" s="3688"/>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1" t="s">
        <v>1680</v>
      </c>
      <c r="Q7" s="3680"/>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1" t="s">
        <v>1683</v>
      </c>
      <c r="Q8" s="3652"/>
      <c r="R8" s="701" t="s">
        <v>14</v>
      </c>
      <c r="S8" s="702">
        <f t="shared" si="0"/>
        <v>100</v>
      </c>
      <c r="T8" s="701" t="s">
        <v>14</v>
      </c>
      <c r="U8" s="702">
        <f t="shared" si="1"/>
        <v>100</v>
      </c>
      <c r="V8" s="701" t="s">
        <v>14</v>
      </c>
      <c r="W8" s="702">
        <f t="shared" si="2"/>
        <v>100</v>
      </c>
      <c r="X8" s="703"/>
      <c r="Y8" s="3651" t="s">
        <v>1683</v>
      </c>
      <c r="Z8" s="36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2"/>
      <c r="Q17" s="1352"/>
      <c r="R17" s="705"/>
      <c r="S17" s="706"/>
      <c r="T17" s="705"/>
      <c r="U17" s="706"/>
      <c r="V17" s="705"/>
      <c r="W17" s="706"/>
      <c r="X17" s="1355"/>
      <c r="Y17" s="368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2"/>
      <c r="Q19" s="1352"/>
      <c r="R19" s="705"/>
      <c r="S19" s="706"/>
      <c r="T19" s="705"/>
      <c r="U19" s="706"/>
      <c r="V19" s="705"/>
      <c r="W19" s="706"/>
      <c r="X19" s="1355"/>
      <c r="Y19" s="368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7" t="str">
        <f>A37</f>
        <v>估价对象XX用房的比较价值（楼面单价，元/平方米）</v>
      </c>
      <c r="Q37" s="3688"/>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30"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30"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50"/>
      <c r="AC6" s="3650"/>
    </row>
    <row r="7" spans="1:30" s="108" customFormat="1" ht="15.75" thickBot="1">
      <c r="A7" s="362" t="s">
        <v>1679</v>
      </c>
      <c r="B7" s="363"/>
      <c r="C7" s="364">
        <f>'数据-取费表'!B2</f>
        <v>45586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1"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1" t="s">
        <v>1683</v>
      </c>
      <c r="Q8" s="3652"/>
      <c r="R8" s="701" t="s">
        <v>14</v>
      </c>
      <c r="S8" s="702">
        <f t="shared" si="0"/>
        <v>0</v>
      </c>
      <c r="T8" s="701" t="s">
        <v>14</v>
      </c>
      <c r="U8" s="702">
        <f t="shared" si="1"/>
        <v>0</v>
      </c>
      <c r="V8" s="701" t="s">
        <v>14</v>
      </c>
      <c r="W8" s="702">
        <f t="shared" si="2"/>
        <v>0</v>
      </c>
      <c r="X8" s="703"/>
      <c r="Y8" s="3651" t="s">
        <v>1683</v>
      </c>
      <c r="Z8" s="365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66"/>
      <c r="Q10" s="1343" t="str">
        <f t="shared" si="6"/>
        <v>土地使用年限（年）</v>
      </c>
      <c r="R10" s="701" t="s">
        <v>14</v>
      </c>
      <c r="S10" s="702">
        <f t="shared" si="0"/>
        <v>130</v>
      </c>
      <c r="T10" s="701" t="s">
        <v>14</v>
      </c>
      <c r="U10" s="702">
        <f t="shared" si="1"/>
        <v>130</v>
      </c>
      <c r="V10" s="701" t="s">
        <v>14</v>
      </c>
      <c r="W10" s="702">
        <f t="shared" si="2"/>
        <v>130</v>
      </c>
      <c r="X10" s="703"/>
      <c r="Y10" s="3616"/>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2"/>
      <c r="Q20" s="1352"/>
      <c r="R20" s="705"/>
      <c r="S20" s="706"/>
      <c r="T20" s="705"/>
      <c r="U20" s="706"/>
      <c r="V20" s="705"/>
      <c r="W20" s="706"/>
      <c r="X20" s="1355"/>
      <c r="Y20" s="368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2"/>
      <c r="Q24" s="1352"/>
      <c r="R24" s="705"/>
      <c r="S24" s="706"/>
      <c r="T24" s="705"/>
      <c r="U24" s="706"/>
      <c r="V24" s="705"/>
      <c r="W24" s="706"/>
      <c r="X24" s="1355"/>
      <c r="Y24" s="368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83"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79">
        <f>E46</f>
        <v>0</v>
      </c>
      <c r="S46" s="3679"/>
      <c r="T46" s="3679">
        <f>G46</f>
        <v>0</v>
      </c>
      <c r="U46" s="3679"/>
      <c r="V46" s="3679">
        <f>I46</f>
        <v>0</v>
      </c>
      <c r="W46" s="367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7" t="str">
        <f>A48</f>
        <v>估价对象XX用房的比较价值（楼面单价，元/平方米）</v>
      </c>
      <c r="Q48" s="3688"/>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7"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232.31</v>
      </c>
      <c r="F56" s="886" t="e">
        <f t="shared" ref="F56:F64" si="15">ROUND(B56*E56/10000,0)</f>
        <v>#DIV/0!</v>
      </c>
      <c r="G56" s="3712"/>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232.31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H1" zoomScaleNormal="80" zoomScaleSheetLayoutView="100" workbookViewId="0">
      <selection activeCell="S17" sqref="S1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232.31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10258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2441</v>
      </c>
      <c r="F3" s="2004" t="s">
        <v>3403</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8086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6834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6027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5792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3456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f>ROUND(IF(F21="与级别开发程度一致",0,(G21-E21)/C21),0)</f>
        <v>-36</v>
      </c>
      <c r="D20" s="3341" t="s">
        <v>1998</v>
      </c>
      <c r="E20" s="3342"/>
      <c r="F20" s="3754" t="s">
        <v>1995</v>
      </c>
      <c r="G20" s="3755"/>
      <c r="H20" s="3326" t="s">
        <v>3418</v>
      </c>
      <c r="I20" s="3326" t="s">
        <v>3419</v>
      </c>
      <c r="J20" s="3327" t="s">
        <v>3420</v>
      </c>
      <c r="K20" s="2047" t="s">
        <v>3421</v>
      </c>
      <c r="L20" s="2047" t="s">
        <v>3422</v>
      </c>
      <c r="M20" s="2047" t="s">
        <v>3423</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2002</v>
      </c>
      <c r="E23" s="761">
        <v>44197</v>
      </c>
      <c r="F23" s="2054" t="s">
        <v>2003</v>
      </c>
      <c r="G23" s="762">
        <f>'数据-取费表'!B2</f>
        <v>45586</v>
      </c>
      <c r="H23" s="3343" t="s">
        <v>3257</v>
      </c>
      <c r="I23" s="3344" t="str">
        <f>IF(H23="季度增幅（自定义）",SUMIF(N25:N28,E2,O25:O28),"")</f>
        <v/>
      </c>
      <c r="J23" s="3446" t="s">
        <v>3455</v>
      </c>
      <c r="K23" s="1125"/>
      <c r="L23" s="2055" t="s">
        <v>2004</v>
      </c>
      <c r="M23" s="1328">
        <f>ROUND(SUMIF(地价!B2:G2,E2,地价!B16:G16),0)</f>
        <v>350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0.78420000000000001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3453</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8086</v>
      </c>
      <c r="D33" s="2098">
        <f>'数据-汇总表'!F19</f>
        <v>232.31</v>
      </c>
      <c r="E33" s="773">
        <f>ROUND(C33*D33/10000,0)</f>
        <v>188</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4098</v>
      </c>
      <c r="D37" s="2098"/>
      <c r="E37" s="171">
        <f>ROUND(C37*D37/10000,0)</f>
        <v>0</v>
      </c>
      <c r="F37" s="171">
        <f>SUMIF(修正!A57:A68,G2,修正!B57:B68)</f>
        <v>0.6</v>
      </c>
      <c r="G37" s="171">
        <f>ROUND(IF(E2="工业",C37*$M$42,C37*$M$41),0)</f>
        <v>1025</v>
      </c>
      <c r="H37" s="171">
        <f>D37</f>
        <v>0</v>
      </c>
      <c r="I37" s="171">
        <f>ROUND(G37*H37/10000,0)</f>
        <v>0</v>
      </c>
      <c r="J37" s="3012"/>
      <c r="K37" s="3359" t="s">
        <v>3267</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2049</v>
      </c>
      <c r="D38" s="2098"/>
      <c r="E38" s="171">
        <f t="shared" ref="E38:E42" si="4">ROUND(C38*D38/10000,0)</f>
        <v>0</v>
      </c>
      <c r="F38" s="171">
        <f>SUMIF(修正!A57:A68,G2,修正!C57:C68)</f>
        <v>0.3</v>
      </c>
      <c r="G38" s="171">
        <f>ROUND(IF(E2="工业",C38*$M$42,C38*$M$41),0)</f>
        <v>512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3260</v>
      </c>
      <c r="C39" s="175">
        <f>ROUND(D5*C22*C23*C24*C28*F39,0)</f>
        <v>1708</v>
      </c>
      <c r="D39" s="2098"/>
      <c r="E39" s="171">
        <f t="shared" si="4"/>
        <v>0</v>
      </c>
      <c r="F39" s="171">
        <f>SUMIF(修正!A57:A68,G2,修正!D57:D68)</f>
        <v>0.25</v>
      </c>
      <c r="G39" s="171">
        <f>ROUND(IF(E2="工业",C39*$M$42,C39*$M$41),0)</f>
        <v>427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1708</v>
      </c>
      <c r="D40" s="2098"/>
      <c r="E40" s="171">
        <f t="shared" si="4"/>
        <v>0</v>
      </c>
      <c r="F40" s="175">
        <f>SUMIF(修正!A57:A68,G2,修正!E57:E68)</f>
        <v>0.25</v>
      </c>
      <c r="G40" s="171">
        <f>ROUND(IF(E2="工业",C40*$M$42,C40*$M$41),0)</f>
        <v>427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1917</v>
      </c>
      <c r="D41" s="2098">
        <f>'数据-汇总表'!G19</f>
        <v>0</v>
      </c>
      <c r="E41" s="171">
        <f t="shared" si="4"/>
        <v>0</v>
      </c>
      <c r="F41" s="175">
        <f>SUMIF(修正!A57:A68,G2,修正!F57:F68)</f>
        <v>0.25</v>
      </c>
      <c r="G41" s="171">
        <f>ROUND(IF(E2="工业",C41*$M$42,C41*$M$41),0)</f>
        <v>479</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1150</v>
      </c>
      <c r="D42" s="2103"/>
      <c r="E42" s="187">
        <f t="shared" si="4"/>
        <v>0</v>
      </c>
      <c r="F42" s="767">
        <f>SUMIF(修正!A57:A68,G2,修正!G57:G68)</f>
        <v>0.15</v>
      </c>
      <c r="G42" s="187">
        <f>ROUND(IF(E2="工业",C42*$M$42,C42*$M$41),0)</f>
        <v>288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0.88029999999999997</v>
      </c>
      <c r="D44" s="171" t="s">
        <v>1999</v>
      </c>
      <c r="E44" s="2153">
        <f>G24</f>
        <v>5.5E-2</v>
      </c>
      <c r="F44" s="171" t="s">
        <v>2008</v>
      </c>
      <c r="G44" s="183">
        <f>项目基本情况!D15+10</f>
        <v>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0.13</v>
      </c>
      <c r="G50" s="1063"/>
      <c r="H50" s="1066">
        <f t="shared" ref="H50:H58" si="8">IFERROR(ROUNDDOWN($F$50*I50/2,4),"——")</f>
        <v>1.95E-2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1.43E-2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3270</v>
      </c>
      <c r="B52" s="2134">
        <f>估价对象房地状况!C19</f>
        <v>0</v>
      </c>
      <c r="C52" s="2044"/>
      <c r="D52" s="1065">
        <f t="shared" si="7"/>
        <v>0</v>
      </c>
      <c r="E52" s="745"/>
      <c r="F52" s="1814"/>
      <c r="G52" s="1063"/>
      <c r="H52" s="1066">
        <f t="shared" si="8"/>
        <v>7.7999999999999996E-3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f t="shared" si="8"/>
        <v>3.2000000000000002E-3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f t="shared" si="8"/>
        <v>5.1999999999999998E-3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f t="shared" si="8"/>
        <v>3.2000000000000002E-3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f t="shared" si="8"/>
        <v>3.2000000000000002E-3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f t="shared" si="8"/>
        <v>5.1999999999999998E-3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f t="shared" si="8"/>
        <v>3.2000000000000002E-3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t="e">
        <f t="shared" ref="D83:D90" si="22">SUMIF($J$82:$N$82,C83,J83:N83)</f>
        <v>#VALUE!</v>
      </c>
      <c r="E83" s="744" t="e">
        <f>ROUND(SUM(D83:D90),4)</f>
        <v>#VALUE!</v>
      </c>
      <c r="F83" s="1814" t="str">
        <f>IF(E2="工业",SUMIF(L1:L12,G2,N1:N12),"——")</f>
        <v>——</v>
      </c>
      <c r="G83" s="1063" t="str">
        <f>H83</f>
        <v>——</v>
      </c>
      <c r="H83" s="1066" t="str">
        <f t="shared" ref="H83:H90" si="23">IFERROR(ROUNDDOWN($F$83*I83/2,4),"——")</f>
        <v>——</v>
      </c>
      <c r="I83" s="3367">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0</v>
      </c>
      <c r="E84" s="747"/>
      <c r="F84" s="1814"/>
      <c r="G84" s="1063" t="str">
        <f t="shared" ref="G84:G90" si="27">H84</f>
        <v>——</v>
      </c>
      <c r="H84" s="1066" t="str">
        <f t="shared" si="23"/>
        <v>——</v>
      </c>
      <c r="I84" s="3367">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9" t="s">
        <v>3271</v>
      </c>
      <c r="B85" s="2134">
        <f>估价对象房地状况!G17</f>
        <v>0</v>
      </c>
      <c r="C85" s="2044" t="s">
        <v>3399</v>
      </c>
      <c r="D85" s="1065" t="e">
        <f t="shared" si="22"/>
        <v>#VALUE!</v>
      </c>
      <c r="E85" s="747"/>
      <c r="F85" s="1814"/>
      <c r="G85" s="1063" t="str">
        <f t="shared" si="27"/>
        <v>——</v>
      </c>
      <c r="H85" s="1066" t="str">
        <f t="shared" si="23"/>
        <v>——</v>
      </c>
      <c r="I85" s="3367">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3401</v>
      </c>
      <c r="D86" s="1065" t="e">
        <f t="shared" si="22"/>
        <v>#VALUE!</v>
      </c>
      <c r="E86" s="747"/>
      <c r="F86" s="1814"/>
      <c r="G86" s="1063" t="str">
        <f t="shared" si="27"/>
        <v>——</v>
      </c>
      <c r="H86" s="1066" t="str">
        <f t="shared" si="23"/>
        <v>——</v>
      </c>
      <c r="I86" s="3367">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3400</v>
      </c>
      <c r="D87" s="1065">
        <f t="shared" si="22"/>
        <v>0</v>
      </c>
      <c r="E87" s="747"/>
      <c r="F87" s="1814"/>
      <c r="G87" s="1063" t="str">
        <f t="shared" si="27"/>
        <v>——</v>
      </c>
      <c r="H87" s="1066" t="str">
        <f t="shared" si="23"/>
        <v>——</v>
      </c>
      <c r="I87" s="3367">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3402</v>
      </c>
      <c r="D88" s="1065" t="e">
        <f t="shared" si="22"/>
        <v>#VALUE!</v>
      </c>
      <c r="E88" s="747"/>
      <c r="F88" s="1814"/>
      <c r="G88" s="1063" t="str">
        <f t="shared" si="27"/>
        <v>——</v>
      </c>
      <c r="H88" s="1066" t="str">
        <f t="shared" si="23"/>
        <v>——</v>
      </c>
      <c r="I88" s="3367">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3399</v>
      </c>
      <c r="D89" s="1065" t="e">
        <f t="shared" si="22"/>
        <v>#VALUE!</v>
      </c>
      <c r="E89" s="747"/>
      <c r="F89" s="1814"/>
      <c r="G89" s="1063" t="str">
        <f t="shared" si="27"/>
        <v>——</v>
      </c>
      <c r="H89" s="1066" t="str">
        <f t="shared" si="23"/>
        <v>——</v>
      </c>
      <c r="I89" s="3367">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3399</v>
      </c>
      <c r="D90" s="1065" t="e">
        <f t="shared" si="22"/>
        <v>#VALUE!</v>
      </c>
      <c r="E90" s="748"/>
      <c r="F90" s="1814"/>
      <c r="G90" s="1063" t="str">
        <f t="shared" si="27"/>
        <v>——</v>
      </c>
      <c r="H90" s="1066" t="str">
        <f t="shared" si="23"/>
        <v>——</v>
      </c>
      <c r="I90" s="3368">
        <v>0.05</v>
      </c>
      <c r="J90" s="1064" t="e">
        <f t="shared" si="24"/>
        <v>#VALUE!</v>
      </c>
      <c r="K90" s="1064" t="e">
        <f t="shared" si="25"/>
        <v>#VALUE!</v>
      </c>
      <c r="L90" s="1064">
        <v>0</v>
      </c>
      <c r="M90" s="1064" t="e">
        <f t="shared" si="26"/>
        <v>#VALUE!</v>
      </c>
      <c r="N90" s="1064" t="e">
        <f t="shared" si="26"/>
        <v>#VALUE!</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3295</v>
      </c>
      <c r="B103" s="3750"/>
      <c r="C103" s="3750"/>
      <c r="D103" s="3750"/>
      <c r="E103" s="3750"/>
      <c r="F103" s="3750"/>
      <c r="G103" s="3750"/>
      <c r="H103" s="3750"/>
      <c r="I103" s="3750"/>
      <c r="J103" s="3750"/>
      <c r="K103" s="3390"/>
      <c r="L103" s="3390"/>
      <c r="M103" s="3390"/>
      <c r="N103" s="3390"/>
    </row>
    <row r="104" spans="1:14">
      <c r="A104" s="3751" t="s">
        <v>3296</v>
      </c>
      <c r="B104" s="3751" t="s">
        <v>3297</v>
      </c>
      <c r="C104" s="3391" t="s">
        <v>3298</v>
      </c>
      <c r="D104" s="3392"/>
      <c r="E104" s="3392"/>
      <c r="F104" s="3392"/>
      <c r="G104" s="3392"/>
      <c r="H104" s="3392"/>
      <c r="I104" s="3392"/>
      <c r="J104" s="3393"/>
      <c r="K104" s="3394"/>
      <c r="L104" s="3394"/>
      <c r="M104" s="3394"/>
      <c r="N104" s="3394"/>
    </row>
    <row r="105" spans="1:14">
      <c r="A105" s="3751"/>
      <c r="B105" s="3751"/>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37"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3269</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39"/>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40" t="s">
        <v>3312</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2.5</v>
      </c>
      <c r="C116" s="3400" t="s">
        <v>3314</v>
      </c>
      <c r="D116" s="3401">
        <f>SUMPRODUCT((A118:A122=F116)*(B117:M117=H116)*B118:M122)</f>
        <v>0.91400000000000003</v>
      </c>
      <c r="E116" s="2000" t="s">
        <v>3315</v>
      </c>
      <c r="F116" s="3402" t="str">
        <f>E2</f>
        <v>商业</v>
      </c>
      <c r="G116" s="2000" t="s">
        <v>3316</v>
      </c>
      <c r="H116" s="3402" t="str">
        <f>G2</f>
        <v>七级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3330</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3331</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3332</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1"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1" t="s">
        <v>1683</v>
      </c>
      <c r="Q8" s="3652"/>
      <c r="R8" s="701" t="s">
        <v>14</v>
      </c>
      <c r="S8" s="702">
        <f t="shared" si="0"/>
        <v>0</v>
      </c>
      <c r="T8" s="701" t="s">
        <v>14</v>
      </c>
      <c r="U8" s="702">
        <f t="shared" si="1"/>
        <v>0</v>
      </c>
      <c r="V8" s="701" t="s">
        <v>14</v>
      </c>
      <c r="W8" s="702">
        <f t="shared" si="2"/>
        <v>0</v>
      </c>
      <c r="X8" s="703"/>
      <c r="Y8" s="3651" t="s">
        <v>1683</v>
      </c>
      <c r="Z8" s="365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66"/>
      <c r="Q10" s="1343" t="str">
        <f t="shared" si="6"/>
        <v>土地使用年限（年）</v>
      </c>
      <c r="R10" s="701" t="s">
        <v>14</v>
      </c>
      <c r="S10" s="702">
        <f t="shared" si="0"/>
        <v>130</v>
      </c>
      <c r="T10" s="701" t="s">
        <v>14</v>
      </c>
      <c r="U10" s="702">
        <f t="shared" si="1"/>
        <v>130</v>
      </c>
      <c r="V10" s="701" t="s">
        <v>14</v>
      </c>
      <c r="W10" s="702">
        <f t="shared" si="2"/>
        <v>130</v>
      </c>
      <c r="X10" s="703"/>
      <c r="Y10" s="3616"/>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83"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79">
        <f>E41</f>
        <v>0</v>
      </c>
      <c r="S41" s="3679"/>
      <c r="T41" s="3679">
        <f>G41</f>
        <v>0</v>
      </c>
      <c r="U41" s="3679"/>
      <c r="V41" s="3679">
        <f>I41</f>
        <v>0</v>
      </c>
      <c r="W41" s="367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7" t="str">
        <f>A43</f>
        <v>估价对象XX用房的比较价值（楼面单价，元/平方米）</v>
      </c>
      <c r="Q43" s="3688"/>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7"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232.31</v>
      </c>
      <c r="F51" s="639" t="e">
        <f t="shared" ref="F51:F60" si="15">ROUND(B51*E51/10000,0)</f>
        <v>#DIV/0!</v>
      </c>
      <c r="G51" s="3712"/>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232.31</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232.31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3" t="s">
        <v>2609</v>
      </c>
      <c r="B20" s="3766" t="s">
        <v>2630</v>
      </c>
      <c r="C20" s="3103" t="s">
        <v>2441</v>
      </c>
      <c r="D20" s="3104"/>
      <c r="E20" s="3105">
        <v>1</v>
      </c>
      <c r="F20" s="3106" t="s">
        <v>2442</v>
      </c>
      <c r="G20" s="3106"/>
    </row>
    <row r="21" spans="1:13" ht="19.5" customHeight="1">
      <c r="A21" s="3774"/>
      <c r="B21" s="3767"/>
      <c r="C21" s="3107" t="s">
        <v>2443</v>
      </c>
      <c r="D21" s="3108"/>
      <c r="E21" s="3109">
        <v>1</v>
      </c>
      <c r="F21" s="3106" t="s">
        <v>2444</v>
      </c>
      <c r="G21" s="3106"/>
    </row>
    <row r="22" spans="1:13" ht="19.5" customHeight="1">
      <c r="A22" s="3774"/>
      <c r="B22" s="3767"/>
      <c r="C22" s="3107" t="s">
        <v>2445</v>
      </c>
      <c r="D22" s="3108"/>
      <c r="E22" s="3109">
        <v>0.9</v>
      </c>
      <c r="F22" s="3106" t="s">
        <v>2446</v>
      </c>
      <c r="G22" s="3106"/>
    </row>
    <row r="23" spans="1:13" ht="19.5" customHeight="1">
      <c r="A23" s="3774"/>
      <c r="B23" s="3767"/>
      <c r="C23" s="3107" t="s">
        <v>2447</v>
      </c>
      <c r="D23" s="3108"/>
      <c r="E23" s="3109">
        <v>0.9</v>
      </c>
      <c r="F23" s="3106" t="s">
        <v>2448</v>
      </c>
      <c r="G23" s="3106"/>
    </row>
    <row r="24" spans="1:13" ht="19.5" customHeight="1">
      <c r="A24" s="3774"/>
      <c r="B24" s="3767"/>
      <c r="C24" s="3107" t="s">
        <v>2449</v>
      </c>
      <c r="D24" s="3108"/>
      <c r="E24" s="3109">
        <v>0.8</v>
      </c>
      <c r="F24" s="3106" t="s">
        <v>2450</v>
      </c>
      <c r="G24" s="3106"/>
    </row>
    <row r="25" spans="1:13" ht="19.5" customHeight="1" thickBot="1">
      <c r="A25" s="3775"/>
      <c r="B25" s="376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9" t="s">
        <v>2633</v>
      </c>
      <c r="B27" s="3766" t="s">
        <v>2614</v>
      </c>
      <c r="C27" s="3103" t="s">
        <v>2454</v>
      </c>
      <c r="D27" s="3104"/>
      <c r="E27" s="3105">
        <v>1</v>
      </c>
      <c r="F27" s="3106" t="s">
        <v>2455</v>
      </c>
      <c r="G27" s="3106"/>
    </row>
    <row r="28" spans="1:13" ht="19.5" customHeight="1">
      <c r="A28" s="3770"/>
      <c r="B28" s="3767"/>
      <c r="C28" s="3107" t="s">
        <v>2456</v>
      </c>
      <c r="D28" s="3108"/>
      <c r="E28" s="3109">
        <v>1</v>
      </c>
      <c r="F28" s="3106" t="s">
        <v>2457</v>
      </c>
      <c r="G28" s="3106"/>
    </row>
    <row r="29" spans="1:13" ht="19.5" customHeight="1">
      <c r="A29" s="3770"/>
      <c r="B29" s="3767"/>
      <c r="C29" s="3107" t="s">
        <v>2458</v>
      </c>
      <c r="D29" s="3108"/>
      <c r="E29" s="3109">
        <v>0.8</v>
      </c>
      <c r="F29" s="3106" t="s">
        <v>2459</v>
      </c>
      <c r="G29" s="3106"/>
    </row>
    <row r="30" spans="1:13" ht="19.5" customHeight="1">
      <c r="A30" s="3770"/>
      <c r="B30" s="3767"/>
      <c r="C30" s="3107" t="s">
        <v>2460</v>
      </c>
      <c r="D30" s="3108"/>
      <c r="E30" s="3109">
        <v>0.8</v>
      </c>
      <c r="F30" s="3106" t="s">
        <v>2461</v>
      </c>
      <c r="G30" s="3106"/>
    </row>
    <row r="31" spans="1:13" ht="19.5" customHeight="1">
      <c r="A31" s="3770"/>
      <c r="B31" s="3767"/>
      <c r="C31" s="3107" t="s">
        <v>2462</v>
      </c>
      <c r="D31" s="3108"/>
      <c r="E31" s="3109">
        <v>0.8</v>
      </c>
      <c r="F31" s="3106" t="s">
        <v>2463</v>
      </c>
      <c r="G31" s="3106"/>
    </row>
    <row r="32" spans="1:13" ht="19.5" customHeight="1">
      <c r="A32" s="3770"/>
      <c r="B32" s="3767"/>
      <c r="C32" s="3107" t="s">
        <v>2464</v>
      </c>
      <c r="D32" s="3108"/>
      <c r="E32" s="3109">
        <v>0.7</v>
      </c>
      <c r="F32" s="3106" t="s">
        <v>2465</v>
      </c>
      <c r="G32" s="3106"/>
    </row>
    <row r="33" spans="1:7" ht="19.5" customHeight="1">
      <c r="A33" s="3770"/>
      <c r="B33" s="3767"/>
      <c r="C33" s="3107" t="s">
        <v>2466</v>
      </c>
      <c r="D33" s="3108"/>
      <c r="E33" s="3109">
        <v>0.8</v>
      </c>
      <c r="F33" s="3106" t="s">
        <v>2467</v>
      </c>
      <c r="G33" s="3106"/>
    </row>
    <row r="34" spans="1:7" ht="19.5" customHeight="1">
      <c r="A34" s="3770"/>
      <c r="B34" s="3767"/>
      <c r="C34" s="3107" t="s">
        <v>2468</v>
      </c>
      <c r="D34" s="3108"/>
      <c r="E34" s="3109">
        <v>0.6</v>
      </c>
      <c r="F34" s="3106" t="s">
        <v>2469</v>
      </c>
      <c r="G34" s="3106"/>
    </row>
    <row r="35" spans="1:7" ht="19.5" customHeight="1">
      <c r="A35" s="3770"/>
      <c r="B35" s="3767"/>
      <c r="C35" s="3107" t="s">
        <v>2470</v>
      </c>
      <c r="D35" s="3108"/>
      <c r="E35" s="3109">
        <v>0.2</v>
      </c>
      <c r="F35" s="3106" t="s">
        <v>2471</v>
      </c>
      <c r="G35" s="3106"/>
    </row>
    <row r="36" spans="1:7" ht="19.5" customHeight="1">
      <c r="A36" s="3770"/>
      <c r="B36" s="3767"/>
      <c r="C36" s="3107" t="s">
        <v>2472</v>
      </c>
      <c r="D36" s="3108"/>
      <c r="E36" s="3109">
        <v>0.2</v>
      </c>
      <c r="F36" s="3106" t="s">
        <v>2473</v>
      </c>
      <c r="G36" s="3106"/>
    </row>
    <row r="37" spans="1:7" ht="19.5" customHeight="1">
      <c r="A37" s="3770"/>
      <c r="B37" s="3772" t="s">
        <v>2634</v>
      </c>
      <c r="C37" s="3107" t="s">
        <v>2474</v>
      </c>
      <c r="D37" s="3108"/>
      <c r="E37" s="3109">
        <v>0.6</v>
      </c>
      <c r="F37" s="3106" t="s">
        <v>2475</v>
      </c>
      <c r="G37" s="3106"/>
    </row>
    <row r="38" spans="1:7" ht="19.5" customHeight="1">
      <c r="A38" s="3770"/>
      <c r="B38" s="3767"/>
      <c r="C38" s="3107" t="s">
        <v>2476</v>
      </c>
      <c r="D38" s="3108"/>
      <c r="E38" s="3109">
        <v>0.6</v>
      </c>
      <c r="F38" s="3106" t="s">
        <v>2477</v>
      </c>
      <c r="G38" s="3106"/>
    </row>
    <row r="39" spans="1:7" ht="19.5" customHeight="1" thickBot="1">
      <c r="A39" s="3771"/>
      <c r="B39" s="376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3" t="s">
        <v>2612</v>
      </c>
      <c r="B41" s="3766" t="s">
        <v>2636</v>
      </c>
      <c r="C41" s="3103" t="s">
        <v>2481</v>
      </c>
      <c r="D41" s="3104"/>
      <c r="E41" s="3105">
        <v>1</v>
      </c>
      <c r="F41" s="3106" t="s">
        <v>2482</v>
      </c>
      <c r="G41" s="3106"/>
    </row>
    <row r="42" spans="1:7" ht="19.5" customHeight="1">
      <c r="A42" s="3774"/>
      <c r="B42" s="3767"/>
      <c r="C42" s="3107" t="s">
        <v>2483</v>
      </c>
      <c r="D42" s="3108"/>
      <c r="E42" s="3109">
        <v>1</v>
      </c>
      <c r="F42" s="3106" t="s">
        <v>2484</v>
      </c>
      <c r="G42" s="3106"/>
    </row>
    <row r="43" spans="1:7" ht="19.5" customHeight="1">
      <c r="A43" s="3774"/>
      <c r="B43" s="3776"/>
      <c r="C43" s="3107" t="s">
        <v>2485</v>
      </c>
      <c r="D43" s="3108"/>
      <c r="E43" s="3109">
        <v>1.5</v>
      </c>
      <c r="F43" s="3106" t="s">
        <v>2486</v>
      </c>
      <c r="G43" s="3106"/>
    </row>
    <row r="44" spans="1:7" ht="19.5" customHeight="1">
      <c r="A44" s="3774"/>
      <c r="B44" s="3118" t="s">
        <v>2637</v>
      </c>
      <c r="C44" s="3107" t="s">
        <v>2638</v>
      </c>
      <c r="D44" s="3108"/>
      <c r="E44" s="3109">
        <v>2</v>
      </c>
      <c r="F44" s="3106" t="s">
        <v>2487</v>
      </c>
      <c r="G44" s="3106"/>
    </row>
    <row r="45" spans="1:7" ht="19.5" customHeight="1">
      <c r="A45" s="3774"/>
      <c r="B45" s="3772" t="s">
        <v>2639</v>
      </c>
      <c r="C45" s="3107" t="s">
        <v>2488</v>
      </c>
      <c r="D45" s="3108"/>
      <c r="E45" s="3109">
        <v>1</v>
      </c>
      <c r="F45" s="3106" t="s">
        <v>2489</v>
      </c>
      <c r="G45" s="3106"/>
    </row>
    <row r="46" spans="1:7" ht="19.5" customHeight="1">
      <c r="A46" s="3774"/>
      <c r="B46" s="3767"/>
      <c r="C46" s="3107" t="s">
        <v>2490</v>
      </c>
      <c r="D46" s="3108"/>
      <c r="E46" s="3109">
        <v>1</v>
      </c>
      <c r="F46" s="3106" t="s">
        <v>2491</v>
      </c>
      <c r="G46" s="3106"/>
    </row>
    <row r="47" spans="1:7" ht="19.5" customHeight="1">
      <c r="A47" s="3774"/>
      <c r="B47" s="3767"/>
      <c r="C47" s="3107" t="s">
        <v>2492</v>
      </c>
      <c r="D47" s="3108"/>
      <c r="E47" s="3109">
        <v>1</v>
      </c>
      <c r="F47" s="3106" t="s">
        <v>2493</v>
      </c>
      <c r="G47" s="3106"/>
    </row>
    <row r="48" spans="1:7" ht="19.5" customHeight="1">
      <c r="A48" s="3774"/>
      <c r="B48" s="3767"/>
      <c r="C48" s="3107" t="s">
        <v>2494</v>
      </c>
      <c r="D48" s="3108"/>
      <c r="E48" s="3109">
        <v>1</v>
      </c>
      <c r="F48" s="3106" t="s">
        <v>2495</v>
      </c>
      <c r="G48" s="3106"/>
    </row>
    <row r="49" spans="1:7" ht="19.5" customHeight="1">
      <c r="A49" s="3774"/>
      <c r="B49" s="3767"/>
      <c r="C49" s="3107" t="s">
        <v>2496</v>
      </c>
      <c r="D49" s="3108"/>
      <c r="E49" s="3109">
        <v>1</v>
      </c>
      <c r="F49" s="3106" t="s">
        <v>2497</v>
      </c>
      <c r="G49" s="3106"/>
    </row>
    <row r="50" spans="1:7" ht="19.5" customHeight="1">
      <c r="A50" s="3774"/>
      <c r="B50" s="3767"/>
      <c r="C50" s="3107" t="s">
        <v>2498</v>
      </c>
      <c r="D50" s="3108"/>
      <c r="E50" s="3109">
        <v>1</v>
      </c>
      <c r="F50" s="3106" t="s">
        <v>2499</v>
      </c>
      <c r="G50" s="3106"/>
    </row>
    <row r="51" spans="1:7" ht="19.5" customHeight="1" thickBot="1">
      <c r="A51" s="3775"/>
      <c r="B51" s="376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2" t="s">
        <v>2653</v>
      </c>
      <c r="C73" s="3092" t="s">
        <v>2654</v>
      </c>
      <c r="D73" s="3092" t="s">
        <v>2655</v>
      </c>
      <c r="E73" s="3118">
        <v>0.2</v>
      </c>
      <c r="F73" s="3118">
        <v>25</v>
      </c>
    </row>
    <row r="74" spans="1:7" ht="24">
      <c r="A74" s="3118">
        <v>2</v>
      </c>
      <c r="B74" s="3767"/>
      <c r="C74" s="3092" t="s">
        <v>2656</v>
      </c>
      <c r="D74" s="3092" t="s">
        <v>2657</v>
      </c>
      <c r="E74" s="3118">
        <v>0.2</v>
      </c>
      <c r="F74" s="3118">
        <v>25</v>
      </c>
    </row>
    <row r="75" spans="1:7" ht="24">
      <c r="A75" s="3118">
        <v>3</v>
      </c>
      <c r="B75" s="3767"/>
      <c r="C75" s="3092" t="s">
        <v>2658</v>
      </c>
      <c r="D75" s="3092" t="s">
        <v>2659</v>
      </c>
      <c r="E75" s="3118">
        <v>0.2</v>
      </c>
      <c r="F75" s="3118">
        <v>25</v>
      </c>
    </row>
    <row r="76" spans="1:7" ht="13.5">
      <c r="A76" s="3118">
        <v>4</v>
      </c>
      <c r="B76" s="3767"/>
      <c r="C76" s="3092" t="s">
        <v>2660</v>
      </c>
      <c r="D76" s="3092" t="s">
        <v>2661</v>
      </c>
      <c r="E76" s="3118">
        <v>0.15</v>
      </c>
      <c r="F76" s="3118">
        <v>20</v>
      </c>
    </row>
    <row r="77" spans="1:7" ht="24">
      <c r="A77" s="3118">
        <v>5</v>
      </c>
      <c r="B77" s="3767"/>
      <c r="C77" s="3092" t="s">
        <v>2662</v>
      </c>
      <c r="D77" s="3092" t="s">
        <v>2663</v>
      </c>
      <c r="E77" s="3118">
        <v>0.15</v>
      </c>
      <c r="F77" s="3118">
        <v>20</v>
      </c>
    </row>
    <row r="78" spans="1:7" ht="24">
      <c r="A78" s="3118">
        <v>6</v>
      </c>
      <c r="B78" s="3767"/>
      <c r="C78" s="3092" t="s">
        <v>2664</v>
      </c>
      <c r="D78" s="3092" t="s">
        <v>2665</v>
      </c>
      <c r="E78" s="3118">
        <v>0.15</v>
      </c>
      <c r="F78" s="3118">
        <v>20</v>
      </c>
    </row>
    <row r="79" spans="1:7" ht="24">
      <c r="A79" s="3118">
        <v>7</v>
      </c>
      <c r="B79" s="3767"/>
      <c r="C79" s="3092" t="s">
        <v>2666</v>
      </c>
      <c r="D79" s="3092" t="s">
        <v>2667</v>
      </c>
      <c r="E79" s="3118">
        <v>0.15</v>
      </c>
      <c r="F79" s="3118">
        <v>20</v>
      </c>
    </row>
    <row r="80" spans="1:7" ht="24">
      <c r="A80" s="3118">
        <v>8</v>
      </c>
      <c r="B80" s="3767"/>
      <c r="C80" s="3092" t="s">
        <v>2668</v>
      </c>
      <c r="D80" s="3092" t="s">
        <v>2669</v>
      </c>
      <c r="E80" s="3118">
        <v>0.1</v>
      </c>
      <c r="F80" s="3118">
        <v>15</v>
      </c>
    </row>
    <row r="81" spans="1:6" ht="24">
      <c r="A81" s="3118">
        <v>9</v>
      </c>
      <c r="B81" s="3767"/>
      <c r="C81" s="3092" t="s">
        <v>2670</v>
      </c>
      <c r="D81" s="3092" t="s">
        <v>2671</v>
      </c>
      <c r="E81" s="3118">
        <v>0.1</v>
      </c>
      <c r="F81" s="3118">
        <v>15</v>
      </c>
    </row>
    <row r="82" spans="1:6" ht="24">
      <c r="A82" s="3118">
        <v>10</v>
      </c>
      <c r="B82" s="3767"/>
      <c r="C82" s="3092" t="s">
        <v>2672</v>
      </c>
      <c r="D82" s="3092" t="s">
        <v>2673</v>
      </c>
      <c r="E82" s="3118">
        <v>0.1</v>
      </c>
      <c r="F82" s="3118">
        <v>15</v>
      </c>
    </row>
    <row r="83" spans="1:6" ht="24">
      <c r="A83" s="3118">
        <v>11</v>
      </c>
      <c r="B83" s="3767"/>
      <c r="C83" s="3092" t="s">
        <v>2674</v>
      </c>
      <c r="D83" s="3092" t="s">
        <v>2675</v>
      </c>
      <c r="E83" s="3118">
        <v>0.1</v>
      </c>
      <c r="F83" s="3118">
        <v>15</v>
      </c>
    </row>
    <row r="84" spans="1:6" ht="24">
      <c r="A84" s="3118">
        <v>12</v>
      </c>
      <c r="B84" s="3767"/>
      <c r="C84" s="3092" t="s">
        <v>2676</v>
      </c>
      <c r="D84" s="3092" t="s">
        <v>2677</v>
      </c>
      <c r="E84" s="3118">
        <v>0.1</v>
      </c>
      <c r="F84" s="3118">
        <v>15</v>
      </c>
    </row>
    <row r="85" spans="1:6" ht="13.5">
      <c r="A85" s="3118">
        <v>13</v>
      </c>
      <c r="B85" s="3767"/>
      <c r="C85" s="3092" t="s">
        <v>2678</v>
      </c>
      <c r="D85" s="3092" t="s">
        <v>2679</v>
      </c>
      <c r="E85" s="3118">
        <v>0.1</v>
      </c>
      <c r="F85" s="3118">
        <v>15</v>
      </c>
    </row>
    <row r="86" spans="1:6" ht="13.5">
      <c r="A86" s="3118">
        <v>14</v>
      </c>
      <c r="B86" s="3767"/>
      <c r="C86" s="3092" t="s">
        <v>2680</v>
      </c>
      <c r="D86" s="3092" t="s">
        <v>2681</v>
      </c>
      <c r="E86" s="3118">
        <v>0.1</v>
      </c>
      <c r="F86" s="3118">
        <v>15</v>
      </c>
    </row>
    <row r="87" spans="1:6" ht="13.5">
      <c r="A87" s="3118">
        <v>15</v>
      </c>
      <c r="B87" s="3767"/>
      <c r="C87" s="3092" t="s">
        <v>2682</v>
      </c>
      <c r="D87" s="3092" t="s">
        <v>2683</v>
      </c>
      <c r="E87" s="3118">
        <v>0.1</v>
      </c>
      <c r="F87" s="3118">
        <v>15</v>
      </c>
    </row>
    <row r="88" spans="1:6" ht="24">
      <c r="A88" s="3118">
        <v>16</v>
      </c>
      <c r="B88" s="3767"/>
      <c r="C88" s="3092" t="s">
        <v>2684</v>
      </c>
      <c r="D88" s="3092" t="s">
        <v>2685</v>
      </c>
      <c r="E88" s="3118">
        <v>0.1</v>
      </c>
      <c r="F88" s="3118">
        <v>15</v>
      </c>
    </row>
    <row r="89" spans="1:6" ht="24">
      <c r="A89" s="3118">
        <v>17</v>
      </c>
      <c r="B89" s="3776"/>
      <c r="C89" s="3092" t="s">
        <v>2686</v>
      </c>
      <c r="D89" s="3092" t="s">
        <v>2687</v>
      </c>
      <c r="E89" s="3118">
        <v>0.1</v>
      </c>
      <c r="F89" s="3118">
        <v>15</v>
      </c>
    </row>
    <row r="90" spans="1:6" ht="13.5">
      <c r="A90" s="3118">
        <v>18</v>
      </c>
      <c r="B90" s="3772" t="s">
        <v>2688</v>
      </c>
      <c r="C90" s="3092" t="s">
        <v>2689</v>
      </c>
      <c r="D90" s="3092" t="s">
        <v>2690</v>
      </c>
      <c r="E90" s="3118">
        <v>0.2</v>
      </c>
      <c r="F90" s="3118">
        <v>25</v>
      </c>
    </row>
    <row r="91" spans="1:6" ht="24">
      <c r="A91" s="3118">
        <v>19</v>
      </c>
      <c r="B91" s="3767"/>
      <c r="C91" s="3092" t="s">
        <v>2691</v>
      </c>
      <c r="D91" s="3092" t="s">
        <v>2692</v>
      </c>
      <c r="E91" s="3118">
        <v>0.2</v>
      </c>
      <c r="F91" s="3118">
        <v>25</v>
      </c>
    </row>
    <row r="92" spans="1:6" ht="13.5">
      <c r="A92" s="3118">
        <v>20</v>
      </c>
      <c r="B92" s="3767"/>
      <c r="C92" s="3092" t="s">
        <v>2693</v>
      </c>
      <c r="D92" s="3092" t="s">
        <v>2694</v>
      </c>
      <c r="E92" s="3118">
        <v>0.15</v>
      </c>
      <c r="F92" s="3118">
        <v>20</v>
      </c>
    </row>
    <row r="93" spans="1:6" ht="13.5">
      <c r="A93" s="3118">
        <v>21</v>
      </c>
      <c r="B93" s="3767"/>
      <c r="C93" s="3092" t="s">
        <v>2695</v>
      </c>
      <c r="D93" s="3092" t="s">
        <v>2696</v>
      </c>
      <c r="E93" s="3118">
        <v>0.15</v>
      </c>
      <c r="F93" s="3118">
        <v>20</v>
      </c>
    </row>
    <row r="94" spans="1:6" ht="13.5">
      <c r="A94" s="3118">
        <v>22</v>
      </c>
      <c r="B94" s="3767"/>
      <c r="C94" s="3092" t="s">
        <v>2697</v>
      </c>
      <c r="D94" s="3092" t="s">
        <v>2698</v>
      </c>
      <c r="E94" s="3118">
        <v>0.15</v>
      </c>
      <c r="F94" s="3118">
        <v>20</v>
      </c>
    </row>
    <row r="95" spans="1:6" ht="36">
      <c r="A95" s="3118">
        <v>23</v>
      </c>
      <c r="B95" s="3767"/>
      <c r="C95" s="3092" t="s">
        <v>2699</v>
      </c>
      <c r="D95" s="3092" t="s">
        <v>2700</v>
      </c>
      <c r="E95" s="3118">
        <v>0.15</v>
      </c>
      <c r="F95" s="3118">
        <v>20</v>
      </c>
    </row>
    <row r="96" spans="1:6" ht="13.5">
      <c r="A96" s="3118">
        <v>24</v>
      </c>
      <c r="B96" s="3767"/>
      <c r="C96" s="3092" t="s">
        <v>2701</v>
      </c>
      <c r="D96" s="3092" t="s">
        <v>2702</v>
      </c>
      <c r="E96" s="3118">
        <v>0.1</v>
      </c>
      <c r="F96" s="3118">
        <v>15</v>
      </c>
    </row>
    <row r="97" spans="1:6" ht="13.5">
      <c r="A97" s="3118">
        <v>25</v>
      </c>
      <c r="B97" s="3767"/>
      <c r="C97" s="3092" t="s">
        <v>2703</v>
      </c>
      <c r="D97" s="3092" t="s">
        <v>2704</v>
      </c>
      <c r="E97" s="3118">
        <v>0.1</v>
      </c>
      <c r="F97" s="3118">
        <v>15</v>
      </c>
    </row>
    <row r="98" spans="1:6" ht="24">
      <c r="A98" s="3118">
        <v>26</v>
      </c>
      <c r="B98" s="3767"/>
      <c r="C98" s="3092" t="s">
        <v>2705</v>
      </c>
      <c r="D98" s="3092" t="s">
        <v>2706</v>
      </c>
      <c r="E98" s="3118">
        <v>0.1</v>
      </c>
      <c r="F98" s="3118">
        <v>15</v>
      </c>
    </row>
    <row r="99" spans="1:6" ht="24">
      <c r="A99" s="3118">
        <v>27</v>
      </c>
      <c r="B99" s="3767"/>
      <c r="C99" s="3092" t="s">
        <v>2707</v>
      </c>
      <c r="D99" s="3092" t="s">
        <v>2708</v>
      </c>
      <c r="E99" s="3118">
        <v>0.1</v>
      </c>
      <c r="F99" s="3118">
        <v>15</v>
      </c>
    </row>
    <row r="100" spans="1:6" ht="13.5">
      <c r="A100" s="3118">
        <v>28</v>
      </c>
      <c r="B100" s="3767"/>
      <c r="C100" s="3092" t="s">
        <v>2709</v>
      </c>
      <c r="D100" s="3092" t="s">
        <v>2710</v>
      </c>
      <c r="E100" s="3118">
        <v>0.1</v>
      </c>
      <c r="F100" s="3118">
        <v>15</v>
      </c>
    </row>
    <row r="101" spans="1:6" ht="13.5">
      <c r="A101" s="3118">
        <v>29</v>
      </c>
      <c r="B101" s="3767"/>
      <c r="C101" s="3092" t="s">
        <v>2711</v>
      </c>
      <c r="D101" s="3092" t="s">
        <v>2712</v>
      </c>
      <c r="E101" s="3118">
        <v>0.1</v>
      </c>
      <c r="F101" s="3118">
        <v>15</v>
      </c>
    </row>
    <row r="102" spans="1:6" ht="13.5">
      <c r="A102" s="3118">
        <v>30</v>
      </c>
      <c r="B102" s="3767"/>
      <c r="C102" s="3092" t="s">
        <v>2713</v>
      </c>
      <c r="D102" s="3092" t="s">
        <v>2714</v>
      </c>
      <c r="E102" s="3118">
        <v>0.1</v>
      </c>
      <c r="F102" s="3118">
        <v>15</v>
      </c>
    </row>
    <row r="103" spans="1:6" ht="24">
      <c r="A103" s="3118">
        <v>31</v>
      </c>
      <c r="B103" s="3767"/>
      <c r="C103" s="3092" t="s">
        <v>2715</v>
      </c>
      <c r="D103" s="3092" t="s">
        <v>2716</v>
      </c>
      <c r="E103" s="3118">
        <v>0.1</v>
      </c>
      <c r="F103" s="3118">
        <v>15</v>
      </c>
    </row>
    <row r="104" spans="1:6" ht="24">
      <c r="A104" s="3118">
        <v>32</v>
      </c>
      <c r="B104" s="3767"/>
      <c r="C104" s="3092" t="s">
        <v>2717</v>
      </c>
      <c r="D104" s="3092" t="s">
        <v>2718</v>
      </c>
      <c r="E104" s="3118">
        <v>0.1</v>
      </c>
      <c r="F104" s="3118">
        <v>15</v>
      </c>
    </row>
    <row r="105" spans="1:6" ht="24">
      <c r="A105" s="3118">
        <v>33</v>
      </c>
      <c r="B105" s="3767"/>
      <c r="C105" s="3092" t="s">
        <v>2719</v>
      </c>
      <c r="D105" s="3092" t="s">
        <v>2720</v>
      </c>
      <c r="E105" s="3118">
        <v>0.1</v>
      </c>
      <c r="F105" s="3118">
        <v>15</v>
      </c>
    </row>
    <row r="106" spans="1:6" ht="24">
      <c r="A106" s="3118">
        <v>34</v>
      </c>
      <c r="B106" s="3776"/>
      <c r="C106" s="3092" t="s">
        <v>2721</v>
      </c>
      <c r="D106" s="3092" t="s">
        <v>2722</v>
      </c>
      <c r="E106" s="3118">
        <v>0.1</v>
      </c>
      <c r="F106" s="3118">
        <v>15</v>
      </c>
    </row>
    <row r="107" spans="1:6" ht="24">
      <c r="A107" s="3118">
        <v>35</v>
      </c>
      <c r="B107" s="3772" t="s">
        <v>2723</v>
      </c>
      <c r="C107" s="3118" t="s">
        <v>2724</v>
      </c>
      <c r="D107" s="3092" t="s">
        <v>2725</v>
      </c>
      <c r="E107" s="3118">
        <v>0.15</v>
      </c>
      <c r="F107" s="3118">
        <v>20</v>
      </c>
    </row>
    <row r="108" spans="1:6" ht="13.5">
      <c r="A108" s="3118">
        <v>36</v>
      </c>
      <c r="B108" s="3767"/>
      <c r="C108" s="3118" t="s">
        <v>2726</v>
      </c>
      <c r="D108" s="3092" t="s">
        <v>2727</v>
      </c>
      <c r="E108" s="3118">
        <v>0.15</v>
      </c>
      <c r="F108" s="3118">
        <v>20</v>
      </c>
    </row>
    <row r="109" spans="1:6" ht="13.5">
      <c r="A109" s="3118">
        <v>37</v>
      </c>
      <c r="B109" s="3767"/>
      <c r="C109" s="3118" t="s">
        <v>2728</v>
      </c>
      <c r="D109" s="3092" t="s">
        <v>2729</v>
      </c>
      <c r="E109" s="3118">
        <v>0.15</v>
      </c>
      <c r="F109" s="3118">
        <v>20</v>
      </c>
    </row>
    <row r="110" spans="1:6" ht="13.5">
      <c r="A110" s="3118">
        <v>38</v>
      </c>
      <c r="B110" s="3767"/>
      <c r="C110" s="3118" t="s">
        <v>2730</v>
      </c>
      <c r="D110" s="3092" t="s">
        <v>2731</v>
      </c>
      <c r="E110" s="3118">
        <v>0.1</v>
      </c>
      <c r="F110" s="3118">
        <v>15</v>
      </c>
    </row>
    <row r="111" spans="1:6" ht="24">
      <c r="A111" s="3118">
        <v>39</v>
      </c>
      <c r="B111" s="3767"/>
      <c r="C111" s="3118" t="s">
        <v>2732</v>
      </c>
      <c r="D111" s="3092" t="s">
        <v>2733</v>
      </c>
      <c r="E111" s="3118">
        <v>0.1</v>
      </c>
      <c r="F111" s="3118">
        <v>15</v>
      </c>
    </row>
    <row r="112" spans="1:6" ht="24">
      <c r="A112" s="3118">
        <v>40</v>
      </c>
      <c r="B112" s="3776"/>
      <c r="C112" s="3118" t="s">
        <v>2734</v>
      </c>
      <c r="D112" s="3092" t="s">
        <v>2735</v>
      </c>
      <c r="E112" s="3118">
        <v>0.1</v>
      </c>
      <c r="F112" s="3118">
        <v>15</v>
      </c>
    </row>
    <row r="113" spans="1:6" ht="13.5">
      <c r="A113" s="3118">
        <v>41</v>
      </c>
      <c r="B113" s="3777" t="s">
        <v>2736</v>
      </c>
      <c r="C113" s="3118" t="s">
        <v>2737</v>
      </c>
      <c r="D113" s="3092" t="s">
        <v>2738</v>
      </c>
      <c r="E113" s="3118">
        <v>0.1</v>
      </c>
      <c r="F113" s="3118">
        <v>15</v>
      </c>
    </row>
    <row r="114" spans="1:6" ht="13.5">
      <c r="A114" s="3118">
        <v>42</v>
      </c>
      <c r="B114" s="3777"/>
      <c r="C114" s="3118" t="s">
        <v>2739</v>
      </c>
      <c r="D114" s="3092" t="s">
        <v>2740</v>
      </c>
      <c r="E114" s="3118">
        <v>0.1</v>
      </c>
      <c r="F114" s="3118">
        <v>15</v>
      </c>
    </row>
    <row r="115" spans="1:6" ht="24">
      <c r="A115" s="3118">
        <v>43</v>
      </c>
      <c r="B115" s="3777"/>
      <c r="C115" s="3118" t="s">
        <v>2741</v>
      </c>
      <c r="D115" s="3092" t="s">
        <v>2742</v>
      </c>
      <c r="E115" s="3118">
        <v>0.1</v>
      </c>
      <c r="F115" s="3118">
        <v>15</v>
      </c>
    </row>
    <row r="116" spans="1:6" ht="13.5">
      <c r="A116" s="3118">
        <v>44</v>
      </c>
      <c r="B116" s="3772" t="s">
        <v>2743</v>
      </c>
      <c r="C116" s="3118" t="s">
        <v>2744</v>
      </c>
      <c r="D116" s="3092" t="s">
        <v>2745</v>
      </c>
      <c r="E116" s="3118">
        <v>0.1</v>
      </c>
      <c r="F116" s="3118">
        <v>15</v>
      </c>
    </row>
    <row r="117" spans="1:6" ht="24">
      <c r="A117" s="3118">
        <v>45</v>
      </c>
      <c r="B117" s="3776"/>
      <c r="C117" s="3092" t="s">
        <v>2746</v>
      </c>
      <c r="D117" s="3092" t="s">
        <v>2747</v>
      </c>
      <c r="E117" s="3118">
        <v>0.1</v>
      </c>
      <c r="F117" s="3118">
        <v>15</v>
      </c>
    </row>
    <row r="118" spans="1:6" ht="24">
      <c r="A118" s="3118">
        <v>46</v>
      </c>
      <c r="B118" s="3772" t="s">
        <v>2748</v>
      </c>
      <c r="C118" s="3118" t="s">
        <v>2749</v>
      </c>
      <c r="D118" s="3092" t="s">
        <v>2750</v>
      </c>
      <c r="E118" s="3118">
        <v>0.1</v>
      </c>
      <c r="F118" s="3118">
        <v>15</v>
      </c>
    </row>
    <row r="119" spans="1:6" ht="24">
      <c r="A119" s="3118">
        <v>47</v>
      </c>
      <c r="B119" s="3776"/>
      <c r="C119" s="3118" t="s">
        <v>2751</v>
      </c>
      <c r="D119" s="3092" t="s">
        <v>2752</v>
      </c>
      <c r="E119" s="3118">
        <v>0.1</v>
      </c>
      <c r="F119" s="3118">
        <v>15</v>
      </c>
    </row>
    <row r="120" spans="1:6" ht="13.5">
      <c r="A120" s="3118">
        <v>48</v>
      </c>
      <c r="B120" s="3772" t="s">
        <v>2753</v>
      </c>
      <c r="C120" s="3118" t="s">
        <v>2754</v>
      </c>
      <c r="D120" s="3092" t="s">
        <v>2755</v>
      </c>
      <c r="E120" s="3118">
        <v>0.1</v>
      </c>
      <c r="F120" s="3118">
        <v>15</v>
      </c>
    </row>
    <row r="121" spans="1:6" ht="13.5">
      <c r="A121" s="3118">
        <v>49</v>
      </c>
      <c r="B121" s="3776"/>
      <c r="C121" s="3118" t="s">
        <v>2756</v>
      </c>
      <c r="D121" s="3092" t="s">
        <v>2757</v>
      </c>
      <c r="E121" s="3118">
        <v>0.1</v>
      </c>
      <c r="F121" s="3118">
        <v>15</v>
      </c>
    </row>
    <row r="122" spans="1:6" ht="24">
      <c r="A122" s="3118">
        <v>50</v>
      </c>
      <c r="B122" s="3777" t="s">
        <v>2758</v>
      </c>
      <c r="C122" s="3118" t="s">
        <v>2759</v>
      </c>
      <c r="D122" s="3092" t="s">
        <v>2760</v>
      </c>
      <c r="E122" s="3118">
        <v>0.1</v>
      </c>
      <c r="F122" s="3118">
        <v>15</v>
      </c>
    </row>
    <row r="123" spans="1:6" ht="24">
      <c r="A123" s="3118">
        <v>51</v>
      </c>
      <c r="B123" s="3777"/>
      <c r="C123" s="3118" t="s">
        <v>2761</v>
      </c>
      <c r="D123" s="3092" t="s">
        <v>2762</v>
      </c>
      <c r="E123" s="3118">
        <v>0.1</v>
      </c>
      <c r="F123" s="3118">
        <v>15</v>
      </c>
    </row>
    <row r="124" spans="1:6" ht="24">
      <c r="A124" s="3118">
        <v>52</v>
      </c>
      <c r="B124" s="3777" t="s">
        <v>2763</v>
      </c>
      <c r="C124" s="3118" t="s">
        <v>2764</v>
      </c>
      <c r="D124" s="3092" t="s">
        <v>2765</v>
      </c>
      <c r="E124" s="3118">
        <v>0.1</v>
      </c>
      <c r="F124" s="3118">
        <v>15</v>
      </c>
    </row>
    <row r="125" spans="1:6" ht="24">
      <c r="A125" s="3118">
        <v>53</v>
      </c>
      <c r="B125" s="377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7" t="s">
        <v>2771</v>
      </c>
      <c r="C127" s="3118" t="s">
        <v>2772</v>
      </c>
      <c r="D127" s="3092" t="s">
        <v>2773</v>
      </c>
      <c r="E127" s="3118">
        <v>0.1</v>
      </c>
      <c r="F127" s="3118">
        <v>15</v>
      </c>
    </row>
    <row r="128" spans="1:6" ht="13.5">
      <c r="A128" s="3118">
        <v>56</v>
      </c>
      <c r="B128" s="3777"/>
      <c r="C128" s="3118" t="s">
        <v>2774</v>
      </c>
      <c r="D128" s="3092" t="s">
        <v>2775</v>
      </c>
      <c r="E128" s="3118">
        <v>0.1</v>
      </c>
      <c r="F128" s="3118">
        <v>15</v>
      </c>
    </row>
    <row r="129" spans="1:6" ht="24">
      <c r="A129" s="3118">
        <v>57</v>
      </c>
      <c r="B129" s="3777"/>
      <c r="C129" s="3118" t="s">
        <v>2776</v>
      </c>
      <c r="D129" s="3092" t="s">
        <v>2777</v>
      </c>
      <c r="E129" s="3118">
        <v>0.1</v>
      </c>
      <c r="F129" s="3118">
        <v>15</v>
      </c>
    </row>
    <row r="130" spans="1:6" ht="24">
      <c r="A130" s="3118">
        <v>58</v>
      </c>
      <c r="B130" s="3777" t="s">
        <v>2778</v>
      </c>
      <c r="C130" s="3118" t="s">
        <v>2779</v>
      </c>
      <c r="D130" s="3092" t="s">
        <v>2780</v>
      </c>
      <c r="E130" s="3118">
        <v>0.1</v>
      </c>
      <c r="F130" s="3118">
        <v>15</v>
      </c>
    </row>
    <row r="131" spans="1:6" ht="13.5">
      <c r="A131" s="3118">
        <v>59</v>
      </c>
      <c r="B131" s="3777"/>
      <c r="C131" s="3118" t="s">
        <v>2781</v>
      </c>
      <c r="D131" s="3092" t="s">
        <v>2782</v>
      </c>
      <c r="E131" s="3118">
        <v>0.1</v>
      </c>
      <c r="F131" s="3118">
        <v>15</v>
      </c>
    </row>
    <row r="132" spans="1:6" ht="13.5">
      <c r="A132" s="3118">
        <v>60</v>
      </c>
      <c r="B132" s="3772" t="s">
        <v>2783</v>
      </c>
      <c r="C132" s="3118" t="s">
        <v>2784</v>
      </c>
      <c r="D132" s="3092" t="s">
        <v>2785</v>
      </c>
      <c r="E132" s="3118">
        <v>0.1</v>
      </c>
      <c r="F132" s="3118">
        <v>15</v>
      </c>
    </row>
    <row r="133" spans="1:6" ht="13.5">
      <c r="A133" s="3118">
        <v>61</v>
      </c>
      <c r="B133" s="377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7" t="s">
        <v>2791</v>
      </c>
      <c r="C135" s="3118" t="s">
        <v>2792</v>
      </c>
      <c r="D135" s="3092" t="s">
        <v>2793</v>
      </c>
      <c r="E135" s="3118">
        <v>0.1</v>
      </c>
      <c r="F135" s="3118">
        <v>15</v>
      </c>
    </row>
    <row r="136" spans="1:6" ht="13.5">
      <c r="A136" s="3118">
        <v>64</v>
      </c>
      <c r="B136" s="377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28872</v>
      </c>
      <c r="C2" s="2" t="s">
        <v>106</v>
      </c>
      <c r="D2" s="199"/>
      <c r="E2" s="199"/>
      <c r="F2" s="199"/>
      <c r="G2" s="199"/>
    </row>
    <row r="3" spans="1:7" s="200" customFormat="1" ht="18" customHeight="1" thickBot="1">
      <c r="A3" s="203" t="s">
        <v>58</v>
      </c>
      <c r="B3" s="204">
        <f ca="1">ROUND(B2*10000/'数据-汇总表'!E3,0)</f>
        <v>1242822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232.31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232.31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232.31</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5.9999999999999995E-4</v>
      </c>
      <c r="D44" s="238"/>
      <c r="E44" s="238"/>
      <c r="F44" s="239"/>
      <c r="G44" s="3642"/>
    </row>
    <row r="45" spans="1:7" s="214" customFormat="1" ht="13.5" customHeight="1">
      <c r="A45" s="777" t="s">
        <v>341</v>
      </c>
      <c r="B45" s="244" t="s">
        <v>85</v>
      </c>
      <c r="C45" s="245">
        <f>C46</f>
        <v>23</v>
      </c>
      <c r="D45" s="235">
        <f>C47</f>
        <v>4.0000000000000001E-3</v>
      </c>
      <c r="E45" s="236" t="s">
        <v>102</v>
      </c>
      <c r="F45" s="246"/>
      <c r="G45" s="247" t="s">
        <v>434</v>
      </c>
    </row>
    <row r="46" spans="1:7" s="214" customFormat="1" ht="13.5" customHeight="1">
      <c r="A46" s="780" t="s">
        <v>349</v>
      </c>
      <c r="B46" s="248" t="s">
        <v>427</v>
      </c>
      <c r="C46" s="249">
        <f>ROUND((C33+C39)*F27,0)</f>
        <v>23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115</v>
      </c>
      <c r="D51" s="232"/>
      <c r="E51" s="232"/>
      <c r="F51" s="264"/>
      <c r="G51" s="234" t="s">
        <v>37</v>
      </c>
    </row>
    <row r="52" spans="1:7" s="208" customFormat="1" ht="16.5" thickBot="1">
      <c r="A52" s="265" t="s">
        <v>38</v>
      </c>
      <c r="B52" s="266"/>
      <c r="C52" s="267">
        <f ca="1">C31+C51</f>
        <v>28872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293</v>
      </c>
      <c r="E5" s="1491"/>
    </row>
    <row r="6" spans="1:5" ht="15.75">
      <c r="A6" s="1491"/>
      <c r="B6" s="3459"/>
      <c r="C6" s="1494" t="s">
        <v>911</v>
      </c>
      <c r="D6" s="850" t="str">
        <f ca="1">NUMBERSTRING(INT(D5*10000),2)&amp;"元整"</f>
        <v>贰佰玖拾叁万元整</v>
      </c>
      <c r="E6" s="1491"/>
    </row>
    <row r="7" spans="1:5" ht="15.75">
      <c r="A7" s="1491"/>
      <c r="B7" s="3464"/>
      <c r="C7" s="1495" t="s">
        <v>912</v>
      </c>
      <c r="D7" s="851">
        <f ca="1">结果表!H102</f>
        <v>12612</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293</v>
      </c>
      <c r="E13" s="1491"/>
    </row>
    <row r="14" spans="1:5" ht="15.75">
      <c r="A14" s="1491"/>
      <c r="B14" s="3459"/>
      <c r="C14" s="1494" t="s">
        <v>911</v>
      </c>
      <c r="D14" s="850" t="str">
        <f ca="1">NUMBERSTRING(INT(D13*10000),2)&amp;"元整"</f>
        <v>贰佰玖拾叁万元整</v>
      </c>
      <c r="E14" s="1491"/>
    </row>
    <row r="15" spans="1:5" ht="15">
      <c r="A15" s="1491"/>
      <c r="B15" s="3464"/>
      <c r="C15" s="1495" t="s">
        <v>921</v>
      </c>
      <c r="D15" s="859">
        <f ca="1">结果表!H108</f>
        <v>12612</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E5:E7"/>
  <sheetViews>
    <sheetView workbookViewId="0">
      <selection activeCell="E8" sqref="E8"/>
    </sheetView>
  </sheetViews>
  <sheetFormatPr defaultRowHeight="13.5"/>
  <sheetData>
    <row r="5" spans="5:5">
      <c r="E5">
        <f>基准地价修正!S2</f>
        <v>1.5019</v>
      </c>
    </row>
    <row r="6" spans="5:5">
      <c r="E6">
        <f>基准地价修正!S3</f>
        <v>1.1838</v>
      </c>
    </row>
    <row r="7" spans="5:5">
      <c r="E7">
        <f>AVERAGE(E5:E6)</f>
        <v>1.3428499999999999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2841</v>
      </c>
      <c r="B1" s="3780"/>
      <c r="C1" s="3780"/>
      <c r="D1" s="3780"/>
      <c r="E1" s="3780"/>
      <c r="F1" s="3780"/>
      <c r="G1" s="378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3183</v>
      </c>
      <c r="B1" s="378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3234</v>
      </c>
      <c r="B1" s="3783"/>
      <c r="C1" s="3783"/>
      <c r="D1" s="3783"/>
      <c r="E1" s="3783"/>
      <c r="F1" s="378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45586</v>
      </c>
      <c r="B1" s="3210" t="s">
        <v>3382</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3387</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3386</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3379</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3385</v>
      </c>
    </row>
    <row r="24" spans="1:30" s="3009" customFormat="1">
      <c r="I24" s="3208" t="s">
        <v>2827</v>
      </c>
    </row>
    <row r="25" spans="1:30" s="3009" customFormat="1"/>
    <row r="26" spans="1:30" s="3209" customFormat="1" ht="12.75">
      <c r="B26" s="3210" t="s">
        <v>3383</v>
      </c>
      <c r="C26" s="3211"/>
      <c r="D26" s="3211"/>
      <c r="E26" s="3211"/>
      <c r="F26" s="3211"/>
      <c r="G26" s="3211"/>
      <c r="H26" s="3211"/>
      <c r="I26" s="3211"/>
      <c r="J26" s="3165"/>
      <c r="K26" s="3211" t="s">
        <v>2828</v>
      </c>
      <c r="L26" s="3211"/>
      <c r="M26" s="3211"/>
      <c r="N26" s="3211"/>
      <c r="O26" s="3211"/>
      <c r="P26" s="3211"/>
      <c r="Q26" s="3165"/>
      <c r="R26" s="3785" t="s">
        <v>2829</v>
      </c>
      <c r="S26" s="3786"/>
      <c r="T26" s="3786"/>
      <c r="U26" s="3786"/>
      <c r="V26" s="3786"/>
      <c r="W26" s="3786"/>
      <c r="X26" s="3165"/>
      <c r="Y26" s="3785" t="s">
        <v>2830</v>
      </c>
      <c r="Z26" s="3786"/>
      <c r="AA26" s="3786"/>
      <c r="AB26" s="3786"/>
      <c r="AC26" s="3786"/>
      <c r="AD26" s="378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3378</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3380</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3381</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232.31</v>
      </c>
      <c r="C4" s="854">
        <f>项目基本情况!C18</f>
        <v>0</v>
      </c>
      <c r="D4" s="854">
        <f ca="1">结果表!D118</f>
        <v>292</v>
      </c>
      <c r="E4" s="854">
        <f ca="1">结果表!E118</f>
        <v>12569</v>
      </c>
      <c r="F4" s="854">
        <f ca="1">结果表!F118</f>
        <v>1</v>
      </c>
      <c r="G4" s="854">
        <f ca="1">结果表!G118</f>
        <v>43</v>
      </c>
      <c r="H4" s="854">
        <f ca="1">结果表!H118</f>
        <v>293</v>
      </c>
      <c r="I4" s="854">
        <f ca="1">结果表!I118</f>
        <v>12612</v>
      </c>
    </row>
    <row r="5" spans="1:9" ht="30" customHeight="1">
      <c r="A5" s="3470" t="s">
        <v>927</v>
      </c>
      <c r="B5" s="3470"/>
      <c r="C5" s="3470"/>
      <c r="D5" s="3470" t="str">
        <f ca="1">结果表!D119</f>
        <v>贰佰玖拾贰万元整</v>
      </c>
      <c r="E5" s="3470"/>
      <c r="F5" s="3470" t="str">
        <f ca="1">结果表!F119</f>
        <v>壹万元整</v>
      </c>
      <c r="G5" s="3470"/>
      <c r="H5" s="3470" t="str">
        <f ca="1">结果表!H119</f>
        <v>贰佰玖拾叁万元整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293</v>
      </c>
      <c r="E8" s="3471"/>
      <c r="F8" s="3471"/>
      <c r="G8" s="3471"/>
      <c r="H8" s="3471"/>
      <c r="I8" s="3471"/>
    </row>
    <row r="9" spans="1:9" ht="15">
      <c r="A9" s="3470" t="s">
        <v>927</v>
      </c>
      <c r="B9" s="3470"/>
      <c r="C9" s="3470"/>
      <c r="D9" s="3470" t="str">
        <f ca="1">结果表!D123</f>
        <v>贰佰玖拾叁万元整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2024-10-24T08:16:42Z</dcterms:modified>
</cp:coreProperties>
</file>